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24-TBD云集中心\"/>
    </mc:Choice>
  </mc:AlternateContent>
  <xr:revisionPtr revIDLastSave="0" documentId="13_ncr:1_{4F236F5A-6A96-4145-AB0A-CD4DB642AD18}" xr6:coauthVersionLast="47" xr6:coauthVersionMax="47" xr10:uidLastSave="{00000000-0000-0000-0000-000000000000}"/>
  <bookViews>
    <workbookView xWindow="0" yWindow="0" windowWidth="12804" windowHeight="12132" tabRatio="854" firstSheet="14"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10"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111" sheetId="81" r:id="rId42"/>
    <sheet name="比较法-商业2" sheetId="82" r:id="rId43"/>
    <sheet name="收益法2" sheetId="83" r:id="rId44"/>
    <sheet name="结果表112" sheetId="84" r:id="rId45"/>
    <sheet name="比较法-商业3" sheetId="85" r:id="rId46"/>
    <sheet name="收益法3" sheetId="86" r:id="rId47"/>
    <sheet name="一手房成交" sheetId="87"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2" hidden="1">'比较法-商业2'!$A$1:$L$49</definedName>
    <definedName name="_xlnm._FilterDatabase" localSheetId="45" hidden="1">'比较法-商业3'!$A$1:$L$49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2">'比较法-商业2'!$A$1:$K$54,'比较法-商业2'!$A$57:$M$131</definedName>
    <definedName name="_xlnm.Print_Area" localSheetId="45">'比较法-商业3'!$A$1:$K$54,'比较法-商业3'!$A$57:$M$131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结果表110!$A$1:$I$127</definedName>
    <definedName name="_xlnm.Print_Area" localSheetId="41">结果表111!$A$1:$I$127</definedName>
    <definedName name="_xlnm.Print_Area" localSheetId="44">结果表112!$A$1:$I$127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3">收益法2!$A$1:$F$43,收益法2!$H$3:$M$29,收益法2!$A$45:$F$71,收益法2!$I$46:$N$65</definedName>
    <definedName name="_xlnm.Print_Area" localSheetId="46">收益法3!$A$1:$F$43,收益法3!$H$3:$M$29,收益法3!$A$45:$F$71,收益法3!$I$46:$N$65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8" i="1" l="1"/>
  <c r="L7" i="1"/>
  <c r="Y27" i="1"/>
  <c r="X28" i="1" s="1"/>
  <c r="AM8" i="1" l="1"/>
  <c r="AM7" i="1"/>
  <c r="AK7" i="1"/>
  <c r="AK8" i="1" s="1"/>
  <c r="U7" i="1"/>
  <c r="U8" i="1" s="1"/>
  <c r="C33" i="82"/>
  <c r="D89" i="33" l="1"/>
  <c r="E89" i="33" s="1"/>
  <c r="F89" i="33" s="1"/>
  <c r="G89" i="33" s="1"/>
  <c r="D104" i="85"/>
  <c r="E104" i="85" s="1"/>
  <c r="F104" i="85" s="1"/>
  <c r="D104" i="82"/>
  <c r="E104" i="82" s="1"/>
  <c r="F104" i="82" s="1"/>
  <c r="D104" i="33"/>
  <c r="E104" i="33" s="1"/>
  <c r="F104" i="33" s="1"/>
  <c r="I36" i="33"/>
  <c r="I36" i="82" s="1"/>
  <c r="I36" i="85" s="1"/>
  <c r="G36" i="33"/>
  <c r="G36" i="82" s="1"/>
  <c r="G36" i="85" s="1"/>
  <c r="E36" i="33"/>
  <c r="E36" i="82" s="1"/>
  <c r="E36" i="85" s="1"/>
  <c r="Q72" i="86" l="1"/>
  <c r="Q59" i="86"/>
  <c r="K59" i="86"/>
  <c r="P74" i="86" s="1"/>
  <c r="Q58" i="86"/>
  <c r="Q51" i="86"/>
  <c r="J50" i="86"/>
  <c r="J49" i="86"/>
  <c r="M47" i="86"/>
  <c r="D46" i="86"/>
  <c r="F33" i="86"/>
  <c r="F61" i="86" s="1"/>
  <c r="F23" i="86"/>
  <c r="D24" i="86" s="1"/>
  <c r="D22" i="86"/>
  <c r="F21" i="86"/>
  <c r="F20" i="86"/>
  <c r="M19" i="86"/>
  <c r="F18" i="86"/>
  <c r="F17" i="86"/>
  <c r="F15" i="86"/>
  <c r="B130" i="85"/>
  <c r="H46" i="85" s="1"/>
  <c r="AB46" i="85" s="1"/>
  <c r="B128" i="85"/>
  <c r="F45" i="85" s="1"/>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G109" i="85"/>
  <c r="F109" i="85"/>
  <c r="E109" i="85"/>
  <c r="D109" i="85"/>
  <c r="C109" i="85"/>
  <c r="D108" i="85"/>
  <c r="E108" i="85" s="1"/>
  <c r="F108" i="85" s="1"/>
  <c r="G108" i="85" s="1"/>
  <c r="H108" i="85" s="1"/>
  <c r="I108" i="85" s="1"/>
  <c r="J108" i="85" s="1"/>
  <c r="K108" i="85" s="1"/>
  <c r="L108" i="85" s="1"/>
  <c r="M108" i="85" s="1"/>
  <c r="D106" i="85"/>
  <c r="E106" i="85" s="1"/>
  <c r="M102" i="85"/>
  <c r="L102" i="85"/>
  <c r="K102" i="85"/>
  <c r="J102" i="85"/>
  <c r="I102" i="85"/>
  <c r="H102" i="85"/>
  <c r="G102" i="85"/>
  <c r="F102" i="85"/>
  <c r="E102" i="85"/>
  <c r="D102" i="85"/>
  <c r="C102" i="85"/>
  <c r="D101" i="85"/>
  <c r="O99" i="85"/>
  <c r="O98" i="85"/>
  <c r="B98" i="85"/>
  <c r="O97" i="85"/>
  <c r="B96" i="85"/>
  <c r="H30" i="85" s="1"/>
  <c r="U30" i="85" s="1"/>
  <c r="B94" i="85"/>
  <c r="B92" i="85"/>
  <c r="D91" i="85"/>
  <c r="E91" i="85" s="1"/>
  <c r="B90" i="85"/>
  <c r="D89" i="85"/>
  <c r="E89" i="85" s="1"/>
  <c r="F89" i="85" s="1"/>
  <c r="G89" i="85" s="1"/>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J14" i="85" s="1"/>
  <c r="AC14" i="85" s="1"/>
  <c r="B72" i="85"/>
  <c r="J13" i="85" s="1"/>
  <c r="AC13" i="85" s="1"/>
  <c r="B70" i="85"/>
  <c r="J12" i="85" s="1"/>
  <c r="W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J9" i="85" s="1"/>
  <c r="AC9" i="85" s="1"/>
  <c r="I54" i="85"/>
  <c r="J54" i="85" s="1"/>
  <c r="G54" i="85"/>
  <c r="H54" i="85" s="1"/>
  <c r="E54" i="85"/>
  <c r="F54" i="85" s="1"/>
  <c r="P49" i="85"/>
  <c r="P48" i="85"/>
  <c r="K48" i="85"/>
  <c r="V47" i="85"/>
  <c r="T47" i="85"/>
  <c r="R47" i="85"/>
  <c r="P47" i="85"/>
  <c r="Q46" i="85"/>
  <c r="Z46" i="85" s="1"/>
  <c r="Q45" i="85"/>
  <c r="Z45" i="85" s="1"/>
  <c r="Q44" i="85"/>
  <c r="Z44" i="85" s="1"/>
  <c r="Q43" i="85"/>
  <c r="Z43" i="85" s="1"/>
  <c r="H43" i="85"/>
  <c r="AB43" i="85" s="1"/>
  <c r="F43" i="85"/>
  <c r="AA43" i="85" s="1"/>
  <c r="Q42" i="85"/>
  <c r="Z42" i="85" s="1"/>
  <c r="Q41" i="85"/>
  <c r="Z41" i="85" s="1"/>
  <c r="Q40" i="85"/>
  <c r="Z40" i="85" s="1"/>
  <c r="J40" i="85"/>
  <c r="W40" i="85" s="1"/>
  <c r="H40" i="85"/>
  <c r="AB40" i="85" s="1"/>
  <c r="F40" i="85"/>
  <c r="AA40" i="85" s="1"/>
  <c r="Q39" i="85"/>
  <c r="Z39" i="85" s="1"/>
  <c r="J39" i="85"/>
  <c r="W39" i="85" s="1"/>
  <c r="H39" i="85"/>
  <c r="U39" i="85" s="1"/>
  <c r="F39" i="85"/>
  <c r="AA39" i="85" s="1"/>
  <c r="Q38" i="85"/>
  <c r="Z38" i="85" s="1"/>
  <c r="J38" i="85"/>
  <c r="AC38" i="85" s="1"/>
  <c r="H38" i="85"/>
  <c r="U38" i="85" s="1"/>
  <c r="F38" i="85"/>
  <c r="S38" i="85" s="1"/>
  <c r="Q37" i="85"/>
  <c r="Z37" i="85" s="1"/>
  <c r="J37" i="85"/>
  <c r="AC37" i="85" s="1"/>
  <c r="H37" i="85"/>
  <c r="AB37" i="85" s="1"/>
  <c r="F37" i="85"/>
  <c r="S37" i="85" s="1"/>
  <c r="Q36" i="85"/>
  <c r="Z36" i="85" s="1"/>
  <c r="Q35" i="85"/>
  <c r="Z35" i="85" s="1"/>
  <c r="J35" i="85"/>
  <c r="W35" i="85" s="1"/>
  <c r="H35" i="85"/>
  <c r="F35" i="85"/>
  <c r="AA35" i="85" s="1"/>
  <c r="Q34" i="85"/>
  <c r="Z34" i="85" s="1"/>
  <c r="Q33" i="85"/>
  <c r="Z33" i="85" s="1"/>
  <c r="Q32" i="85"/>
  <c r="Z32" i="85" s="1"/>
  <c r="Q31" i="85"/>
  <c r="Z31" i="85" s="1"/>
  <c r="Q30" i="85"/>
  <c r="Z30" i="85" s="1"/>
  <c r="J30" i="85"/>
  <c r="Q29" i="85"/>
  <c r="Z29" i="85" s="1"/>
  <c r="Q28" i="85"/>
  <c r="Z28" i="85" s="1"/>
  <c r="Q27" i="85"/>
  <c r="Z27" i="85" s="1"/>
  <c r="Q26" i="85"/>
  <c r="Z26" i="85" s="1"/>
  <c r="Q25" i="85"/>
  <c r="Z25" i="85" s="1"/>
  <c r="J25" i="85"/>
  <c r="AC25" i="85" s="1"/>
  <c r="H25" i="85"/>
  <c r="F25" i="85"/>
  <c r="S25" i="85" s="1"/>
  <c r="Q23" i="85"/>
  <c r="Z23" i="85" s="1"/>
  <c r="F23" i="85"/>
  <c r="S23" i="85" s="1"/>
  <c r="C23" i="85"/>
  <c r="Q21" i="85"/>
  <c r="Z21" i="85" s="1"/>
  <c r="J21" i="85"/>
  <c r="AC21" i="85" s="1"/>
  <c r="H21" i="85"/>
  <c r="AB21" i="85" s="1"/>
  <c r="F21" i="85"/>
  <c r="AA21" i="85" s="1"/>
  <c r="C21" i="85"/>
  <c r="Q19" i="85"/>
  <c r="Z19" i="85" s="1"/>
  <c r="C19" i="85"/>
  <c r="Q17" i="85"/>
  <c r="Z17" i="85" s="1"/>
  <c r="C17" i="85"/>
  <c r="Q15" i="85"/>
  <c r="Z15" i="85" s="1"/>
  <c r="C15" i="85"/>
  <c r="Q14" i="85"/>
  <c r="Z14" i="85" s="1"/>
  <c r="H14" i="85"/>
  <c r="AB14" i="85" s="1"/>
  <c r="F14" i="85"/>
  <c r="AA14" i="85" s="1"/>
  <c r="Q13" i="85"/>
  <c r="Z13" i="85" s="1"/>
  <c r="Q12" i="85"/>
  <c r="Z12" i="85" s="1"/>
  <c r="Q11" i="85"/>
  <c r="Z11" i="85" s="1"/>
  <c r="J11" i="85"/>
  <c r="H11" i="85"/>
  <c r="U11" i="85" s="1"/>
  <c r="F11" i="85"/>
  <c r="AA11" i="85" s="1"/>
  <c r="Q10" i="85"/>
  <c r="Z10" i="85" s="1"/>
  <c r="J10" i="85"/>
  <c r="AC10" i="85" s="1"/>
  <c r="H10" i="85"/>
  <c r="AB10" i="85" s="1"/>
  <c r="F10" i="85"/>
  <c r="AA10" i="85" s="1"/>
  <c r="Q9" i="85"/>
  <c r="Z9" i="85" s="1"/>
  <c r="J8" i="85"/>
  <c r="W8" i="85" s="1"/>
  <c r="H8" i="85"/>
  <c r="AB8" i="85" s="1"/>
  <c r="F8" i="85"/>
  <c r="AA8" i="85" s="1"/>
  <c r="A120" i="84"/>
  <c r="E111" i="84"/>
  <c r="H111" i="84" s="1"/>
  <c r="D126" i="84" s="1"/>
  <c r="D127" i="84" s="1"/>
  <c r="E109" i="84"/>
  <c r="A124" i="84" s="1"/>
  <c r="E107" i="84"/>
  <c r="A122" i="84" s="1"/>
  <c r="H106" i="84"/>
  <c r="H105" i="84"/>
  <c r="H104" i="84"/>
  <c r="D101" i="84"/>
  <c r="C101" i="84"/>
  <c r="C91" i="84"/>
  <c r="E90" i="84"/>
  <c r="D89" i="84"/>
  <c r="C89" i="84" s="1"/>
  <c r="C87" i="84" s="1"/>
  <c r="H77" i="84"/>
  <c r="D77" i="84"/>
  <c r="C76" i="84"/>
  <c r="F59" i="84"/>
  <c r="O55" i="84" s="1"/>
  <c r="E59" i="84"/>
  <c r="F56" i="84"/>
  <c r="O54" i="84" s="1"/>
  <c r="N55" i="84"/>
  <c r="K55" i="84"/>
  <c r="J55" i="84"/>
  <c r="I55" i="84"/>
  <c r="F55" i="84" s="1"/>
  <c r="O53" i="84" s="1"/>
  <c r="N54" i="84"/>
  <c r="N53" i="84"/>
  <c r="K49" i="84"/>
  <c r="E48" i="84"/>
  <c r="N52" i="84" s="1"/>
  <c r="F33" i="84"/>
  <c r="D27" i="84"/>
  <c r="C25" i="84"/>
  <c r="C24" i="84"/>
  <c r="D17" i="84"/>
  <c r="C17" i="84"/>
  <c r="L4" i="84"/>
  <c r="K4" i="84"/>
  <c r="H1" i="84"/>
  <c r="Q7" i="1"/>
  <c r="Q8" i="1" s="1"/>
  <c r="F21" i="6"/>
  <c r="C33" i="85" s="1"/>
  <c r="F20" i="6"/>
  <c r="Q72" i="83"/>
  <c r="Q59" i="83"/>
  <c r="K59" i="83"/>
  <c r="P74" i="83" s="1"/>
  <c r="Q58" i="83"/>
  <c r="Q51" i="83"/>
  <c r="J50" i="83"/>
  <c r="J49" i="83"/>
  <c r="M47" i="83"/>
  <c r="D46" i="83"/>
  <c r="F33" i="83"/>
  <c r="F61" i="83" s="1"/>
  <c r="F23" i="83"/>
  <c r="D24" i="83" s="1"/>
  <c r="D23" i="83"/>
  <c r="F21" i="83"/>
  <c r="F20" i="83"/>
  <c r="M19" i="83"/>
  <c r="F18" i="83"/>
  <c r="F17" i="83"/>
  <c r="F15" i="83"/>
  <c r="B130" i="82"/>
  <c r="F46" i="82" s="1"/>
  <c r="AA46" i="82" s="1"/>
  <c r="B128" i="82"/>
  <c r="H45" i="82" s="1"/>
  <c r="AB45" i="82" s="1"/>
  <c r="B126" i="82"/>
  <c r="H44" i="82" s="1"/>
  <c r="U44" i="82" s="1"/>
  <c r="D125" i="82"/>
  <c r="E125" i="82" s="1"/>
  <c r="F125" i="82" s="1"/>
  <c r="G125" i="82" s="1"/>
  <c r="D123" i="82"/>
  <c r="J42"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G109" i="82"/>
  <c r="F109" i="82"/>
  <c r="E109" i="82"/>
  <c r="D109" i="82"/>
  <c r="C109" i="82"/>
  <c r="D108" i="82"/>
  <c r="E108" i="82" s="1"/>
  <c r="F108" i="82" s="1"/>
  <c r="G108" i="82" s="1"/>
  <c r="H108" i="82" s="1"/>
  <c r="I108" i="82" s="1"/>
  <c r="J108" i="82" s="1"/>
  <c r="K108" i="82" s="1"/>
  <c r="L108" i="82" s="1"/>
  <c r="M108"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O99" i="82"/>
  <c r="O98" i="82"/>
  <c r="B98" i="82"/>
  <c r="O97" i="82"/>
  <c r="B96" i="82"/>
  <c r="J30" i="82" s="1"/>
  <c r="B94" i="82"/>
  <c r="B92" i="82"/>
  <c r="D91" i="82"/>
  <c r="E91" i="82" s="1"/>
  <c r="B90" i="82"/>
  <c r="D89" i="82"/>
  <c r="E89" i="82" s="1"/>
  <c r="F89" i="82" s="1"/>
  <c r="G89" i="82" s="1"/>
  <c r="B88" i="82"/>
  <c r="D87" i="82"/>
  <c r="E87" i="82" s="1"/>
  <c r="D85" i="82"/>
  <c r="E85" i="82" s="1"/>
  <c r="F23" i="82" s="1"/>
  <c r="AA23" i="82" s="1"/>
  <c r="D83" i="82"/>
  <c r="E83" i="82" s="1"/>
  <c r="F83" i="82" s="1"/>
  <c r="G83" i="82" s="1"/>
  <c r="D81" i="82"/>
  <c r="E81" i="82" s="1"/>
  <c r="H19" i="82" s="1"/>
  <c r="D79" i="82"/>
  <c r="E79" i="82" s="1"/>
  <c r="H17" i="82" s="1"/>
  <c r="D77" i="82"/>
  <c r="E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Q45" i="82"/>
  <c r="Z45" i="82" s="1"/>
  <c r="Q44" i="82"/>
  <c r="Z44" i="82" s="1"/>
  <c r="Q43" i="82"/>
  <c r="Z43" i="82" s="1"/>
  <c r="Q42" i="82"/>
  <c r="Z42" i="82" s="1"/>
  <c r="Q41" i="82"/>
  <c r="Z41" i="82" s="1"/>
  <c r="Q40" i="82"/>
  <c r="Z40" i="82" s="1"/>
  <c r="J40" i="82"/>
  <c r="AC40" i="82" s="1"/>
  <c r="H40" i="82"/>
  <c r="AB40" i="82" s="1"/>
  <c r="F40" i="82"/>
  <c r="S40" i="82" s="1"/>
  <c r="Q39" i="82"/>
  <c r="Z39" i="82" s="1"/>
  <c r="J39" i="82"/>
  <c r="H39" i="82"/>
  <c r="AB39" i="82" s="1"/>
  <c r="F39" i="82"/>
  <c r="AA39" i="82" s="1"/>
  <c r="Q38" i="82"/>
  <c r="Z38" i="82" s="1"/>
  <c r="J38" i="82"/>
  <c r="W38" i="82" s="1"/>
  <c r="H38" i="82"/>
  <c r="AB38" i="82" s="1"/>
  <c r="F38" i="82"/>
  <c r="AA38" i="82" s="1"/>
  <c r="Q37" i="82"/>
  <c r="Z37" i="82" s="1"/>
  <c r="J37" i="82"/>
  <c r="AC37" i="82" s="1"/>
  <c r="H37" i="82"/>
  <c r="U37" i="82" s="1"/>
  <c r="F37" i="82"/>
  <c r="AA37" i="82" s="1"/>
  <c r="Q36" i="82"/>
  <c r="Z36" i="82" s="1"/>
  <c r="Q35" i="82"/>
  <c r="Z35" i="82" s="1"/>
  <c r="J35" i="82"/>
  <c r="AC35" i="82" s="1"/>
  <c r="H35" i="82"/>
  <c r="AB35" i="82" s="1"/>
  <c r="F35" i="82"/>
  <c r="AA35" i="82" s="1"/>
  <c r="Q34" i="82"/>
  <c r="Z34" i="82" s="1"/>
  <c r="Q33" i="82"/>
  <c r="Z33" i="82" s="1"/>
  <c r="F33" i="82"/>
  <c r="Q32" i="82"/>
  <c r="Z32" i="82" s="1"/>
  <c r="Q31" i="82"/>
  <c r="Z31" i="82" s="1"/>
  <c r="Q30" i="82"/>
  <c r="Z30" i="82" s="1"/>
  <c r="Q29" i="82"/>
  <c r="Z29" i="82" s="1"/>
  <c r="Q28" i="82"/>
  <c r="Z28" i="82" s="1"/>
  <c r="Q27" i="82"/>
  <c r="Z27" i="82" s="1"/>
  <c r="Q26" i="82"/>
  <c r="Z26" i="82" s="1"/>
  <c r="H26" i="82"/>
  <c r="AB26" i="82" s="1"/>
  <c r="Q25" i="82"/>
  <c r="Z25" i="82" s="1"/>
  <c r="Q23" i="82"/>
  <c r="Z23" i="82" s="1"/>
  <c r="C23" i="82"/>
  <c r="Q21" i="82"/>
  <c r="Z21" i="82" s="1"/>
  <c r="J21" i="82"/>
  <c r="AC21" i="82" s="1"/>
  <c r="H21" i="82"/>
  <c r="U21" i="82" s="1"/>
  <c r="F21" i="82"/>
  <c r="AA21" i="82" s="1"/>
  <c r="C21" i="82"/>
  <c r="Q19" i="82"/>
  <c r="Z19" i="82" s="1"/>
  <c r="C19" i="82"/>
  <c r="Q17" i="82"/>
  <c r="Z17" i="82" s="1"/>
  <c r="F17" i="82"/>
  <c r="C17" i="82"/>
  <c r="Q15" i="82"/>
  <c r="Z15" i="82" s="1"/>
  <c r="C15" i="82"/>
  <c r="Q14" i="82"/>
  <c r="Z14" i="82" s="1"/>
  <c r="Q13" i="82"/>
  <c r="Z13" i="82" s="1"/>
  <c r="Q12" i="82"/>
  <c r="Z12" i="82" s="1"/>
  <c r="Q11" i="82"/>
  <c r="Z11" i="82" s="1"/>
  <c r="J11" i="82"/>
  <c r="AC11" i="82" s="1"/>
  <c r="H11" i="82"/>
  <c r="U11" i="82" s="1"/>
  <c r="F11" i="82"/>
  <c r="AA11" i="82" s="1"/>
  <c r="Q10" i="82"/>
  <c r="Z10" i="82" s="1"/>
  <c r="J10" i="82"/>
  <c r="H10" i="82"/>
  <c r="F10" i="82"/>
  <c r="AA10" i="82" s="1"/>
  <c r="Q9" i="82"/>
  <c r="Z9" i="82" s="1"/>
  <c r="J8" i="82"/>
  <c r="AC8" i="82" s="1"/>
  <c r="H8" i="82"/>
  <c r="AB8" i="82" s="1"/>
  <c r="F8" i="82"/>
  <c r="S8" i="82" s="1"/>
  <c r="A120" i="81"/>
  <c r="E111" i="81"/>
  <c r="E109" i="81"/>
  <c r="H109" i="81" s="1"/>
  <c r="D124" i="81" s="1"/>
  <c r="D125" i="81" s="1"/>
  <c r="E107" i="81"/>
  <c r="A122" i="81" s="1"/>
  <c r="H106" i="81"/>
  <c r="H105" i="81"/>
  <c r="H103" i="81" s="1"/>
  <c r="D120" i="81" s="1"/>
  <c r="H104" i="81"/>
  <c r="D101" i="81"/>
  <c r="C101" i="81"/>
  <c r="C91" i="81"/>
  <c r="E90" i="81"/>
  <c r="D89" i="81"/>
  <c r="C89" i="81" s="1"/>
  <c r="C87" i="81" s="1"/>
  <c r="H77" i="81"/>
  <c r="D77" i="81"/>
  <c r="C76" i="81"/>
  <c r="F59" i="81"/>
  <c r="O55" i="81" s="1"/>
  <c r="E59" i="81"/>
  <c r="F56" i="81"/>
  <c r="O54" i="81" s="1"/>
  <c r="N55" i="81"/>
  <c r="K55" i="81"/>
  <c r="J55" i="81"/>
  <c r="I55" i="81"/>
  <c r="F55" i="81" s="1"/>
  <c r="O53" i="81" s="1"/>
  <c r="N54" i="81"/>
  <c r="N53" i="81"/>
  <c r="K49" i="81"/>
  <c r="E48" i="81"/>
  <c r="N52" i="81" s="1"/>
  <c r="F33" i="81"/>
  <c r="D27" i="81"/>
  <c r="C25" i="81"/>
  <c r="C24" i="81"/>
  <c r="D17" i="81"/>
  <c r="C17" i="81"/>
  <c r="L4" i="81"/>
  <c r="K4" i="81"/>
  <c r="H1" i="81"/>
  <c r="D2" i="85"/>
  <c r="D2" i="82"/>
  <c r="F26" i="82" l="1"/>
  <c r="AA26" i="82" s="1"/>
  <c r="C18" i="84"/>
  <c r="D18" i="84" s="1"/>
  <c r="F30" i="85"/>
  <c r="AA30" i="85" s="1"/>
  <c r="D23" i="86"/>
  <c r="J26" i="82"/>
  <c r="AC26" i="82" s="1"/>
  <c r="D22" i="83"/>
  <c r="J26" i="85"/>
  <c r="W26" i="85" s="1"/>
  <c r="C18" i="81"/>
  <c r="D18" i="81" s="1"/>
  <c r="F43" i="82"/>
  <c r="J43" i="85"/>
  <c r="AC43" i="85" s="1"/>
  <c r="AA38" i="85"/>
  <c r="AB38" i="85"/>
  <c r="H23" i="82"/>
  <c r="AB23" i="82" s="1"/>
  <c r="A126" i="84"/>
  <c r="H45" i="85"/>
  <c r="S46" i="82"/>
  <c r="J45" i="85"/>
  <c r="AC45" i="85" s="1"/>
  <c r="A124" i="81"/>
  <c r="F19" i="85"/>
  <c r="AA19" i="85" s="1"/>
  <c r="J45" i="82"/>
  <c r="W45" i="82" s="1"/>
  <c r="AB21" i="82"/>
  <c r="AC38" i="82"/>
  <c r="F42" i="85"/>
  <c r="AA42" i="85" s="1"/>
  <c r="H42" i="85"/>
  <c r="AB42" i="85" s="1"/>
  <c r="J42" i="85"/>
  <c r="AC42" i="85" s="1"/>
  <c r="H41" i="82"/>
  <c r="AB41" i="82" s="1"/>
  <c r="H43" i="82"/>
  <c r="AB43" i="82" s="1"/>
  <c r="F41" i="82"/>
  <c r="S41" i="82" s="1"/>
  <c r="AA25" i="85"/>
  <c r="S33" i="82"/>
  <c r="AA33" i="82"/>
  <c r="U35" i="85"/>
  <c r="AB35" i="85"/>
  <c r="H33" i="82"/>
  <c r="J33" i="82"/>
  <c r="AC33" i="82" s="1"/>
  <c r="F34" i="85"/>
  <c r="H34" i="85"/>
  <c r="U34" i="85" s="1"/>
  <c r="W13" i="85"/>
  <c r="H9" i="82"/>
  <c r="J9" i="82"/>
  <c r="AC9" i="82" s="1"/>
  <c r="F9" i="82"/>
  <c r="S9" i="82" s="1"/>
  <c r="J13" i="82"/>
  <c r="AC13" i="82" s="1"/>
  <c r="H13" i="82"/>
  <c r="F13" i="82"/>
  <c r="E123" i="82"/>
  <c r="W10" i="82"/>
  <c r="AC10" i="82"/>
  <c r="AB17" i="82"/>
  <c r="U17" i="82"/>
  <c r="W35" i="82"/>
  <c r="S45" i="85"/>
  <c r="AA45" i="85"/>
  <c r="S43" i="82"/>
  <c r="AA43" i="82"/>
  <c r="J12" i="82"/>
  <c r="H12" i="82"/>
  <c r="AB12" i="82" s="1"/>
  <c r="F12" i="82"/>
  <c r="S12" i="82" s="1"/>
  <c r="AC30" i="82"/>
  <c r="W30" i="82"/>
  <c r="U10" i="82"/>
  <c r="AB10" i="82"/>
  <c r="AA17" i="82"/>
  <c r="S17" i="82"/>
  <c r="AC39" i="82"/>
  <c r="W39" i="82"/>
  <c r="J14" i="82"/>
  <c r="W14" i="82" s="1"/>
  <c r="F14" i="82"/>
  <c r="H14" i="82"/>
  <c r="H34" i="82"/>
  <c r="J34" i="82"/>
  <c r="AC30" i="85"/>
  <c r="W30" i="85"/>
  <c r="AB19" i="82"/>
  <c r="U19" i="82"/>
  <c r="J25" i="82"/>
  <c r="AC25" i="82" s="1"/>
  <c r="H25" i="82"/>
  <c r="U25" i="85"/>
  <c r="AB25" i="85"/>
  <c r="H103" i="84"/>
  <c r="D120" i="84" s="1"/>
  <c r="D121" i="84" s="1"/>
  <c r="F12" i="85"/>
  <c r="W14" i="85"/>
  <c r="S23" i="82"/>
  <c r="F44" i="82"/>
  <c r="AA44" i="82" s="1"/>
  <c r="F9" i="85"/>
  <c r="AA9" i="85" s="1"/>
  <c r="W43" i="85"/>
  <c r="W11" i="82"/>
  <c r="J44" i="82"/>
  <c r="H9" i="85"/>
  <c r="AB9" i="85" s="1"/>
  <c r="H112" i="84"/>
  <c r="F17" i="85"/>
  <c r="F44" i="85"/>
  <c r="J41" i="82"/>
  <c r="F13" i="85"/>
  <c r="AA13" i="85" s="1"/>
  <c r="H17" i="85"/>
  <c r="AB17" i="85" s="1"/>
  <c r="AA37" i="85"/>
  <c r="F41" i="85"/>
  <c r="AA41" i="85" s="1"/>
  <c r="H44" i="85"/>
  <c r="U44" i="85" s="1"/>
  <c r="P61" i="86"/>
  <c r="J43" i="82"/>
  <c r="AC43" i="82" s="1"/>
  <c r="F26" i="85"/>
  <c r="AA26" i="85" s="1"/>
  <c r="H26" i="85"/>
  <c r="F19" i="82"/>
  <c r="U23" i="82"/>
  <c r="AB37" i="82"/>
  <c r="U46" i="85"/>
  <c r="W8" i="82"/>
  <c r="U38" i="82"/>
  <c r="F45" i="82"/>
  <c r="AA45" i="82" s="1"/>
  <c r="H13" i="85"/>
  <c r="U13" i="85" s="1"/>
  <c r="J17" i="85"/>
  <c r="AC17" i="85" s="1"/>
  <c r="H41" i="85"/>
  <c r="AB41" i="85" s="1"/>
  <c r="S8" i="85"/>
  <c r="AB11" i="85"/>
  <c r="U43" i="82"/>
  <c r="U8" i="85"/>
  <c r="H12" i="85"/>
  <c r="AB39" i="85"/>
  <c r="U8" i="82"/>
  <c r="AC8" i="85"/>
  <c r="U43" i="85"/>
  <c r="J41" i="85"/>
  <c r="AC41" i="85" s="1"/>
  <c r="C92" i="84"/>
  <c r="C94" i="84"/>
  <c r="S11" i="85"/>
  <c r="AC40" i="85"/>
  <c r="S10" i="85"/>
  <c r="S21" i="85"/>
  <c r="AB30" i="85"/>
  <c r="AC35" i="85"/>
  <c r="H27" i="85"/>
  <c r="F27" i="85"/>
  <c r="W9" i="85"/>
  <c r="H109" i="84"/>
  <c r="AA23" i="85"/>
  <c r="AC26" i="85"/>
  <c r="J33" i="85"/>
  <c r="H33" i="85"/>
  <c r="AC39" i="85"/>
  <c r="U10" i="85"/>
  <c r="AC11" i="85"/>
  <c r="W11" i="85"/>
  <c r="AC12" i="85"/>
  <c r="AB13" i="85"/>
  <c r="F15" i="85"/>
  <c r="J27" i="85"/>
  <c r="F33" i="85"/>
  <c r="F91" i="85"/>
  <c r="G91" i="85" s="1"/>
  <c r="H91" i="85" s="1"/>
  <c r="I91" i="85" s="1"/>
  <c r="J91" i="85" s="1"/>
  <c r="K91" i="85" s="1"/>
  <c r="L91" i="85" s="1"/>
  <c r="M91" i="85" s="1"/>
  <c r="F106" i="85"/>
  <c r="G106" i="85" s="1"/>
  <c r="H106" i="85" s="1"/>
  <c r="I106" i="85" s="1"/>
  <c r="J106" i="85" s="1"/>
  <c r="K106" i="85" s="1"/>
  <c r="L106" i="85" s="1"/>
  <c r="M106" i="85" s="1"/>
  <c r="J34" i="85"/>
  <c r="F111" i="85"/>
  <c r="S14" i="85"/>
  <c r="W10" i="85"/>
  <c r="J15" i="85"/>
  <c r="AB45" i="85"/>
  <c r="U45" i="85"/>
  <c r="H15" i="85"/>
  <c r="J19" i="85"/>
  <c r="H19" i="85"/>
  <c r="J23" i="85"/>
  <c r="H23" i="85"/>
  <c r="E101" i="85"/>
  <c r="F101" i="85" s="1"/>
  <c r="G101" i="85" s="1"/>
  <c r="H101" i="85" s="1"/>
  <c r="I101" i="85" s="1"/>
  <c r="J101" i="85" s="1"/>
  <c r="K101" i="85" s="1"/>
  <c r="L101" i="85" s="1"/>
  <c r="M101" i="85" s="1"/>
  <c r="U14" i="85"/>
  <c r="U21" i="85"/>
  <c r="W25" i="85"/>
  <c r="U37" i="85"/>
  <c r="W38" i="85"/>
  <c r="S40" i="85"/>
  <c r="W42" i="85"/>
  <c r="J46" i="85"/>
  <c r="F46" i="85"/>
  <c r="W21" i="85"/>
  <c r="S30" i="85"/>
  <c r="S35" i="85"/>
  <c r="W37" i="85"/>
  <c r="S39" i="85"/>
  <c r="U40" i="85"/>
  <c r="S43" i="85"/>
  <c r="W44" i="85"/>
  <c r="W26" i="82"/>
  <c r="K120" i="81"/>
  <c r="D121" i="81"/>
  <c r="C92" i="81"/>
  <c r="C94" i="81"/>
  <c r="F111" i="82"/>
  <c r="G111" i="82" s="1"/>
  <c r="H111" i="82" s="1"/>
  <c r="I111" i="82" s="1"/>
  <c r="J111" i="82" s="1"/>
  <c r="K111" i="82" s="1"/>
  <c r="L111" i="82" s="1"/>
  <c r="M111" i="82" s="1"/>
  <c r="S10" i="82"/>
  <c r="S21" i="82"/>
  <c r="A126" i="81"/>
  <c r="H111" i="81"/>
  <c r="D126" i="81" s="1"/>
  <c r="D127" i="81" s="1"/>
  <c r="AA40" i="82"/>
  <c r="H110" i="81"/>
  <c r="S37" i="82"/>
  <c r="AB44" i="82"/>
  <c r="F77" i="82"/>
  <c r="J15" i="82" s="1"/>
  <c r="F87" i="82"/>
  <c r="G87" i="82" s="1"/>
  <c r="H87" i="82" s="1"/>
  <c r="I87" i="82" s="1"/>
  <c r="J87" i="82" s="1"/>
  <c r="K87" i="82" s="1"/>
  <c r="L87" i="82" s="1"/>
  <c r="M87" i="82" s="1"/>
  <c r="F25" i="82"/>
  <c r="F91" i="82"/>
  <c r="G91" i="82" s="1"/>
  <c r="H91" i="82" s="1"/>
  <c r="I91" i="82" s="1"/>
  <c r="J91" i="82" s="1"/>
  <c r="K91" i="82" s="1"/>
  <c r="L91" i="82" s="1"/>
  <c r="M91" i="82" s="1"/>
  <c r="J27" i="82"/>
  <c r="H27" i="82"/>
  <c r="AA8" i="82"/>
  <c r="AB11" i="82"/>
  <c r="H112" i="81"/>
  <c r="AA9" i="82"/>
  <c r="F27" i="82"/>
  <c r="F79" i="82"/>
  <c r="G79" i="82" s="1"/>
  <c r="J17" i="82"/>
  <c r="F85" i="82"/>
  <c r="G85" i="82" s="1"/>
  <c r="J23" i="82"/>
  <c r="F34" i="82"/>
  <c r="F106" i="82"/>
  <c r="G106" i="82" s="1"/>
  <c r="H106" i="82" s="1"/>
  <c r="I106" i="82" s="1"/>
  <c r="J106" i="82" s="1"/>
  <c r="K106" i="82" s="1"/>
  <c r="L106" i="82" s="1"/>
  <c r="M106" i="82" s="1"/>
  <c r="F123" i="82"/>
  <c r="G123" i="82" s="1"/>
  <c r="H123" i="82" s="1"/>
  <c r="I123" i="82" s="1"/>
  <c r="J123" i="82" s="1"/>
  <c r="K123" i="82" s="1"/>
  <c r="L123" i="82" s="1"/>
  <c r="M123" i="82" s="1"/>
  <c r="H42" i="82"/>
  <c r="U41" i="82"/>
  <c r="F81" i="82"/>
  <c r="G81" i="82" s="1"/>
  <c r="J19" i="82"/>
  <c r="H30" i="82"/>
  <c r="F30" i="82"/>
  <c r="W21" i="82"/>
  <c r="S26" i="82"/>
  <c r="S35" i="82"/>
  <c r="W37" i="82"/>
  <c r="S39" i="82"/>
  <c r="U40" i="82"/>
  <c r="F42" i="82"/>
  <c r="P61" i="83"/>
  <c r="S11" i="82"/>
  <c r="W13" i="82"/>
  <c r="U26" i="82"/>
  <c r="U35" i="82"/>
  <c r="S38" i="82"/>
  <c r="U39" i="82"/>
  <c r="W40" i="82"/>
  <c r="AC42" i="82"/>
  <c r="W42" i="82"/>
  <c r="J46" i="82"/>
  <c r="H46" i="82"/>
  <c r="U45" i="82"/>
  <c r="H15" i="82" l="1"/>
  <c r="AB15" i="82" s="1"/>
  <c r="AB44" i="85"/>
  <c r="U42" i="85"/>
  <c r="AC45" i="82"/>
  <c r="S9" i="85"/>
  <c r="S19" i="85"/>
  <c r="S44" i="82"/>
  <c r="K120" i="84"/>
  <c r="U12" i="82"/>
  <c r="W9" i="82"/>
  <c r="U9" i="85"/>
  <c r="W45" i="85"/>
  <c r="S42" i="85"/>
  <c r="G111" i="85"/>
  <c r="H111" i="85" s="1"/>
  <c r="I111" i="85" s="1"/>
  <c r="J111" i="85" s="1"/>
  <c r="K111" i="85" s="1"/>
  <c r="L111" i="85" s="1"/>
  <c r="M111" i="85" s="1"/>
  <c r="S26" i="85"/>
  <c r="U41" i="85"/>
  <c r="W43" i="82"/>
  <c r="AA41" i="82"/>
  <c r="S12" i="85"/>
  <c r="AA12" i="85"/>
  <c r="U33" i="82"/>
  <c r="AB33" i="82"/>
  <c r="S45" i="82"/>
  <c r="S13" i="85"/>
  <c r="W41" i="82"/>
  <c r="AC41" i="82"/>
  <c r="AB25" i="82"/>
  <c r="U25" i="82"/>
  <c r="S17" i="85"/>
  <c r="AA17" i="85"/>
  <c r="AA19" i="82"/>
  <c r="S19" i="82"/>
  <c r="S13" i="82"/>
  <c r="AA13" i="82"/>
  <c r="U13" i="82"/>
  <c r="AB13" i="82"/>
  <c r="W33" i="82"/>
  <c r="U26" i="85"/>
  <c r="AB26" i="85"/>
  <c r="AC12" i="82"/>
  <c r="W12" i="82"/>
  <c r="AC34" i="82"/>
  <c r="W34" i="82"/>
  <c r="W25" i="82"/>
  <c r="AB34" i="82"/>
  <c r="U34" i="82"/>
  <c r="U9" i="82"/>
  <c r="AB9" i="82"/>
  <c r="AC14" i="82"/>
  <c r="U14" i="82"/>
  <c r="AB14" i="82"/>
  <c r="S34" i="85"/>
  <c r="AA34" i="85"/>
  <c r="U17" i="85"/>
  <c r="S41" i="85"/>
  <c r="S44" i="85"/>
  <c r="AA44" i="85"/>
  <c r="W17" i="85"/>
  <c r="AB34" i="85"/>
  <c r="U12" i="85"/>
  <c r="AB12" i="85"/>
  <c r="AC44" i="82"/>
  <c r="W44" i="82"/>
  <c r="AA12" i="82"/>
  <c r="W41" i="85"/>
  <c r="S14" i="82"/>
  <c r="AA14" i="82"/>
  <c r="AB19" i="85"/>
  <c r="U19" i="85"/>
  <c r="AC19" i="85"/>
  <c r="W19" i="85"/>
  <c r="W27" i="85"/>
  <c r="AC27" i="85"/>
  <c r="AC33" i="85"/>
  <c r="W33" i="85"/>
  <c r="AB27" i="85"/>
  <c r="U27" i="85"/>
  <c r="AC46" i="85"/>
  <c r="W46" i="85"/>
  <c r="AB33" i="85"/>
  <c r="U33" i="85"/>
  <c r="AB23" i="85"/>
  <c r="U23" i="85"/>
  <c r="AB15" i="85"/>
  <c r="U15" i="85"/>
  <c r="W15" i="85"/>
  <c r="AC15" i="85"/>
  <c r="S15" i="85"/>
  <c r="AA15" i="85"/>
  <c r="AA27" i="85"/>
  <c r="S27" i="85"/>
  <c r="AA46" i="85"/>
  <c r="S46" i="85"/>
  <c r="AC23" i="85"/>
  <c r="W23" i="85"/>
  <c r="AC34" i="85"/>
  <c r="W34" i="85"/>
  <c r="AA33" i="85"/>
  <c r="S33" i="85"/>
  <c r="D124" i="84"/>
  <c r="D125" i="84" s="1"/>
  <c r="H110" i="84"/>
  <c r="AA34" i="82"/>
  <c r="S34" i="82"/>
  <c r="AA30" i="82"/>
  <c r="S30" i="82"/>
  <c r="AC17" i="82"/>
  <c r="W17" i="82"/>
  <c r="AC27" i="82"/>
  <c r="W27" i="82"/>
  <c r="AB30" i="82"/>
  <c r="U30" i="82"/>
  <c r="AC19" i="82"/>
  <c r="W19" i="82"/>
  <c r="AB42" i="82"/>
  <c r="U42" i="82"/>
  <c r="AC23" i="82"/>
  <c r="W23" i="82"/>
  <c r="AA25" i="82"/>
  <c r="S25" i="82"/>
  <c r="AC15" i="82"/>
  <c r="W15" i="82"/>
  <c r="AB46" i="82"/>
  <c r="U46" i="82"/>
  <c r="AA42" i="82"/>
  <c r="S42" i="82"/>
  <c r="G77" i="82"/>
  <c r="F15" i="82"/>
  <c r="AC46" i="82"/>
  <c r="W46" i="82"/>
  <c r="AA27" i="82"/>
  <c r="S27" i="82"/>
  <c r="AB27" i="82"/>
  <c r="U27" i="82"/>
  <c r="U15" i="82" l="1"/>
  <c r="S15" i="82"/>
  <c r="AA15" i="82"/>
  <c r="D3" i="4" l="1"/>
  <c r="W20" i="1"/>
  <c r="W21" i="1" l="1"/>
  <c r="G19" i="6"/>
  <c r="F19" i="6"/>
  <c r="T92" i="82" l="1"/>
  <c r="T92" i="85"/>
  <c r="W24" i="1"/>
  <c r="W22" i="1"/>
  <c r="W23" i="1"/>
  <c r="O97" i="33"/>
  <c r="O98" i="33"/>
  <c r="O99" i="33"/>
  <c r="C33" i="33"/>
  <c r="T95" i="85" l="1"/>
  <c r="T94" i="85"/>
  <c r="T93" i="85"/>
  <c r="T97" i="85" s="1"/>
  <c r="H28" i="85"/>
  <c r="F28" i="85"/>
  <c r="J28" i="85"/>
  <c r="T93" i="82"/>
  <c r="T97" i="82" s="1"/>
  <c r="J28" i="82"/>
  <c r="H28" i="82"/>
  <c r="T95" i="82"/>
  <c r="F28" i="82"/>
  <c r="T94" i="82"/>
  <c r="W25" i="1"/>
  <c r="V25" i="1" s="1"/>
  <c r="O100" i="85" l="1"/>
  <c r="O100" i="82"/>
  <c r="H29" i="82"/>
  <c r="F29" i="82"/>
  <c r="J29" i="82"/>
  <c r="AB28" i="82"/>
  <c r="U28" i="82"/>
  <c r="AA28" i="85"/>
  <c r="S28" i="85"/>
  <c r="S28" i="82"/>
  <c r="AA28" i="82"/>
  <c r="AC28" i="82"/>
  <c r="W28" i="82"/>
  <c r="AC28" i="85"/>
  <c r="W28" i="85"/>
  <c r="AB28" i="85"/>
  <c r="U28" i="85"/>
  <c r="J29" i="85"/>
  <c r="H29" i="85"/>
  <c r="F29" i="85"/>
  <c r="X25" i="1"/>
  <c r="O100" i="33"/>
  <c r="S29" i="85" l="1"/>
  <c r="AA29" i="85"/>
  <c r="AB29" i="85"/>
  <c r="U29" i="85"/>
  <c r="W29" i="82"/>
  <c r="AC29" i="82"/>
  <c r="AA29" i="82"/>
  <c r="S29" i="82"/>
  <c r="U29" i="82"/>
  <c r="AB29" i="82"/>
  <c r="W29" i="85"/>
  <c r="AC29" i="85"/>
  <c r="J32" i="82"/>
  <c r="H32" i="82"/>
  <c r="P97" i="82"/>
  <c r="P98" i="82"/>
  <c r="F32" i="82"/>
  <c r="P99" i="82"/>
  <c r="F32" i="85"/>
  <c r="P97" i="85"/>
  <c r="J32" i="85"/>
  <c r="H32" i="85"/>
  <c r="P98" i="85"/>
  <c r="P99"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D85" i="71"/>
  <c r="F84" i="71"/>
  <c r="E84" i="71"/>
  <c r="E83" i="71" s="1"/>
  <c r="E82" i="71" s="1"/>
  <c r="C84" i="71"/>
  <c r="B84" i="71"/>
  <c r="B83" i="71" s="1"/>
  <c r="B82" i="71" s="1"/>
  <c r="F83" i="71"/>
  <c r="F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F75" i="71" s="1"/>
  <c r="F74" i="71" s="1"/>
  <c r="E76" i="71"/>
  <c r="C76" i="71"/>
  <c r="B76" i="71"/>
  <c r="Q75" i="71"/>
  <c r="P75" i="71"/>
  <c r="O75" i="71"/>
  <c r="N75" i="71"/>
  <c r="Q74" i="71"/>
  <c r="P74" i="71"/>
  <c r="O74" i="71"/>
  <c r="N74" i="71"/>
  <c r="Q73" i="71"/>
  <c r="P73" i="71"/>
  <c r="O73" i="71"/>
  <c r="N73" i="71"/>
  <c r="D73" i="71"/>
  <c r="Q72" i="71"/>
  <c r="P72" i="71"/>
  <c r="O72" i="71"/>
  <c r="N72" i="71"/>
  <c r="F72" i="71"/>
  <c r="E72" i="71"/>
  <c r="C72" i="71"/>
  <c r="T72" i="71" s="1"/>
  <c r="B72" i="71"/>
  <c r="S72" i="71" s="1"/>
  <c r="Q71" i="71"/>
  <c r="P71" i="71"/>
  <c r="O71" i="71"/>
  <c r="N71" i="71"/>
  <c r="C71" i="71"/>
  <c r="Q70" i="71"/>
  <c r="P70" i="71"/>
  <c r="O70" i="71"/>
  <c r="N70" i="71"/>
  <c r="Q69" i="71"/>
  <c r="P69" i="71"/>
  <c r="O69" i="71"/>
  <c r="N69" i="71"/>
  <c r="D69" i="71"/>
  <c r="F68" i="71"/>
  <c r="V68" i="71" s="1"/>
  <c r="E68" i="71"/>
  <c r="C68" i="71"/>
  <c r="D68" i="71" s="1"/>
  <c r="B68" i="71"/>
  <c r="S68" i="71" s="1"/>
  <c r="F67" i="71"/>
  <c r="Q67" i="71" s="1"/>
  <c r="B67" i="71"/>
  <c r="D65" i="71"/>
  <c r="Q64" i="71"/>
  <c r="P64" i="71"/>
  <c r="O64" i="71"/>
  <c r="N64" i="71"/>
  <c r="Q63" i="71"/>
  <c r="P63" i="71"/>
  <c r="O63" i="71"/>
  <c r="N63" i="71"/>
  <c r="Q62" i="71"/>
  <c r="P62" i="71"/>
  <c r="O62" i="71"/>
  <c r="N62" i="71"/>
  <c r="Q61" i="71"/>
  <c r="F62" i="71" s="1"/>
  <c r="F63"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s="1"/>
  <c r="N45" i="71"/>
  <c r="B46" i="71" s="1"/>
  <c r="B47" i="71" s="1"/>
  <c r="D45" i="71"/>
  <c r="Q44" i="71"/>
  <c r="P44" i="71"/>
  <c r="O44" i="71"/>
  <c r="N44" i="71"/>
  <c r="Q43" i="71"/>
  <c r="P43" i="71"/>
  <c r="O43" i="71"/>
  <c r="N43" i="71"/>
  <c r="Q42" i="71"/>
  <c r="P42" i="71"/>
  <c r="O42" i="71"/>
  <c r="N42" i="71"/>
  <c r="Q41" i="71"/>
  <c r="F42" i="71" s="1"/>
  <c r="P41" i="71"/>
  <c r="E42" i="71" s="1"/>
  <c r="O41" i="71"/>
  <c r="C42" i="71" s="1"/>
  <c r="C43"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AH38" i="71"/>
  <c r="AG38" i="71"/>
  <c r="AE38" i="71"/>
  <c r="AF38" i="71" s="1"/>
  <c r="AD38" i="71"/>
  <c r="Q38" i="71"/>
  <c r="P38" i="71"/>
  <c r="AA38" i="71" s="1"/>
  <c r="O38" i="71"/>
  <c r="N38" i="71"/>
  <c r="AH37" i="71"/>
  <c r="AG37" i="71"/>
  <c r="AE37" i="71"/>
  <c r="AF37" i="71" s="1"/>
  <c r="AD37" i="71"/>
  <c r="Q37" i="71"/>
  <c r="F38" i="71" s="1"/>
  <c r="P37" i="71"/>
  <c r="O37" i="7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O33" i="71"/>
  <c r="C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P29" i="71"/>
  <c r="O29" i="71"/>
  <c r="C30" i="71" s="1"/>
  <c r="C31" i="71" s="1"/>
  <c r="N29" i="71"/>
  <c r="B30" i="71" s="1"/>
  <c r="D29" i="71"/>
  <c r="AH28" i="71"/>
  <c r="AG28" i="71"/>
  <c r="AE28" i="71"/>
  <c r="AF28" i="71" s="1"/>
  <c r="AD28" i="71"/>
  <c r="Q28" i="71"/>
  <c r="P28" i="71"/>
  <c r="O28" i="71"/>
  <c r="N28" i="71"/>
  <c r="B28" i="71" s="1"/>
  <c r="S28" i="71" s="1"/>
  <c r="F28" i="71"/>
  <c r="E28" i="71"/>
  <c r="V28" i="71" s="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D24" i="71" s="1"/>
  <c r="N24" i="71"/>
  <c r="F24" i="7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M50" i="79"/>
  <c r="P50" i="79" s="1"/>
  <c r="L50" i="79"/>
  <c r="I50" i="79"/>
  <c r="AB49" i="79"/>
  <c r="AA49" i="79"/>
  <c r="Z49" i="79"/>
  <c r="N49" i="79"/>
  <c r="M49" i="79"/>
  <c r="P49" i="79" s="1"/>
  <c r="L49" i="79"/>
  <c r="I49" i="79"/>
  <c r="AB48" i="79"/>
  <c r="AA48" i="79"/>
  <c r="Z48" i="79"/>
  <c r="N48" i="79"/>
  <c r="M48" i="79"/>
  <c r="P48" i="79" s="1"/>
  <c r="L48" i="79"/>
  <c r="I48" i="79"/>
  <c r="AB47" i="79"/>
  <c r="AA47" i="79"/>
  <c r="Z47" i="79"/>
  <c r="N47" i="79"/>
  <c r="M47" i="79"/>
  <c r="L47" i="79"/>
  <c r="I47" i="79"/>
  <c r="AB46" i="79"/>
  <c r="AA46" i="79"/>
  <c r="Z46" i="79"/>
  <c r="N46" i="79"/>
  <c r="M46" i="79"/>
  <c r="P46" i="79" s="1"/>
  <c r="L46" i="79"/>
  <c r="I46" i="79"/>
  <c r="AB45" i="79"/>
  <c r="AA45" i="79"/>
  <c r="Z45" i="79"/>
  <c r="N45" i="79"/>
  <c r="M45" i="79"/>
  <c r="P45" i="79" s="1"/>
  <c r="L45" i="79"/>
  <c r="I45" i="79"/>
  <c r="N44" i="79"/>
  <c r="M44" i="79"/>
  <c r="P44" i="79" s="1"/>
  <c r="L44" i="79"/>
  <c r="I44" i="79"/>
  <c r="N43" i="79"/>
  <c r="M43" i="79"/>
  <c r="L43" i="79"/>
  <c r="I43" i="79"/>
  <c r="N42" i="79"/>
  <c r="M42" i="79"/>
  <c r="P42" i="79" s="1"/>
  <c r="L42" i="79"/>
  <c r="I42" i="79"/>
  <c r="N41" i="79"/>
  <c r="M41" i="79"/>
  <c r="L41" i="79"/>
  <c r="I41" i="79"/>
  <c r="N40" i="79"/>
  <c r="M40" i="79"/>
  <c r="P40" i="79" s="1"/>
  <c r="L40" i="79"/>
  <c r="I40" i="79"/>
  <c r="AB39" i="79"/>
  <c r="AA39" i="79"/>
  <c r="Z39" i="79"/>
  <c r="N39" i="79"/>
  <c r="M39" i="79"/>
  <c r="P39" i="79" s="1"/>
  <c r="L39" i="79"/>
  <c r="I39" i="79"/>
  <c r="AB38" i="79"/>
  <c r="AA38" i="79"/>
  <c r="Z38" i="79"/>
  <c r="N38" i="79"/>
  <c r="M38" i="79"/>
  <c r="P38" i="79" s="1"/>
  <c r="L38" i="79"/>
  <c r="I38" i="79"/>
  <c r="AB37" i="79"/>
  <c r="AA37" i="79"/>
  <c r="Z37" i="79"/>
  <c r="N37" i="79"/>
  <c r="M37" i="79"/>
  <c r="P37" i="79" s="1"/>
  <c r="L37" i="79"/>
  <c r="I37" i="79"/>
  <c r="AP36" i="79"/>
  <c r="AP37" i="79" s="1"/>
  <c r="AP38" i="79" s="1"/>
  <c r="AP39" i="79" s="1"/>
  <c r="AP40" i="79" s="1"/>
  <c r="AP41" i="79" s="1"/>
  <c r="AP42" i="79" s="1"/>
  <c r="AP43" i="79" s="1"/>
  <c r="AP44" i="79" s="1"/>
  <c r="AP45" i="79" s="1"/>
  <c r="AP46" i="79" s="1"/>
  <c r="AP47" i="79" s="1"/>
  <c r="AP48" i="79" s="1"/>
  <c r="AP49" i="79" s="1"/>
  <c r="AP50" i="79" s="1"/>
  <c r="AP51" i="79" s="1"/>
  <c r="AP52" i="79" s="1"/>
  <c r="AB36" i="79"/>
  <c r="AA36" i="79"/>
  <c r="Z36" i="79"/>
  <c r="N36" i="79"/>
  <c r="M36" i="79"/>
  <c r="P36" i="79" s="1"/>
  <c r="L36" i="79"/>
  <c r="I36" i="79"/>
  <c r="AB35" i="79"/>
  <c r="AA35" i="79"/>
  <c r="Z35" i="79"/>
  <c r="N35" i="79"/>
  <c r="M35" i="79"/>
  <c r="P35" i="79" s="1"/>
  <c r="L35" i="79"/>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O22" i="79"/>
  <c r="N22" i="79"/>
  <c r="M22" i="79"/>
  <c r="P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N18" i="79"/>
  <c r="M18" i="79"/>
  <c r="P18" i="79" s="1"/>
  <c r="L18" i="79"/>
  <c r="K18" i="79"/>
  <c r="I18" i="79"/>
  <c r="AC17" i="79"/>
  <c r="AB17" i="79"/>
  <c r="AA17" i="79"/>
  <c r="AD17" i="79" s="1"/>
  <c r="Z17" i="79"/>
  <c r="Y17" i="79"/>
  <c r="O17" i="79"/>
  <c r="N17" i="79"/>
  <c r="M17" i="79"/>
  <c r="P17" i="79" s="1"/>
  <c r="L17" i="79"/>
  <c r="K17" i="79"/>
  <c r="I17" i="79"/>
  <c r="O16" i="79"/>
  <c r="N16" i="79"/>
  <c r="M16" i="79"/>
  <c r="P16" i="79" s="1"/>
  <c r="L16" i="79"/>
  <c r="K16" i="79"/>
  <c r="I16" i="79"/>
  <c r="O15" i="79"/>
  <c r="N15" i="79"/>
  <c r="M15" i="79"/>
  <c r="P15" i="79" s="1"/>
  <c r="L15" i="79"/>
  <c r="K15" i="79"/>
  <c r="I15" i="79"/>
  <c r="O14" i="79"/>
  <c r="N14" i="79"/>
  <c r="M14" i="79"/>
  <c r="L14" i="79"/>
  <c r="K14" i="79"/>
  <c r="I14" i="79"/>
  <c r="O13" i="79"/>
  <c r="N13" i="79"/>
  <c r="M13" i="79"/>
  <c r="L13" i="79"/>
  <c r="K13" i="79"/>
  <c r="I13"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AC8" i="79"/>
  <c r="AB8" i="79"/>
  <c r="AA8" i="79"/>
  <c r="AD8" i="79" s="1"/>
  <c r="Z8" i="79"/>
  <c r="Y8" i="79"/>
  <c r="O8" i="79"/>
  <c r="N8" i="79"/>
  <c r="M8" i="79"/>
  <c r="P8" i="79" s="1"/>
  <c r="L8" i="79"/>
  <c r="K8" i="79"/>
  <c r="I8" i="79"/>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P6" i="79" s="1"/>
  <c r="L6" i="79"/>
  <c r="K6" i="79"/>
  <c r="I6" i="79"/>
  <c r="AC5" i="79"/>
  <c r="AB5" i="79"/>
  <c r="AA5" i="79"/>
  <c r="AD5" i="79" s="1"/>
  <c r="Z5" i="79"/>
  <c r="Y5" i="79"/>
  <c r="O5" i="79"/>
  <c r="N5" i="79"/>
  <c r="M5" i="79"/>
  <c r="L5" i="79"/>
  <c r="K5" i="79"/>
  <c r="I5" i="79"/>
  <c r="AR6" i="79" s="1"/>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c r="D95" i="43"/>
  <c r="B95" i="43"/>
  <c r="M94" i="43"/>
  <c r="N94" i="43" s="1"/>
  <c r="K94" i="43"/>
  <c r="J94" i="43" s="1"/>
  <c r="D94" i="43"/>
  <c r="M93" i="43"/>
  <c r="N93" i="43" s="1"/>
  <c r="K93" i="43"/>
  <c r="J93" i="43" s="1"/>
  <c r="F93" i="43"/>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c r="D84" i="43"/>
  <c r="M83" i="43"/>
  <c r="N83" i="43" s="1"/>
  <c r="K83" i="43"/>
  <c r="J83" i="43" s="1"/>
  <c r="F83" i="43"/>
  <c r="H89" i="43" s="1"/>
  <c r="D83" i="43"/>
  <c r="E83" i="43" s="1"/>
  <c r="B81" i="43" s="1"/>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M69" i="43"/>
  <c r="N69" i="43" s="1"/>
  <c r="K69" i="43"/>
  <c r="D69" i="43" s="1"/>
  <c r="J69" i="43"/>
  <c r="M68" i="43"/>
  <c r="N68" i="43" s="1"/>
  <c r="K68" i="43"/>
  <c r="J68" i="43" s="1"/>
  <c r="D68" i="43" s="1"/>
  <c r="M67" i="43"/>
  <c r="N67" i="43" s="1"/>
  <c r="K67" i="43"/>
  <c r="J67" i="43" s="1"/>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M51" i="43"/>
  <c r="N51" i="43" s="1"/>
  <c r="K51" i="43"/>
  <c r="J51" i="43" s="1"/>
  <c r="D51" i="43"/>
  <c r="M50" i="43"/>
  <c r="N50" i="43" s="1"/>
  <c r="K50" i="43"/>
  <c r="J50" i="43" s="1"/>
  <c r="F50" i="43"/>
  <c r="H55" i="43" s="1"/>
  <c r="D50" i="43"/>
  <c r="B50" i="43"/>
  <c r="H42" i="43"/>
  <c r="H41" i="43"/>
  <c r="H40" i="43"/>
  <c r="H39" i="43"/>
  <c r="H38" i="43"/>
  <c r="H37" i="43"/>
  <c r="J24" i="43"/>
  <c r="G24" i="43"/>
  <c r="E24" i="43"/>
  <c r="O32" i="43" s="1"/>
  <c r="I23" i="43"/>
  <c r="C22"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G26" i="43" s="1"/>
  <c r="I2" i="43"/>
  <c r="N2" i="43" s="1"/>
  <c r="G2" i="43"/>
  <c r="N1" i="43"/>
  <c r="M1"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S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J38" i="40"/>
  <c r="H38" i="40"/>
  <c r="Q37" i="40"/>
  <c r="Z37" i="40" s="1"/>
  <c r="J37" i="40"/>
  <c r="AC37" i="40" s="1"/>
  <c r="H37" i="40"/>
  <c r="U37" i="40" s="1"/>
  <c r="F37" i="40"/>
  <c r="S37" i="40" s="1"/>
  <c r="Q36" i="40"/>
  <c r="Z36" i="40" s="1"/>
  <c r="J36" i="40"/>
  <c r="AC36" i="40" s="1"/>
  <c r="H36" i="40"/>
  <c r="AB36" i="40" s="1"/>
  <c r="F36" i="40"/>
  <c r="S36" i="40" s="1"/>
  <c r="Q35" i="40"/>
  <c r="Z35" i="40" s="1"/>
  <c r="J35" i="40"/>
  <c r="AC35" i="40" s="1"/>
  <c r="H35" i="40"/>
  <c r="AB35" i="40" s="1"/>
  <c r="F35" i="40"/>
  <c r="AA35" i="40" s="1"/>
  <c r="Q34" i="40"/>
  <c r="Z34" i="40" s="1"/>
  <c r="J34" i="40"/>
  <c r="H34" i="40"/>
  <c r="F34" i="40"/>
  <c r="AA34" i="40" s="1"/>
  <c r="Q33" i="40"/>
  <c r="Z33" i="40" s="1"/>
  <c r="Q32" i="40"/>
  <c r="Z32" i="40" s="1"/>
  <c r="H32" i="40"/>
  <c r="AB32" i="40" s="1"/>
  <c r="F32" i="40"/>
  <c r="S32" i="40" s="1"/>
  <c r="Q31" i="40"/>
  <c r="Z31" i="40" s="1"/>
  <c r="Q30" i="40"/>
  <c r="Z30" i="40" s="1"/>
  <c r="C30" i="40"/>
  <c r="F30" i="40" s="1"/>
  <c r="Q28" i="40"/>
  <c r="Z28" i="40" s="1"/>
  <c r="J28" i="40"/>
  <c r="W28" i="40" s="1"/>
  <c r="H28" i="40"/>
  <c r="F28" i="40"/>
  <c r="AA28" i="40" s="1"/>
  <c r="C28" i="40"/>
  <c r="Q27" i="40"/>
  <c r="Z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Q17" i="40"/>
  <c r="Z17" i="40" s="1"/>
  <c r="J17" i="40"/>
  <c r="W17" i="40" s="1"/>
  <c r="H17" i="40"/>
  <c r="F17" i="40"/>
  <c r="S17" i="40" s="1"/>
  <c r="Q15" i="40"/>
  <c r="Z15" i="40" s="1"/>
  <c r="J15" i="40"/>
  <c r="W15" i="40" s="1"/>
  <c r="H15" i="40"/>
  <c r="U15" i="40" s="1"/>
  <c r="F15" i="40"/>
  <c r="S15" i="40" s="1"/>
  <c r="Q14" i="40"/>
  <c r="Z14" i="40" s="1"/>
  <c r="J14" i="40"/>
  <c r="W14" i="40" s="1"/>
  <c r="Q13" i="40"/>
  <c r="Z13" i="40" s="1"/>
  <c r="Q12" i="40"/>
  <c r="Z12" i="40" s="1"/>
  <c r="Q11" i="40"/>
  <c r="Z11" i="40" s="1"/>
  <c r="J11" i="40"/>
  <c r="W11" i="40" s="1"/>
  <c r="H11" i="40"/>
  <c r="U11" i="40" s="1"/>
  <c r="F11" i="40"/>
  <c r="AA11" i="40" s="1"/>
  <c r="Q10" i="40"/>
  <c r="Z10" i="40" s="1"/>
  <c r="Q9" i="40"/>
  <c r="Z9" i="40" s="1"/>
  <c r="J9" i="40"/>
  <c r="H9" i="40"/>
  <c r="AB9" i="40" s="1"/>
  <c r="F9" i="40"/>
  <c r="S9" i="40" s="1"/>
  <c r="J8" i="40"/>
  <c r="AC8" i="40" s="1"/>
  <c r="H8" i="40"/>
  <c r="U8" i="40" s="1"/>
  <c r="F8" i="40"/>
  <c r="AA8" i="40" s="1"/>
  <c r="B130" i="39"/>
  <c r="F45" i="39" s="1"/>
  <c r="B128" i="39"/>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F14" i="39" s="1"/>
  <c r="AA14" i="39" s="1"/>
  <c r="B83" i="39"/>
  <c r="F13" i="39" s="1"/>
  <c r="AA13" i="39" s="1"/>
  <c r="B81" i="39"/>
  <c r="F12" i="39" s="1"/>
  <c r="AA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Q39" i="39"/>
  <c r="Z39" i="39" s="1"/>
  <c r="J39" i="39"/>
  <c r="H39" i="39"/>
  <c r="AB39" i="39" s="1"/>
  <c r="F39" i="39"/>
  <c r="S39" i="39" s="1"/>
  <c r="Q38" i="39"/>
  <c r="Z38" i="39" s="1"/>
  <c r="J38" i="39"/>
  <c r="W38" i="39" s="1"/>
  <c r="H38" i="39"/>
  <c r="U38" i="39" s="1"/>
  <c r="F38" i="39"/>
  <c r="AA38" i="39" s="1"/>
  <c r="Q37" i="39"/>
  <c r="Z37" i="39" s="1"/>
  <c r="Q36" i="39"/>
  <c r="Z36" i="39" s="1"/>
  <c r="Q35" i="39"/>
  <c r="Z35" i="39" s="1"/>
  <c r="Q34" i="39"/>
  <c r="Z34" i="39" s="1"/>
  <c r="J34" i="39"/>
  <c r="AC34" i="39" s="1"/>
  <c r="H34" i="39"/>
  <c r="U34" i="39" s="1"/>
  <c r="F34" i="39"/>
  <c r="AA34" i="39" s="1"/>
  <c r="Q32" i="39"/>
  <c r="Z32" i="39" s="1"/>
  <c r="J32" i="39"/>
  <c r="W32" i="39" s="1"/>
  <c r="H32" i="39"/>
  <c r="U32" i="39" s="1"/>
  <c r="F32" i="39"/>
  <c r="S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U17" i="39"/>
  <c r="Q17" i="39"/>
  <c r="Z17" i="39" s="1"/>
  <c r="J17" i="39"/>
  <c r="W17" i="39" s="1"/>
  <c r="H17" i="39"/>
  <c r="AB17" i="39" s="1"/>
  <c r="F17" i="39"/>
  <c r="AA17" i="39" s="1"/>
  <c r="Q15" i="39"/>
  <c r="Z15" i="39" s="1"/>
  <c r="J15" i="39"/>
  <c r="AC15" i="39" s="1"/>
  <c r="H15" i="39"/>
  <c r="F15" i="39"/>
  <c r="AA15" i="39" s="1"/>
  <c r="Q14" i="39"/>
  <c r="Z14" i="39" s="1"/>
  <c r="Q13" i="39"/>
  <c r="Z13" i="39" s="1"/>
  <c r="Q12" i="39"/>
  <c r="Z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F33" i="36" s="1"/>
  <c r="AA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F23" i="36" s="1"/>
  <c r="S23" i="36" s="1"/>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H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Q11" i="36"/>
  <c r="Z11" i="36" s="1"/>
  <c r="Q10" i="36"/>
  <c r="Z10" i="36" s="1"/>
  <c r="J10" i="36"/>
  <c r="H10" i="36"/>
  <c r="AB10" i="36" s="1"/>
  <c r="F10" i="36"/>
  <c r="S10" i="36" s="1"/>
  <c r="Q9" i="36"/>
  <c r="Z9" i="36" s="1"/>
  <c r="J8" i="36"/>
  <c r="H8" i="36"/>
  <c r="F8" i="36"/>
  <c r="D3" i="36"/>
  <c r="B2" i="36"/>
  <c r="B101" i="35"/>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J13" i="35" s="1"/>
  <c r="AC13" i="35" s="1"/>
  <c r="B59" i="35"/>
  <c r="B57" i="35"/>
  <c r="C53" i="35"/>
  <c r="J9" i="35" s="1"/>
  <c r="AC9" i="35" s="1"/>
  <c r="I44" i="35"/>
  <c r="J44" i="35" s="1"/>
  <c r="G44" i="35"/>
  <c r="H44" i="35" s="1"/>
  <c r="E44" i="35"/>
  <c r="F44" i="35" s="1"/>
  <c r="P39" i="35"/>
  <c r="P38" i="35"/>
  <c r="K38" i="35"/>
  <c r="B38" i="35"/>
  <c r="V37" i="35"/>
  <c r="T37" i="35"/>
  <c r="R37" i="35"/>
  <c r="P37" i="35"/>
  <c r="Q36" i="35"/>
  <c r="Z36" i="35" s="1"/>
  <c r="Q35" i="35"/>
  <c r="Z35" i="35" s="1"/>
  <c r="Q34" i="35"/>
  <c r="Z34" i="35" s="1"/>
  <c r="Q33" i="35"/>
  <c r="Z33" i="35" s="1"/>
  <c r="J33" i="35"/>
  <c r="H33" i="35"/>
  <c r="U33" i="35" s="1"/>
  <c r="F33" i="35"/>
  <c r="S33" i="35" s="1"/>
  <c r="Q32" i="35"/>
  <c r="Z32" i="35" s="1"/>
  <c r="J32" i="35"/>
  <c r="W32" i="35" s="1"/>
  <c r="H32" i="35"/>
  <c r="AB32" i="35" s="1"/>
  <c r="F32" i="35"/>
  <c r="AA32" i="35" s="1"/>
  <c r="Q31" i="35"/>
  <c r="Z31" i="35" s="1"/>
  <c r="J31" i="35"/>
  <c r="AC31" i="35" s="1"/>
  <c r="H31" i="35"/>
  <c r="F31" i="35"/>
  <c r="AA31" i="35" s="1"/>
  <c r="Q30" i="35"/>
  <c r="Z30" i="35" s="1"/>
  <c r="J30" i="35"/>
  <c r="AC30" i="35" s="1"/>
  <c r="H30" i="35"/>
  <c r="AB30" i="35" s="1"/>
  <c r="F30" i="35"/>
  <c r="S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Q24" i="35"/>
  <c r="Z24" i="35" s="1"/>
  <c r="Q23" i="35"/>
  <c r="Z23" i="35" s="1"/>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Q12" i="35"/>
  <c r="Z12" i="35" s="1"/>
  <c r="Q11" i="35"/>
  <c r="Z11" i="35" s="1"/>
  <c r="Q10" i="35"/>
  <c r="Z10" i="35" s="1"/>
  <c r="J10" i="35"/>
  <c r="AC10" i="35" s="1"/>
  <c r="H10" i="35"/>
  <c r="F10" i="35"/>
  <c r="AA10" i="35" s="1"/>
  <c r="Q9" i="35"/>
  <c r="Z9" i="35" s="1"/>
  <c r="F9" i="35"/>
  <c r="S9" i="35" s="1"/>
  <c r="J8" i="35"/>
  <c r="H8" i="35"/>
  <c r="F8" i="35"/>
  <c r="S8" i="35" s="1"/>
  <c r="D3" i="35"/>
  <c r="B2" i="35"/>
  <c r="B112" i="37"/>
  <c r="H40" i="37" s="1"/>
  <c r="U40" i="37" s="1"/>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G48" i="37"/>
  <c r="H48" i="37" s="1"/>
  <c r="E48" i="37"/>
  <c r="F48" i="37" s="1"/>
  <c r="P43" i="37"/>
  <c r="P42" i="37"/>
  <c r="K42" i="37"/>
  <c r="V41" i="37"/>
  <c r="T41" i="37"/>
  <c r="R41" i="37"/>
  <c r="P41" i="37"/>
  <c r="Q40" i="37"/>
  <c r="Z40" i="37" s="1"/>
  <c r="Q39" i="37"/>
  <c r="Z39" i="37" s="1"/>
  <c r="Q38" i="37"/>
  <c r="Z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W32" i="37" s="1"/>
  <c r="H32" i="37"/>
  <c r="AB32" i="37" s="1"/>
  <c r="F32" i="37"/>
  <c r="AA32" i="37" s="1"/>
  <c r="Q31" i="37"/>
  <c r="Z31" i="37" s="1"/>
  <c r="J31" i="37"/>
  <c r="AC31" i="37" s="1"/>
  <c r="H31" i="37"/>
  <c r="U31" i="37" s="1"/>
  <c r="F31" i="37"/>
  <c r="S31" i="37" s="1"/>
  <c r="Q30" i="37"/>
  <c r="Z30" i="37" s="1"/>
  <c r="J30" i="37"/>
  <c r="AC30" i="37" s="1"/>
  <c r="H30" i="37"/>
  <c r="AB30" i="37" s="1"/>
  <c r="F30" i="37"/>
  <c r="S30" i="37" s="1"/>
  <c r="Q29" i="37"/>
  <c r="Z29" i="37" s="1"/>
  <c r="J29" i="37"/>
  <c r="H29" i="37"/>
  <c r="AB29" i="37" s="1"/>
  <c r="F29" i="37"/>
  <c r="AA29" i="37" s="1"/>
  <c r="Q28" i="37"/>
  <c r="Z28" i="37" s="1"/>
  <c r="Q27" i="37"/>
  <c r="Z27" i="37" s="1"/>
  <c r="Q26" i="37"/>
  <c r="Z26" i="37" s="1"/>
  <c r="Q25" i="37"/>
  <c r="Z25" i="37" s="1"/>
  <c r="Q23" i="37"/>
  <c r="Z23" i="37" s="1"/>
  <c r="J23" i="37"/>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Q15" i="37"/>
  <c r="Z15" i="37" s="1"/>
  <c r="J15" i="37"/>
  <c r="W15" i="37" s="1"/>
  <c r="H15" i="37"/>
  <c r="F15" i="37"/>
  <c r="AA15" i="37" s="1"/>
  <c r="C15" i="37"/>
  <c r="Q14" i="37"/>
  <c r="Z14" i="37" s="1"/>
  <c r="Q13" i="37"/>
  <c r="Z13" i="37" s="1"/>
  <c r="Q12" i="37"/>
  <c r="Z12" i="37" s="1"/>
  <c r="Q11" i="37"/>
  <c r="Z11" i="37" s="1"/>
  <c r="J11" i="37"/>
  <c r="W11" i="37" s="1"/>
  <c r="H11" i="37"/>
  <c r="U11" i="37" s="1"/>
  <c r="F11" i="37"/>
  <c r="AA11" i="37" s="1"/>
  <c r="Q10" i="37"/>
  <c r="Z10" i="37" s="1"/>
  <c r="J10" i="37"/>
  <c r="H10" i="37"/>
  <c r="F10" i="37"/>
  <c r="AA10" i="37" s="1"/>
  <c r="Q9" i="37"/>
  <c r="Z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T5" i="31"/>
  <c r="D6" i="31" s="1"/>
  <c r="E6" i="31" s="1"/>
  <c r="F6" i="31" s="1"/>
  <c r="G6" i="31" s="1"/>
  <c r="H6" i="31" s="1"/>
  <c r="I6" i="31" s="1"/>
  <c r="J6" i="31" s="1"/>
  <c r="K6" i="31" s="1"/>
  <c r="L6" i="31" s="1"/>
  <c r="M6" i="31" s="1"/>
  <c r="N6" i="31" s="1"/>
  <c r="O6" i="31" s="1"/>
  <c r="P6" i="31" s="1"/>
  <c r="Q6" i="31" s="1"/>
  <c r="R6" i="31" s="1"/>
  <c r="S6" i="31" s="1"/>
  <c r="F5" i="31"/>
  <c r="E5" i="31"/>
  <c r="D5" i="31"/>
  <c r="C5" i="31"/>
  <c r="C4" i="31"/>
  <c r="F3" i="31"/>
  <c r="F2" i="31" s="1"/>
  <c r="E3" i="31"/>
  <c r="D3" i="31"/>
  <c r="C3" i="31"/>
  <c r="S2" i="31"/>
  <c r="R2" i="31"/>
  <c r="Q2" i="31"/>
  <c r="P2" i="31"/>
  <c r="O2" i="31"/>
  <c r="N2" i="31"/>
  <c r="M2" i="31"/>
  <c r="L2" i="31"/>
  <c r="K2" i="31"/>
  <c r="J2" i="31"/>
  <c r="I2" i="31"/>
  <c r="H2" i="31"/>
  <c r="G2" i="31"/>
  <c r="B130" i="33"/>
  <c r="B128" i="33"/>
  <c r="H45" i="33" s="1"/>
  <c r="B126" i="33"/>
  <c r="H44" i="33" s="1"/>
  <c r="AB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D85" i="33"/>
  <c r="E85" i="33" s="1"/>
  <c r="D83" i="33"/>
  <c r="E83" i="33" s="1"/>
  <c r="F83" i="33" s="1"/>
  <c r="G83" i="33" s="1"/>
  <c r="D81" i="33"/>
  <c r="E81" i="33" s="1"/>
  <c r="F81" i="33" s="1"/>
  <c r="G81" i="33" s="1"/>
  <c r="D79" i="33"/>
  <c r="D77" i="33"/>
  <c r="E77" i="33" s="1"/>
  <c r="F77" i="33" s="1"/>
  <c r="B74" i="33"/>
  <c r="F14" i="33" s="1"/>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Q45" i="33"/>
  <c r="Z45" i="33" s="1"/>
  <c r="Q44" i="33"/>
  <c r="Z44" i="33" s="1"/>
  <c r="Q43" i="33"/>
  <c r="Z43" i="33" s="1"/>
  <c r="Q42" i="33"/>
  <c r="Z42" i="33" s="1"/>
  <c r="F42" i="33"/>
  <c r="S42" i="33" s="1"/>
  <c r="Q41" i="33"/>
  <c r="Z41" i="33" s="1"/>
  <c r="J41" i="33"/>
  <c r="AC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Q35" i="33"/>
  <c r="Z35" i="33" s="1"/>
  <c r="J35" i="33"/>
  <c r="AC35" i="33" s="1"/>
  <c r="H35" i="33"/>
  <c r="U35" i="33" s="1"/>
  <c r="F35" i="33"/>
  <c r="AA35" i="33" s="1"/>
  <c r="Q34" i="33"/>
  <c r="Z34" i="33" s="1"/>
  <c r="Q33" i="33"/>
  <c r="Z33" i="33" s="1"/>
  <c r="J33" i="33"/>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C23" i="33"/>
  <c r="Q21" i="33"/>
  <c r="Z21" i="33" s="1"/>
  <c r="J21" i="33"/>
  <c r="W21" i="33" s="1"/>
  <c r="H21" i="33"/>
  <c r="AB21" i="33" s="1"/>
  <c r="F21" i="33"/>
  <c r="S21" i="33" s="1"/>
  <c r="C21" i="33"/>
  <c r="Q19" i="33"/>
  <c r="Z19" i="33" s="1"/>
  <c r="C19" i="33"/>
  <c r="Q17" i="33"/>
  <c r="Z17" i="33" s="1"/>
  <c r="C17" i="33"/>
  <c r="Q15" i="33"/>
  <c r="Z15" i="33" s="1"/>
  <c r="C15" i="33"/>
  <c r="Q14" i="33"/>
  <c r="Z14" i="33" s="1"/>
  <c r="H14" i="33"/>
  <c r="Q13" i="33"/>
  <c r="Z13" i="33" s="1"/>
  <c r="Q12" i="33"/>
  <c r="Z12" i="33" s="1"/>
  <c r="Q11" i="33"/>
  <c r="Z11" i="33" s="1"/>
  <c r="J11" i="33"/>
  <c r="H11" i="33"/>
  <c r="U11" i="33" s="1"/>
  <c r="F11" i="33"/>
  <c r="AA11" i="33" s="1"/>
  <c r="Q10" i="33"/>
  <c r="Z10" i="33" s="1"/>
  <c r="J10" i="33"/>
  <c r="W10" i="33" s="1"/>
  <c r="H10" i="33"/>
  <c r="F10" i="33"/>
  <c r="AA10" i="33" s="1"/>
  <c r="Q9" i="33"/>
  <c r="Z9" i="33" s="1"/>
  <c r="F9" i="33"/>
  <c r="J8" i="33"/>
  <c r="AC8" i="33" s="1"/>
  <c r="H8" i="33"/>
  <c r="AB8" i="33" s="1"/>
  <c r="F8"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B96" i="21"/>
  <c r="B94" i="21"/>
  <c r="F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Q46" i="21"/>
  <c r="Z46" i="21" s="1"/>
  <c r="F46" i="21"/>
  <c r="Q45" i="21"/>
  <c r="Z45" i="21" s="1"/>
  <c r="Q44" i="21"/>
  <c r="Z44" i="21" s="1"/>
  <c r="Q43" i="21"/>
  <c r="Z43" i="21" s="1"/>
  <c r="J43" i="21"/>
  <c r="AC43" i="21" s="1"/>
  <c r="H43" i="21"/>
  <c r="U43" i="21" s="1"/>
  <c r="F43" i="21"/>
  <c r="S43" i="21" s="1"/>
  <c r="Q42" i="21"/>
  <c r="Z42" i="21" s="1"/>
  <c r="J42" i="21"/>
  <c r="AC42" i="21" s="1"/>
  <c r="H42" i="21"/>
  <c r="AB42" i="21" s="1"/>
  <c r="F42" i="21"/>
  <c r="S42" i="21" s="1"/>
  <c r="W41" i="21"/>
  <c r="Q41" i="21"/>
  <c r="Z41" i="21" s="1"/>
  <c r="J41" i="21"/>
  <c r="AC41" i="21" s="1"/>
  <c r="H41" i="21"/>
  <c r="F41" i="21"/>
  <c r="AA41" i="21" s="1"/>
  <c r="Q40" i="21"/>
  <c r="Z40" i="21" s="1"/>
  <c r="J40" i="21"/>
  <c r="AC40" i="21" s="1"/>
  <c r="H40" i="21"/>
  <c r="U40" i="21" s="1"/>
  <c r="F40" i="21"/>
  <c r="Q39" i="21"/>
  <c r="Z39" i="21" s="1"/>
  <c r="J39" i="21"/>
  <c r="AC39" i="21" s="1"/>
  <c r="H39" i="21"/>
  <c r="U39" i="21" s="1"/>
  <c r="F39" i="21"/>
  <c r="AA39" i="21" s="1"/>
  <c r="Q38" i="21"/>
  <c r="Z38" i="21" s="1"/>
  <c r="J38" i="21"/>
  <c r="AC38" i="21" s="1"/>
  <c r="H38" i="21"/>
  <c r="AB38" i="21" s="1"/>
  <c r="F38" i="21"/>
  <c r="AA38" i="21" s="1"/>
  <c r="Q37" i="21"/>
  <c r="Z37" i="21" s="1"/>
  <c r="J37" i="21"/>
  <c r="H37" i="21"/>
  <c r="F37" i="21"/>
  <c r="AA37" i="21" s="1"/>
  <c r="Q36" i="21"/>
  <c r="Z36" i="21" s="1"/>
  <c r="J36" i="21"/>
  <c r="W36" i="21" s="1"/>
  <c r="H36" i="21"/>
  <c r="U36" i="21" s="1"/>
  <c r="F36" i="21"/>
  <c r="S36" i="21" s="1"/>
  <c r="Q35" i="21"/>
  <c r="Z35" i="21" s="1"/>
  <c r="J35" i="21"/>
  <c r="AC35" i="21" s="1"/>
  <c r="H35" i="21"/>
  <c r="F35" i="21"/>
  <c r="AA35" i="21" s="1"/>
  <c r="Q34" i="21"/>
  <c r="Z34" i="21" s="1"/>
  <c r="J34" i="21"/>
  <c r="H34" i="21"/>
  <c r="AB34" i="21" s="1"/>
  <c r="F34" i="21"/>
  <c r="S34" i="21" s="1"/>
  <c r="Q33" i="21"/>
  <c r="Z33" i="21" s="1"/>
  <c r="J33" i="21"/>
  <c r="H33" i="21"/>
  <c r="AB33" i="21" s="1"/>
  <c r="F33" i="21"/>
  <c r="AA33" i="21" s="1"/>
  <c r="Q32" i="21"/>
  <c r="Z32" i="21" s="1"/>
  <c r="J32" i="21"/>
  <c r="H32" i="21"/>
  <c r="AB32" i="21" s="1"/>
  <c r="F32" i="21"/>
  <c r="AA32" i="21" s="1"/>
  <c r="Q31" i="21"/>
  <c r="Z31" i="21" s="1"/>
  <c r="Q30" i="21"/>
  <c r="Z30" i="21" s="1"/>
  <c r="Q29" i="21"/>
  <c r="Z29" i="21" s="1"/>
  <c r="J29" i="21"/>
  <c r="Q28" i="21"/>
  <c r="Z28" i="21" s="1"/>
  <c r="Q27" i="21"/>
  <c r="Z27" i="21" s="1"/>
  <c r="Q26" i="21"/>
  <c r="Z26" i="21" s="1"/>
  <c r="J26" i="21"/>
  <c r="H26" i="21"/>
  <c r="AB26" i="21" s="1"/>
  <c r="F26" i="21"/>
  <c r="S26" i="21" s="1"/>
  <c r="Q25" i="21"/>
  <c r="Z25" i="21" s="1"/>
  <c r="J25" i="21"/>
  <c r="H25" i="21"/>
  <c r="U25" i="21" s="1"/>
  <c r="F25" i="21"/>
  <c r="AA25" i="21" s="1"/>
  <c r="Q23" i="21"/>
  <c r="Z23" i="21" s="1"/>
  <c r="J23" i="21"/>
  <c r="H23" i="21"/>
  <c r="AB23" i="21" s="1"/>
  <c r="F23" i="21"/>
  <c r="AA23" i="21" s="1"/>
  <c r="C23" i="21"/>
  <c r="Q21" i="21"/>
  <c r="Z21" i="21" s="1"/>
  <c r="J21" i="21"/>
  <c r="AC21" i="21" s="1"/>
  <c r="H21" i="21"/>
  <c r="AB21" i="21" s="1"/>
  <c r="F21" i="21"/>
  <c r="S21" i="21" s="1"/>
  <c r="C21" i="21"/>
  <c r="Q19" i="21"/>
  <c r="Z19" i="21" s="1"/>
  <c r="J19" i="21"/>
  <c r="H19" i="21"/>
  <c r="F19" i="21"/>
  <c r="AA19" i="21" s="1"/>
  <c r="C19" i="21"/>
  <c r="Q17" i="21"/>
  <c r="Z17" i="21" s="1"/>
  <c r="J17" i="21"/>
  <c r="W17" i="21" s="1"/>
  <c r="H17" i="21"/>
  <c r="F17" i="21"/>
  <c r="AA17" i="21" s="1"/>
  <c r="C17" i="21"/>
  <c r="Q15" i="21"/>
  <c r="Z15" i="21" s="1"/>
  <c r="J15" i="21"/>
  <c r="H15" i="21"/>
  <c r="U15" i="21" s="1"/>
  <c r="F15" i="21"/>
  <c r="S15" i="21" s="1"/>
  <c r="C15" i="21"/>
  <c r="Q14" i="21"/>
  <c r="Z14" i="21" s="1"/>
  <c r="Q13" i="21"/>
  <c r="Z13" i="21" s="1"/>
  <c r="Q12" i="21"/>
  <c r="Z12" i="21" s="1"/>
  <c r="Q11" i="21"/>
  <c r="Z11" i="21" s="1"/>
  <c r="J11" i="21"/>
  <c r="H11" i="21"/>
  <c r="AB11" i="21" s="1"/>
  <c r="F11" i="21"/>
  <c r="AA11" i="21" s="1"/>
  <c r="Q10" i="21"/>
  <c r="Z10" i="21" s="1"/>
  <c r="J10" i="21"/>
  <c r="W10" i="21" s="1"/>
  <c r="H10" i="21"/>
  <c r="AB10" i="21" s="1"/>
  <c r="F10" i="21"/>
  <c r="AA10" i="21" s="1"/>
  <c r="Q9" i="21"/>
  <c r="Z9" i="21" s="1"/>
  <c r="F9" i="21"/>
  <c r="J8" i="21"/>
  <c r="H8" i="21"/>
  <c r="AB8" i="21" s="1"/>
  <c r="F8" i="21"/>
  <c r="B2" i="21"/>
  <c r="A13" i="70"/>
  <c r="E13" i="70" s="1"/>
  <c r="A12" i="70"/>
  <c r="E12" i="70" s="1"/>
  <c r="A11" i="70"/>
  <c r="E11" i="70" s="1"/>
  <c r="A10" i="70"/>
  <c r="E10" i="70" s="1"/>
  <c r="A9" i="70"/>
  <c r="E9" i="70" s="1"/>
  <c r="A8" i="70"/>
  <c r="A7" i="70"/>
  <c r="A6" i="70"/>
  <c r="R43"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J47" i="34" s="1"/>
  <c r="W47" i="34" s="1"/>
  <c r="B129" i="34"/>
  <c r="J46" i="34" s="1"/>
  <c r="B127" i="34"/>
  <c r="D126" i="34"/>
  <c r="D124" i="34"/>
  <c r="E124" i="34" s="1"/>
  <c r="H43" i="34" s="1"/>
  <c r="U43" i="34" s="1"/>
  <c r="D120" i="34"/>
  <c r="E120" i="34" s="1"/>
  <c r="F120" i="34" s="1"/>
  <c r="G120" i="34" s="1"/>
  <c r="H120" i="34" s="1"/>
  <c r="I120" i="34" s="1"/>
  <c r="J120" i="34" s="1"/>
  <c r="K120" i="34" s="1"/>
  <c r="L120" i="34" s="1"/>
  <c r="M120"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F31" i="34" s="1"/>
  <c r="B95" i="34"/>
  <c r="B93" i="34"/>
  <c r="D92" i="34"/>
  <c r="E92" i="34" s="1"/>
  <c r="F92" i="34" s="1"/>
  <c r="G92" i="34" s="1"/>
  <c r="H92" i="34" s="1"/>
  <c r="I92" i="34" s="1"/>
  <c r="J92" i="34" s="1"/>
  <c r="K92" i="34" s="1"/>
  <c r="L92" i="34" s="1"/>
  <c r="M92" i="34" s="1"/>
  <c r="B91" i="34"/>
  <c r="H28" i="34" s="1"/>
  <c r="D90" i="34"/>
  <c r="E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B75" i="34"/>
  <c r="B73" i="34"/>
  <c r="J13" i="34" s="1"/>
  <c r="AC13" i="34" s="1"/>
  <c r="B71" i="34"/>
  <c r="H12" i="34" s="1"/>
  <c r="U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Q47" i="34"/>
  <c r="Z47" i="34" s="1"/>
  <c r="Q46" i="34"/>
  <c r="Z46" i="34" s="1"/>
  <c r="Q45" i="34"/>
  <c r="Z45" i="34" s="1"/>
  <c r="Q44" i="34"/>
  <c r="Z44" i="34" s="1"/>
  <c r="Q43" i="34"/>
  <c r="Z43" i="34" s="1"/>
  <c r="Q42" i="34"/>
  <c r="Z42" i="34" s="1"/>
  <c r="J42" i="34"/>
  <c r="AC42" i="34" s="1"/>
  <c r="H42" i="34"/>
  <c r="F42" i="34"/>
  <c r="AA42" i="34" s="1"/>
  <c r="Q41" i="34"/>
  <c r="Z41" i="34" s="1"/>
  <c r="J41" i="34"/>
  <c r="W41" i="34" s="1"/>
  <c r="H41" i="34"/>
  <c r="U41" i="34" s="1"/>
  <c r="F41" i="34"/>
  <c r="AA41" i="34" s="1"/>
  <c r="Q40" i="34"/>
  <c r="Z40" i="34" s="1"/>
  <c r="H40" i="34"/>
  <c r="AB40" i="34" s="1"/>
  <c r="Q39" i="34"/>
  <c r="Z39" i="34" s="1"/>
  <c r="J39" i="34"/>
  <c r="H39" i="34"/>
  <c r="AB39" i="34" s="1"/>
  <c r="F39" i="34"/>
  <c r="AA39" i="34" s="1"/>
  <c r="Q38" i="34"/>
  <c r="Z38" i="34" s="1"/>
  <c r="J38" i="34"/>
  <c r="AC38" i="34" s="1"/>
  <c r="H38" i="34"/>
  <c r="F38" i="34"/>
  <c r="AA38" i="34" s="1"/>
  <c r="Q37" i="34"/>
  <c r="Z37" i="34" s="1"/>
  <c r="Q36" i="34"/>
  <c r="Z36" i="34" s="1"/>
  <c r="J36" i="34"/>
  <c r="AC36" i="34" s="1"/>
  <c r="H36" i="34"/>
  <c r="AB36" i="34" s="1"/>
  <c r="F36" i="34"/>
  <c r="AA36" i="34" s="1"/>
  <c r="Q35" i="34"/>
  <c r="Z35" i="34" s="1"/>
  <c r="J35" i="34"/>
  <c r="AC35" i="34" s="1"/>
  <c r="H35" i="34"/>
  <c r="F35" i="34"/>
  <c r="AA35" i="34" s="1"/>
  <c r="Q34" i="34"/>
  <c r="Z34" i="34" s="1"/>
  <c r="Q33" i="34"/>
  <c r="Z33" i="34" s="1"/>
  <c r="J33" i="34"/>
  <c r="W33" i="34" s="1"/>
  <c r="H33" i="34"/>
  <c r="AB33" i="34" s="1"/>
  <c r="F33" i="34"/>
  <c r="AA33" i="34" s="1"/>
  <c r="Q32" i="34"/>
  <c r="Z32" i="34" s="1"/>
  <c r="Q31" i="34"/>
  <c r="Z31" i="34" s="1"/>
  <c r="Q30" i="34"/>
  <c r="Z30" i="34" s="1"/>
  <c r="Q29" i="34"/>
  <c r="Z29" i="34" s="1"/>
  <c r="Q28" i="34"/>
  <c r="Z28" i="34" s="1"/>
  <c r="Q27" i="34"/>
  <c r="Z27" i="34" s="1"/>
  <c r="Q25" i="34"/>
  <c r="Z25" i="34" s="1"/>
  <c r="J25" i="34"/>
  <c r="W25" i="34" s="1"/>
  <c r="H25" i="34"/>
  <c r="AB25" i="34" s="1"/>
  <c r="F25" i="34"/>
  <c r="S25" i="34" s="1"/>
  <c r="Q23" i="34"/>
  <c r="Z23" i="34" s="1"/>
  <c r="C23" i="34"/>
  <c r="Q21" i="34"/>
  <c r="Z21" i="34" s="1"/>
  <c r="J21" i="34"/>
  <c r="H21" i="34"/>
  <c r="U21" i="34" s="1"/>
  <c r="F21" i="34"/>
  <c r="AA21" i="34" s="1"/>
  <c r="C21" i="34"/>
  <c r="Q19" i="34"/>
  <c r="Z19" i="34" s="1"/>
  <c r="F19" i="34"/>
  <c r="AA19" i="34" s="1"/>
  <c r="C19" i="34"/>
  <c r="Q17" i="34"/>
  <c r="Z17" i="34" s="1"/>
  <c r="J17" i="34"/>
  <c r="AC17" i="34" s="1"/>
  <c r="H17" i="34"/>
  <c r="AB17" i="34" s="1"/>
  <c r="F17" i="34"/>
  <c r="AA17" i="34" s="1"/>
  <c r="C17" i="34"/>
  <c r="Q15" i="34"/>
  <c r="Z15" i="34" s="1"/>
  <c r="C15" i="34"/>
  <c r="Q14" i="34"/>
  <c r="Z14" i="34" s="1"/>
  <c r="Q13" i="34"/>
  <c r="Z13" i="34" s="1"/>
  <c r="Q12" i="34"/>
  <c r="Z12" i="34" s="1"/>
  <c r="Q11" i="34"/>
  <c r="Z11" i="34" s="1"/>
  <c r="J11" i="34"/>
  <c r="AC11" i="34" s="1"/>
  <c r="H11" i="34"/>
  <c r="AB11" i="34" s="1"/>
  <c r="F11" i="34"/>
  <c r="S11" i="34" s="1"/>
  <c r="Q10" i="34"/>
  <c r="Z10" i="34" s="1"/>
  <c r="Q9" i="34"/>
  <c r="Z9" i="34" s="1"/>
  <c r="J8" i="34"/>
  <c r="AC8" i="34" s="1"/>
  <c r="H8" i="34"/>
  <c r="U8" i="34" s="1"/>
  <c r="F8" i="34"/>
  <c r="Q72" i="15"/>
  <c r="Q59" i="15"/>
  <c r="K59" i="15"/>
  <c r="P61" i="15" s="1"/>
  <c r="Q58" i="15"/>
  <c r="Q51" i="15"/>
  <c r="J50" i="15"/>
  <c r="J51" i="15" s="1"/>
  <c r="M47" i="15"/>
  <c r="D46" i="15"/>
  <c r="F33" i="15"/>
  <c r="F61" i="15" s="1"/>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F7" i="68"/>
  <c r="C7" i="68" s="1"/>
  <c r="A120" i="9"/>
  <c r="A6" i="52" s="1"/>
  <c r="B57" i="72" s="1"/>
  <c r="E111" i="9"/>
  <c r="A126" i="9" s="1"/>
  <c r="A12" i="52" s="1"/>
  <c r="B56" i="72" s="1"/>
  <c r="E109" i="9"/>
  <c r="H109" i="9" s="1"/>
  <c r="E107" i="9"/>
  <c r="A122" i="9" s="1"/>
  <c r="A8" i="52" s="1"/>
  <c r="B54" i="72" s="1"/>
  <c r="H106" i="9"/>
  <c r="D12" i="53" s="1"/>
  <c r="B28" i="72" s="1"/>
  <c r="H105" i="9"/>
  <c r="D11" i="53" s="1"/>
  <c r="B27" i="72" s="1"/>
  <c r="H104" i="9"/>
  <c r="D10" i="53" s="1"/>
  <c r="B26" i="72" s="1"/>
  <c r="D101" i="9"/>
  <c r="C101" i="9"/>
  <c r="C91" i="9"/>
  <c r="E90" i="9"/>
  <c r="D89" i="9"/>
  <c r="C89" i="9" s="1"/>
  <c r="C87" i="9" s="1"/>
  <c r="H77" i="9"/>
  <c r="D77" i="9"/>
  <c r="C76" i="9"/>
  <c r="F59" i="9"/>
  <c r="O55" i="9" s="1"/>
  <c r="E59" i="9"/>
  <c r="N55" i="9" s="1"/>
  <c r="F56" i="9"/>
  <c r="O54" i="9" s="1"/>
  <c r="K55" i="9"/>
  <c r="J55" i="9"/>
  <c r="I55" i="9"/>
  <c r="F55" i="9" s="1"/>
  <c r="O53" i="9" s="1"/>
  <c r="N54" i="9"/>
  <c r="N53" i="9"/>
  <c r="K49" i="9"/>
  <c r="E48" i="9"/>
  <c r="N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B59" i="1"/>
  <c r="B52" i="1" s="1"/>
  <c r="B43" i="1"/>
  <c r="B31" i="1"/>
  <c r="B22" i="1"/>
  <c r="B21" i="1"/>
  <c r="B24" i="1" s="1"/>
  <c r="F34" i="11" s="1"/>
  <c r="N18" i="1"/>
  <c r="N6" i="1" s="1"/>
  <c r="K18" i="1"/>
  <c r="P14" i="1"/>
  <c r="O14" i="1"/>
  <c r="AP13" i="1"/>
  <c r="AG13" i="1"/>
  <c r="AE13" i="1"/>
  <c r="P13" i="1"/>
  <c r="O13" i="1"/>
  <c r="F13" i="1"/>
  <c r="D13" i="1"/>
  <c r="A13" i="1"/>
  <c r="B13" i="1" s="1"/>
  <c r="E13" i="1" s="1"/>
  <c r="AP12" i="1"/>
  <c r="AG12" i="1"/>
  <c r="AE12" i="1"/>
  <c r="P12" i="1"/>
  <c r="O12" i="1"/>
  <c r="F12" i="1"/>
  <c r="D12" i="1"/>
  <c r="A12" i="1"/>
  <c r="AP11" i="1"/>
  <c r="AG11" i="1"/>
  <c r="AE11" i="1"/>
  <c r="P11" i="1"/>
  <c r="O11" i="1"/>
  <c r="F11" i="1"/>
  <c r="D11" i="1"/>
  <c r="A11" i="1"/>
  <c r="AP10" i="1"/>
  <c r="AG10" i="1"/>
  <c r="AE10" i="1"/>
  <c r="P10" i="1"/>
  <c r="O10" i="1"/>
  <c r="F10" i="1"/>
  <c r="D10" i="1"/>
  <c r="A10" i="1"/>
  <c r="AP9" i="1"/>
  <c r="AG9" i="1"/>
  <c r="AE9" i="1"/>
  <c r="P9" i="1"/>
  <c r="O9" i="1"/>
  <c r="F9" i="1"/>
  <c r="D9" i="1"/>
  <c r="A9" i="1"/>
  <c r="R9" i="1" s="1"/>
  <c r="AP8" i="1"/>
  <c r="AG8" i="1"/>
  <c r="P8" i="1"/>
  <c r="O8" i="1"/>
  <c r="D8" i="1"/>
  <c r="A8" i="1"/>
  <c r="AP7" i="1"/>
  <c r="AG7" i="1"/>
  <c r="P7" i="1"/>
  <c r="O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A551" i="3" s="1"/>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c r="B26" i="31" s="1"/>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D15" i="4"/>
  <c r="F8" i="1" s="1"/>
  <c r="C15" i="4"/>
  <c r="K6" i="4"/>
  <c r="I4" i="4"/>
  <c r="G4" i="4"/>
  <c r="E4" i="4"/>
  <c r="B5" i="62" s="1"/>
  <c r="B73" i="72" s="1"/>
  <c r="C4" i="4"/>
  <c r="B4" i="62" s="1"/>
  <c r="B71" i="72" s="1"/>
  <c r="C1" i="73"/>
  <c r="S2" i="4"/>
  <c r="S1" i="4"/>
  <c r="A4" i="51" s="1"/>
  <c r="B6" i="72" s="1"/>
  <c r="B1" i="4"/>
  <c r="C60" i="78"/>
  <c r="D60" i="78" s="1"/>
  <c r="D53" i="78"/>
  <c r="D52" i="78"/>
  <c r="B51" i="78"/>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F14" i="49" s="1"/>
  <c r="H14" i="49" s="1"/>
  <c r="A21" i="62"/>
  <c r="B67" i="72" s="1"/>
  <c r="A20" i="62"/>
  <c r="B66" i="72" s="1"/>
  <c r="A19" i="62"/>
  <c r="B65" i="72" s="1"/>
  <c r="A14" i="62"/>
  <c r="B60" i="72" s="1"/>
  <c r="A13" i="62"/>
  <c r="B59" i="72" s="1"/>
  <c r="A12" i="62"/>
  <c r="B58" i="72" s="1"/>
  <c r="A5" i="62"/>
  <c r="B72" i="72" s="1"/>
  <c r="A4" i="62"/>
  <c r="B70" i="72" s="1"/>
  <c r="H2" i="52"/>
  <c r="F2" i="52"/>
  <c r="D2" i="52"/>
  <c r="B46" i="72" s="1"/>
  <c r="A1" i="52"/>
  <c r="B8" i="53"/>
  <c r="B23" i="72" s="1"/>
  <c r="A3" i="53"/>
  <c r="A2" i="53"/>
  <c r="B19" i="72" s="1"/>
  <c r="A22" i="51"/>
  <c r="B17" i="72" s="1"/>
  <c r="A21" i="51"/>
  <c r="B16" i="72" s="1"/>
  <c r="A20" i="51"/>
  <c r="B15" i="72" s="1"/>
  <c r="A3" i="51"/>
  <c r="B49" i="48"/>
  <c r="B5" i="72" s="1"/>
  <c r="B40" i="48"/>
  <c r="B3" i="72" s="1"/>
  <c r="B74" i="72"/>
  <c r="B69" i="72"/>
  <c r="B68" i="72"/>
  <c r="B63" i="72"/>
  <c r="B62" i="72"/>
  <c r="B50" i="72"/>
  <c r="B44" i="72"/>
  <c r="B42" i="72"/>
  <c r="B10" i="72"/>
  <c r="B8" i="72"/>
  <c r="AO13" i="1"/>
  <c r="E9" i="76"/>
  <c r="AO10" i="1"/>
  <c r="AO9" i="1"/>
  <c r="E2" i="68"/>
  <c r="AO11" i="1"/>
  <c r="D2" i="35"/>
  <c r="B10" i="76"/>
  <c r="D2" i="34"/>
  <c r="E11" i="76"/>
  <c r="E10" i="76"/>
  <c r="B12" i="76"/>
  <c r="B8" i="76"/>
  <c r="D2" i="37"/>
  <c r="E8" i="76"/>
  <c r="AO12" i="1"/>
  <c r="B11" i="76"/>
  <c r="E7" i="76"/>
  <c r="D2" i="21"/>
  <c r="B9" i="76"/>
  <c r="E13" i="76"/>
  <c r="E12" i="76"/>
  <c r="B13" i="76"/>
  <c r="F20" i="31"/>
  <c r="B7" i="76"/>
  <c r="D2" i="33"/>
  <c r="D2" i="36"/>
  <c r="E2" i="69"/>
  <c r="G237" i="3" l="1"/>
  <c r="BA392" i="3"/>
  <c r="BA412" i="3"/>
  <c r="BL279" i="3"/>
  <c r="C21" i="11"/>
  <c r="U13" i="79"/>
  <c r="AI13" i="79" s="1"/>
  <c r="BL347" i="3"/>
  <c r="G388" i="3"/>
  <c r="BA432" i="3"/>
  <c r="BL534" i="3"/>
  <c r="BA547" i="3"/>
  <c r="BL557" i="3"/>
  <c r="H19" i="34"/>
  <c r="H38" i="37"/>
  <c r="AB38" i="37" s="1"/>
  <c r="J23" i="36"/>
  <c r="AC23" i="36" s="1"/>
  <c r="R21" i="79"/>
  <c r="AF21" i="79" s="1"/>
  <c r="S22" i="79"/>
  <c r="AG22" i="79" s="1"/>
  <c r="S50" i="79"/>
  <c r="AG50" i="79" s="1"/>
  <c r="BA50" i="3"/>
  <c r="BL101" i="3"/>
  <c r="BL220" i="3"/>
  <c r="BL268" i="3"/>
  <c r="G408" i="3"/>
  <c r="BL521" i="3"/>
  <c r="B9" i="1"/>
  <c r="E9" i="1" s="1"/>
  <c r="BA18" i="3"/>
  <c r="G22" i="3"/>
  <c r="G26" i="3"/>
  <c r="G30" i="3"/>
  <c r="G34" i="3"/>
  <c r="G62" i="3"/>
  <c r="G70" i="3"/>
  <c r="G74" i="3"/>
  <c r="BA76" i="3"/>
  <c r="G82" i="3"/>
  <c r="G110" i="3"/>
  <c r="G114" i="3"/>
  <c r="G127" i="3"/>
  <c r="BA145" i="3"/>
  <c r="G161" i="3"/>
  <c r="BL173" i="3"/>
  <c r="G187" i="3"/>
  <c r="BA192" i="3"/>
  <c r="G207" i="3"/>
  <c r="G225" i="3"/>
  <c r="BA226" i="3"/>
  <c r="BL236" i="3"/>
  <c r="G238" i="3"/>
  <c r="G246" i="3"/>
  <c r="G250" i="3"/>
  <c r="BL259" i="3"/>
  <c r="G282" i="3"/>
  <c r="G305" i="3"/>
  <c r="G309" i="3"/>
  <c r="G317" i="3"/>
  <c r="G329" i="3"/>
  <c r="BA340" i="3"/>
  <c r="BA352" i="3"/>
  <c r="BL395" i="3"/>
  <c r="BL415" i="3"/>
  <c r="BA421" i="3"/>
  <c r="G456" i="3"/>
  <c r="BL476" i="3"/>
  <c r="G493" i="3"/>
  <c r="BL516" i="3"/>
  <c r="G521" i="3"/>
  <c r="G525" i="3"/>
  <c r="G537" i="3"/>
  <c r="G545" i="3"/>
  <c r="C94" i="9"/>
  <c r="J19" i="34"/>
  <c r="W19" i="34" s="1"/>
  <c r="H9" i="21"/>
  <c r="AB9" i="21" s="1"/>
  <c r="H14" i="21"/>
  <c r="F28" i="21"/>
  <c r="AA28" i="21" s="1"/>
  <c r="F41" i="33"/>
  <c r="AA41" i="33" s="1"/>
  <c r="H42" i="33"/>
  <c r="AB42" i="33" s="1"/>
  <c r="F27" i="40"/>
  <c r="AA27" i="40" s="1"/>
  <c r="D67" i="43"/>
  <c r="C86" i="71"/>
  <c r="D86" i="71" s="1"/>
  <c r="BL39" i="3"/>
  <c r="BL400" i="3"/>
  <c r="G29" i="3"/>
  <c r="G33" i="3"/>
  <c r="G42" i="3"/>
  <c r="G51" i="3"/>
  <c r="G65" i="3"/>
  <c r="G73" i="3"/>
  <c r="G77" i="3"/>
  <c r="G94" i="3"/>
  <c r="G99" i="3"/>
  <c r="G118" i="3"/>
  <c r="G130" i="3"/>
  <c r="G143" i="3"/>
  <c r="BA152" i="3"/>
  <c r="BA165" i="3"/>
  <c r="BL215" i="3"/>
  <c r="G219" i="3"/>
  <c r="BL231" i="3"/>
  <c r="G241" i="3"/>
  <c r="BL248" i="3"/>
  <c r="G249" i="3"/>
  <c r="BA260" i="3"/>
  <c r="BA264" i="3"/>
  <c r="G267" i="3"/>
  <c r="BA276" i="3"/>
  <c r="G279" i="3"/>
  <c r="G295" i="3"/>
  <c r="BA325" i="3"/>
  <c r="G333" i="3"/>
  <c r="G337" i="3"/>
  <c r="G341" i="3"/>
  <c r="G429" i="3"/>
  <c r="G437" i="3"/>
  <c r="BA464" i="3"/>
  <c r="G492" i="3"/>
  <c r="G496" i="3"/>
  <c r="G524" i="3"/>
  <c r="G528" i="3"/>
  <c r="G536" i="3"/>
  <c r="R19" i="77"/>
  <c r="J42" i="33"/>
  <c r="W42" i="33" s="1"/>
  <c r="F66" i="71"/>
  <c r="Q65" i="71" s="1"/>
  <c r="B71" i="71"/>
  <c r="B70" i="71" s="1"/>
  <c r="AB27" i="40"/>
  <c r="U27" i="40"/>
  <c r="BL167" i="3"/>
  <c r="G494" i="3"/>
  <c r="U32" i="37"/>
  <c r="J12" i="39"/>
  <c r="AC12" i="39" s="1"/>
  <c r="BA120" i="3"/>
  <c r="BL243" i="3"/>
  <c r="BL315" i="3"/>
  <c r="U22" i="35"/>
  <c r="U45" i="79"/>
  <c r="AI45" i="79" s="1"/>
  <c r="G526" i="3"/>
  <c r="G587" i="3"/>
  <c r="BL99" i="3"/>
  <c r="BA581" i="3"/>
  <c r="BA584" i="3"/>
  <c r="J28" i="34"/>
  <c r="AC28" i="34" s="1"/>
  <c r="AB33" i="35"/>
  <c r="U24" i="71"/>
  <c r="F35" i="71"/>
  <c r="F36" i="71" s="1"/>
  <c r="V36" i="71" s="1"/>
  <c r="BA60" i="3"/>
  <c r="BA105" i="3"/>
  <c r="S21" i="79"/>
  <c r="AG21" i="79" s="1"/>
  <c r="B44" i="71"/>
  <c r="S44" i="71" s="1"/>
  <c r="F27" i="71"/>
  <c r="F26" i="71" s="1"/>
  <c r="G300" i="3"/>
  <c r="J12" i="37"/>
  <c r="AC12" i="37" s="1"/>
  <c r="H39" i="37"/>
  <c r="AB39" i="37" s="1"/>
  <c r="N4" i="43"/>
  <c r="U21" i="79"/>
  <c r="AI21" i="79" s="1"/>
  <c r="U48" i="79"/>
  <c r="AI48" i="79" s="1"/>
  <c r="E43" i="71"/>
  <c r="E44" i="71" s="1"/>
  <c r="U44" i="71" s="1"/>
  <c r="BL183" i="3"/>
  <c r="G321" i="3"/>
  <c r="F7" i="1"/>
  <c r="B13" i="53"/>
  <c r="B29" i="72" s="1"/>
  <c r="G326" i="3"/>
  <c r="AC32" i="37"/>
  <c r="J27" i="40"/>
  <c r="B16" i="53"/>
  <c r="B33" i="72" s="1"/>
  <c r="G245" i="3"/>
  <c r="F43" i="34"/>
  <c r="AA43" i="34" s="1"/>
  <c r="F35" i="39"/>
  <c r="S35" i="39" s="1"/>
  <c r="AR7" i="79"/>
  <c r="AR8" i="79" s="1"/>
  <c r="AR9" i="79" s="1"/>
  <c r="AR10" i="79" s="1"/>
  <c r="AR11" i="79" s="1"/>
  <c r="AR12" i="79" s="1"/>
  <c r="AR13" i="79" s="1"/>
  <c r="AR14" i="79" s="1"/>
  <c r="AR15" i="79" s="1"/>
  <c r="AR16" i="79" s="1"/>
  <c r="AR17" i="79" s="1"/>
  <c r="AR18" i="79" s="1"/>
  <c r="AR19" i="79" s="1"/>
  <c r="AR20" i="79" s="1"/>
  <c r="AR21" i="79" s="1"/>
  <c r="AR22" i="79" s="1"/>
  <c r="AR23" i="79" s="1"/>
  <c r="AR24" i="79" s="1"/>
  <c r="BA224" i="3"/>
  <c r="AA25" i="34"/>
  <c r="BA100" i="3"/>
  <c r="BL584" i="3"/>
  <c r="B39" i="71"/>
  <c r="B40" i="71" s="1"/>
  <c r="S40" i="71" s="1"/>
  <c r="BA78" i="3"/>
  <c r="BL336" i="3"/>
  <c r="BL61" i="3"/>
  <c r="BL117" i="3"/>
  <c r="AZ117" i="3" s="1"/>
  <c r="BA559" i="3"/>
  <c r="F46" i="34"/>
  <c r="AA46" i="34" s="1"/>
  <c r="U50" i="79"/>
  <c r="AI50" i="79" s="1"/>
  <c r="AB35" i="71"/>
  <c r="BA123" i="3"/>
  <c r="U42" i="79"/>
  <c r="AI42" i="79" s="1"/>
  <c r="F39" i="71"/>
  <c r="F40" i="71" s="1"/>
  <c r="V40" i="71" s="1"/>
  <c r="G318" i="3"/>
  <c r="BA543" i="3"/>
  <c r="F47" i="34"/>
  <c r="AA47" i="34" s="1"/>
  <c r="G430" i="3"/>
  <c r="BL520" i="3"/>
  <c r="G538" i="3"/>
  <c r="F26" i="37"/>
  <c r="AA26" i="37" s="1"/>
  <c r="H13" i="35"/>
  <c r="AB13" i="35" s="1"/>
  <c r="BA203" i="3"/>
  <c r="AZ203" i="3" s="1"/>
  <c r="W38" i="21"/>
  <c r="BL147" i="3"/>
  <c r="G204" i="3"/>
  <c r="BL238" i="3"/>
  <c r="H12" i="39"/>
  <c r="AB12" i="39" s="1"/>
  <c r="AC17" i="39"/>
  <c r="G555" i="3"/>
  <c r="AC33" i="34"/>
  <c r="W42" i="21"/>
  <c r="B19" i="53"/>
  <c r="B37" i="72" s="1"/>
  <c r="G132" i="3"/>
  <c r="J43" i="34"/>
  <c r="AC43" i="34" s="1"/>
  <c r="U8" i="21"/>
  <c r="BL107" i="3"/>
  <c r="BL83" i="3"/>
  <c r="BA125" i="3"/>
  <c r="F64" i="71"/>
  <c r="V64" i="71" s="1"/>
  <c r="AB36" i="39"/>
  <c r="W8" i="40"/>
  <c r="BA141" i="3"/>
  <c r="F11" i="36"/>
  <c r="S11" i="36" s="1"/>
  <c r="BL59" i="3"/>
  <c r="G180" i="3"/>
  <c r="BA555" i="3"/>
  <c r="AR35" i="79"/>
  <c r="AR36" i="79" s="1"/>
  <c r="AR37" i="79" s="1"/>
  <c r="AR38" i="79" s="1"/>
  <c r="AR39" i="79" s="1"/>
  <c r="AR40" i="79" s="1"/>
  <c r="AR41" i="79" s="1"/>
  <c r="AR42" i="79" s="1"/>
  <c r="AR43" i="79" s="1"/>
  <c r="AR44" i="79" s="1"/>
  <c r="AR45" i="79" s="1"/>
  <c r="AR46" i="79" s="1"/>
  <c r="AR47" i="79" s="1"/>
  <c r="AR48" i="79" s="1"/>
  <c r="AR49" i="79" s="1"/>
  <c r="AR50" i="79" s="1"/>
  <c r="AR51" i="79" s="1"/>
  <c r="AR52" i="79" s="1"/>
  <c r="BA112" i="3"/>
  <c r="BL536" i="3"/>
  <c r="BA567" i="3"/>
  <c r="H31" i="34"/>
  <c r="U31" i="34" s="1"/>
  <c r="H47" i="34"/>
  <c r="AA15" i="21"/>
  <c r="H28" i="21"/>
  <c r="U28" i="21" s="1"/>
  <c r="BA25" i="3"/>
  <c r="BA52" i="3"/>
  <c r="G55" i="3"/>
  <c r="G269" i="3"/>
  <c r="BA288" i="3"/>
  <c r="BL296" i="3"/>
  <c r="G316" i="3"/>
  <c r="G368" i="3"/>
  <c r="BL423" i="3"/>
  <c r="G428" i="3"/>
  <c r="G448" i="3"/>
  <c r="BA495" i="3"/>
  <c r="BL498" i="3"/>
  <c r="BL518" i="3"/>
  <c r="G527" i="3"/>
  <c r="AC10" i="21"/>
  <c r="F13" i="37"/>
  <c r="AA13" i="37" s="1"/>
  <c r="H26" i="37"/>
  <c r="AB26" i="37" s="1"/>
  <c r="J30" i="40"/>
  <c r="AC30" i="40" s="1"/>
  <c r="R20" i="79"/>
  <c r="AF20" i="79" s="1"/>
  <c r="BL222" i="3"/>
  <c r="U11" i="21"/>
  <c r="BL143" i="3"/>
  <c r="G272" i="3"/>
  <c r="BA473" i="3"/>
  <c r="W42" i="34"/>
  <c r="BA140" i="3"/>
  <c r="G297" i="3"/>
  <c r="BL306" i="3"/>
  <c r="AB39" i="21"/>
  <c r="J34" i="36"/>
  <c r="AC34" i="36" s="1"/>
  <c r="AA31" i="79"/>
  <c r="AD31" i="79" s="1"/>
  <c r="BA134" i="3"/>
  <c r="BL338" i="3"/>
  <c r="F31" i="71"/>
  <c r="F32" i="71" s="1"/>
  <c r="V32" i="71" s="1"/>
  <c r="BA64" i="3"/>
  <c r="BL108" i="3"/>
  <c r="BL327" i="3"/>
  <c r="M2" i="43"/>
  <c r="AD39" i="79"/>
  <c r="G25" i="3"/>
  <c r="AA26" i="21"/>
  <c r="W35" i="34"/>
  <c r="BL44" i="3"/>
  <c r="G46" i="3"/>
  <c r="BL73" i="3"/>
  <c r="G147" i="3"/>
  <c r="G174" i="3"/>
  <c r="G183" i="3"/>
  <c r="G199" i="3"/>
  <c r="G215" i="3"/>
  <c r="BA272" i="3"/>
  <c r="AZ272" i="3" s="1"/>
  <c r="BL355" i="3"/>
  <c r="BL364" i="3"/>
  <c r="BL366" i="3"/>
  <c r="G377" i="3"/>
  <c r="BA394" i="3"/>
  <c r="G397" i="3"/>
  <c r="G417" i="3"/>
  <c r="BL424" i="3"/>
  <c r="G489" i="3"/>
  <c r="G505" i="3"/>
  <c r="BA531" i="3"/>
  <c r="AC41" i="34"/>
  <c r="AC47" i="34"/>
  <c r="F27" i="34"/>
  <c r="AA27" i="34" s="1"/>
  <c r="H29" i="21"/>
  <c r="U29" i="21" s="1"/>
  <c r="H13" i="37"/>
  <c r="U13" i="37" s="1"/>
  <c r="J43" i="33"/>
  <c r="AC43" i="33" s="1"/>
  <c r="F43" i="33"/>
  <c r="S43" i="33" s="1"/>
  <c r="J23" i="33"/>
  <c r="H23" i="33"/>
  <c r="U23" i="33" s="1"/>
  <c r="AC39" i="39"/>
  <c r="W39" i="39"/>
  <c r="C18" i="78"/>
  <c r="BA22" i="3"/>
  <c r="G81" i="3"/>
  <c r="BL258" i="3"/>
  <c r="U47" i="34"/>
  <c r="AB47" i="34"/>
  <c r="BA67" i="3"/>
  <c r="BL119" i="3"/>
  <c r="U32" i="82"/>
  <c r="AB32" i="82"/>
  <c r="BL79" i="3"/>
  <c r="BL426" i="3"/>
  <c r="W34" i="39"/>
  <c r="G88" i="3"/>
  <c r="BA343" i="3"/>
  <c r="J12" i="36"/>
  <c r="AC12" i="36" s="1"/>
  <c r="BL35" i="3"/>
  <c r="BA359" i="3"/>
  <c r="G404" i="3"/>
  <c r="J37" i="39"/>
  <c r="W37" i="39" s="1"/>
  <c r="H37" i="39"/>
  <c r="F37" i="39"/>
  <c r="S37" i="39" s="1"/>
  <c r="BA72" i="3"/>
  <c r="AZ72" i="3" s="1"/>
  <c r="G252" i="3"/>
  <c r="BL532" i="3"/>
  <c r="J31" i="21"/>
  <c r="AC31" i="21" s="1"/>
  <c r="H31" i="21"/>
  <c r="AB31" i="21" s="1"/>
  <c r="H19" i="33"/>
  <c r="AB19" i="33" s="1"/>
  <c r="BA211" i="3"/>
  <c r="BA507" i="3"/>
  <c r="BL530" i="3"/>
  <c r="A118" i="9"/>
  <c r="A2" i="84"/>
  <c r="A2" i="81"/>
  <c r="A118" i="84"/>
  <c r="A118" i="81"/>
  <c r="J31" i="82"/>
  <c r="H31" i="82"/>
  <c r="F31" i="82"/>
  <c r="BL139" i="3"/>
  <c r="U19" i="21"/>
  <c r="AB19" i="21"/>
  <c r="BA56" i="3"/>
  <c r="S31" i="21"/>
  <c r="AA31" i="21"/>
  <c r="J27" i="21"/>
  <c r="AC27" i="21" s="1"/>
  <c r="H27" i="21"/>
  <c r="U27" i="21" s="1"/>
  <c r="F27" i="21"/>
  <c r="AA27" i="21" s="1"/>
  <c r="W10" i="37"/>
  <c r="AC10" i="37"/>
  <c r="W28" i="36"/>
  <c r="BQ5" i="3"/>
  <c r="BA116" i="3"/>
  <c r="BA515" i="3"/>
  <c r="F12" i="36"/>
  <c r="AA12" i="36" s="1"/>
  <c r="G37" i="3"/>
  <c r="BL480" i="3"/>
  <c r="F35" i="35"/>
  <c r="AA35" i="35" s="1"/>
  <c r="J35" i="35"/>
  <c r="AC35" i="35" s="1"/>
  <c r="U76" i="71"/>
  <c r="E75" i="71"/>
  <c r="E74" i="71" s="1"/>
  <c r="BL263" i="3"/>
  <c r="BL446" i="3"/>
  <c r="AB19" i="34"/>
  <c r="U19" i="34"/>
  <c r="N67" i="71"/>
  <c r="B66" i="71"/>
  <c r="N66" i="71" s="1"/>
  <c r="BL402" i="3"/>
  <c r="G559" i="3"/>
  <c r="W11" i="34"/>
  <c r="F19" i="33"/>
  <c r="AA19" i="33" s="1"/>
  <c r="R11" i="1"/>
  <c r="S11" i="1"/>
  <c r="T11" i="1" s="1"/>
  <c r="G324" i="3"/>
  <c r="G342" i="3"/>
  <c r="BA563" i="3"/>
  <c r="M18" i="81"/>
  <c r="B118" i="81" s="1"/>
  <c r="D3" i="82"/>
  <c r="D93" i="9"/>
  <c r="D78" i="84"/>
  <c r="D93" i="81"/>
  <c r="D93" i="84"/>
  <c r="D78" i="81"/>
  <c r="J44" i="21"/>
  <c r="W44" i="21" s="1"/>
  <c r="H44" i="21"/>
  <c r="Y28" i="71"/>
  <c r="Z28" i="71" s="1"/>
  <c r="BA128" i="3"/>
  <c r="AZ128" i="3" s="1"/>
  <c r="BL129" i="3"/>
  <c r="BA256" i="3"/>
  <c r="AZ256" i="3" s="1"/>
  <c r="G358" i="3"/>
  <c r="BA446" i="3"/>
  <c r="BA471" i="3"/>
  <c r="BA489" i="3"/>
  <c r="J40" i="34"/>
  <c r="AC40" i="34" s="1"/>
  <c r="F40" i="34"/>
  <c r="AA30" i="37"/>
  <c r="J25" i="35"/>
  <c r="AC25" i="35" s="1"/>
  <c r="H25" i="35"/>
  <c r="AB25" i="35" s="1"/>
  <c r="F25" i="35"/>
  <c r="S25" i="35" s="1"/>
  <c r="BL136" i="3"/>
  <c r="BL138" i="3"/>
  <c r="BA164" i="3"/>
  <c r="BA364" i="3"/>
  <c r="BA503" i="3"/>
  <c r="BL562" i="3"/>
  <c r="BA568" i="3"/>
  <c r="AZ568" i="3" s="1"/>
  <c r="AB32" i="85"/>
  <c r="U32" i="85"/>
  <c r="BA53" i="3"/>
  <c r="BA144" i="3"/>
  <c r="AZ144" i="3" s="1"/>
  <c r="BL203" i="3"/>
  <c r="BL237" i="3"/>
  <c r="BL271" i="3"/>
  <c r="BL363" i="3"/>
  <c r="BA433" i="3"/>
  <c r="BL436" i="3"/>
  <c r="BL438" i="3"/>
  <c r="G490" i="3"/>
  <c r="BL569" i="3"/>
  <c r="M18" i="84"/>
  <c r="B118" i="84" s="1"/>
  <c r="D3" i="85"/>
  <c r="BL27" i="3"/>
  <c r="BL87" i="3"/>
  <c r="BA113" i="3"/>
  <c r="BA155" i="3"/>
  <c r="BA162" i="3"/>
  <c r="BL235" i="3"/>
  <c r="G264" i="3"/>
  <c r="BA308" i="3"/>
  <c r="BA324" i="3"/>
  <c r="BA360" i="3"/>
  <c r="G385" i="3"/>
  <c r="BL472" i="3"/>
  <c r="BA548" i="3"/>
  <c r="S28" i="21"/>
  <c r="H35" i="35"/>
  <c r="U35" i="35" s="1"/>
  <c r="V21" i="79"/>
  <c r="AJ21" i="79" s="1"/>
  <c r="U68" i="71"/>
  <c r="E67" i="71"/>
  <c r="E66" i="71" s="1"/>
  <c r="P66" i="71" s="1"/>
  <c r="G76" i="3"/>
  <c r="BL85" i="3"/>
  <c r="BA122" i="3"/>
  <c r="BL172" i="3"/>
  <c r="BL174" i="3"/>
  <c r="BA180" i="3"/>
  <c r="BA200" i="3"/>
  <c r="BA241" i="3"/>
  <c r="BL443" i="3"/>
  <c r="BL502" i="3"/>
  <c r="AA8" i="34"/>
  <c r="S8" i="34"/>
  <c r="H9" i="37"/>
  <c r="AB9" i="37" s="1"/>
  <c r="F28" i="37"/>
  <c r="AA28" i="37" s="1"/>
  <c r="AB31" i="35"/>
  <c r="U31" i="35"/>
  <c r="J13" i="40"/>
  <c r="W13" i="40" s="1"/>
  <c r="H13" i="40"/>
  <c r="BL130" i="3"/>
  <c r="AZ130" i="3" s="1"/>
  <c r="G152" i="3"/>
  <c r="BA136" i="3"/>
  <c r="BA533" i="3"/>
  <c r="D84" i="71"/>
  <c r="C83" i="71"/>
  <c r="D83" i="71" s="1"/>
  <c r="T76" i="71"/>
  <c r="C75" i="71"/>
  <c r="G464" i="3"/>
  <c r="BL270" i="3"/>
  <c r="BA316" i="3"/>
  <c r="W23" i="37"/>
  <c r="AC23" i="37"/>
  <c r="J36" i="35"/>
  <c r="H36" i="35"/>
  <c r="AB36" i="35" s="1"/>
  <c r="F36" i="35"/>
  <c r="AA36" i="35" s="1"/>
  <c r="BL17" i="3"/>
  <c r="G310" i="3"/>
  <c r="BA399" i="3"/>
  <c r="BL250" i="3"/>
  <c r="AA11" i="34"/>
  <c r="BA195" i="3"/>
  <c r="BA202" i="3"/>
  <c r="BA229" i="3"/>
  <c r="D7" i="74"/>
  <c r="B48" i="71"/>
  <c r="S48" i="71" s="1"/>
  <c r="BL367" i="3"/>
  <c r="BA505" i="3"/>
  <c r="M20" i="67"/>
  <c r="F34" i="86"/>
  <c r="F62" i="86" s="1"/>
  <c r="F34" i="83"/>
  <c r="F62" i="83" s="1"/>
  <c r="M20" i="86"/>
  <c r="M20" i="83"/>
  <c r="AB8" i="36"/>
  <c r="U8" i="36"/>
  <c r="U80" i="71"/>
  <c r="E79" i="71"/>
  <c r="E78" i="71" s="1"/>
  <c r="B62" i="78"/>
  <c r="B54" i="78"/>
  <c r="D54" i="78" s="1"/>
  <c r="BA48" i="3"/>
  <c r="BL109" i="3"/>
  <c r="G196" i="3"/>
  <c r="BL255" i="3"/>
  <c r="BL275" i="3"/>
  <c r="BL320" i="3"/>
  <c r="BA395" i="3"/>
  <c r="AZ395" i="3" s="1"/>
  <c r="BA487" i="3"/>
  <c r="J34" i="35"/>
  <c r="AC34" i="35" s="1"/>
  <c r="AB34" i="40"/>
  <c r="U34" i="40"/>
  <c r="T68" i="71"/>
  <c r="O68" i="71"/>
  <c r="C67" i="71"/>
  <c r="V80" i="71"/>
  <c r="F79" i="71"/>
  <c r="F78" i="71" s="1"/>
  <c r="BL116" i="3"/>
  <c r="BA216" i="3"/>
  <c r="AZ216" i="3" s="1"/>
  <c r="BL219" i="3"/>
  <c r="BA335" i="3"/>
  <c r="AZ335" i="3" s="1"/>
  <c r="G356" i="3"/>
  <c r="BA469" i="3"/>
  <c r="BL488" i="3"/>
  <c r="BA494" i="3"/>
  <c r="G571" i="3"/>
  <c r="W34" i="40"/>
  <c r="AC34" i="40"/>
  <c r="Y18" i="71"/>
  <c r="Z18" i="71" s="1"/>
  <c r="G176" i="3"/>
  <c r="G405" i="3"/>
  <c r="J15" i="34"/>
  <c r="AC15" i="34" s="1"/>
  <c r="H15" i="34"/>
  <c r="AB15" i="34" s="1"/>
  <c r="F15" i="34"/>
  <c r="AA15" i="34" s="1"/>
  <c r="G36" i="3"/>
  <c r="BA44" i="3"/>
  <c r="BL45" i="3"/>
  <c r="BL67" i="3"/>
  <c r="AZ67" i="3" s="1"/>
  <c r="BA358" i="3"/>
  <c r="G551" i="3"/>
  <c r="E78" i="34"/>
  <c r="F78" i="34" s="1"/>
  <c r="G78" i="34" s="1"/>
  <c r="BL34" i="3"/>
  <c r="BL43" i="3"/>
  <c r="BL63" i="3"/>
  <c r="BL72" i="3"/>
  <c r="BA91" i="3"/>
  <c r="BL92" i="3"/>
  <c r="BL94" i="3"/>
  <c r="BL123" i="3"/>
  <c r="G145" i="3"/>
  <c r="G192" i="3"/>
  <c r="BA196" i="3"/>
  <c r="BA212" i="3"/>
  <c r="BA398" i="3"/>
  <c r="G414" i="3"/>
  <c r="G434" i="3"/>
  <c r="BA440" i="3"/>
  <c r="BA449" i="3"/>
  <c r="BA451" i="3"/>
  <c r="AZ451" i="3" s="1"/>
  <c r="AC17" i="21"/>
  <c r="F44" i="21"/>
  <c r="S44" i="21" s="1"/>
  <c r="J9" i="37"/>
  <c r="AC9" i="37" s="1"/>
  <c r="H28" i="37"/>
  <c r="U28" i="37" s="1"/>
  <c r="F43" i="39"/>
  <c r="S43" i="39" s="1"/>
  <c r="H14" i="40"/>
  <c r="F14" i="40"/>
  <c r="S14" i="40" s="1"/>
  <c r="F41" i="43"/>
  <c r="N21" i="43"/>
  <c r="U17" i="79"/>
  <c r="AI17" i="79" s="1"/>
  <c r="S20" i="79"/>
  <c r="AG20" i="79" s="1"/>
  <c r="B55" i="71"/>
  <c r="B56" i="71" s="1"/>
  <c r="S56" i="71" s="1"/>
  <c r="BL110" i="3"/>
  <c r="AC28" i="37"/>
  <c r="W28" i="37"/>
  <c r="U17" i="40"/>
  <c r="AB17" i="40"/>
  <c r="G498" i="3"/>
  <c r="U23" i="36"/>
  <c r="AC32" i="82"/>
  <c r="W32" i="82"/>
  <c r="G48" i="3"/>
  <c r="BA513" i="3"/>
  <c r="W38" i="34"/>
  <c r="BL46" i="3"/>
  <c r="M56" i="84"/>
  <c r="N56" i="81"/>
  <c r="K56" i="81"/>
  <c r="J56" i="81"/>
  <c r="J57" i="81" s="1"/>
  <c r="J59" i="81" s="1"/>
  <c r="J61" i="81" s="1"/>
  <c r="N56" i="84"/>
  <c r="M56" i="81"/>
  <c r="K56" i="84"/>
  <c r="J56" i="84"/>
  <c r="J57" i="84" s="1"/>
  <c r="J59" i="84" s="1"/>
  <c r="J61" i="84" s="1"/>
  <c r="G353" i="3"/>
  <c r="BA379" i="3"/>
  <c r="G422" i="3"/>
  <c r="BA265" i="3"/>
  <c r="BA274" i="3"/>
  <c r="J44" i="39"/>
  <c r="AC44" i="39" s="1"/>
  <c r="H44" i="39"/>
  <c r="F44" i="39"/>
  <c r="S44" i="39" s="1"/>
  <c r="P5" i="79"/>
  <c r="T3" i="79"/>
  <c r="W3" i="79" s="1"/>
  <c r="P10" i="79"/>
  <c r="T10" i="79"/>
  <c r="W10" i="79" s="1"/>
  <c r="AK10" i="79" s="1"/>
  <c r="B79" i="71"/>
  <c r="B78" i="71" s="1"/>
  <c r="S80" i="71"/>
  <c r="BL331" i="3"/>
  <c r="G530" i="3"/>
  <c r="B11" i="1"/>
  <c r="E11" i="1" s="1"/>
  <c r="S13" i="1"/>
  <c r="AQ13" i="1" s="1"/>
  <c r="R13" i="1"/>
  <c r="AA42" i="21"/>
  <c r="J19" i="33"/>
  <c r="W19" i="33" s="1"/>
  <c r="AA8" i="36"/>
  <c r="S8" i="36"/>
  <c r="D30" i="71"/>
  <c r="D71" i="71"/>
  <c r="C70" i="71"/>
  <c r="D70" i="71" s="1"/>
  <c r="BL22" i="3"/>
  <c r="BA88" i="3"/>
  <c r="BA148" i="3"/>
  <c r="BA157" i="3"/>
  <c r="BL187" i="3"/>
  <c r="BL257" i="3"/>
  <c r="BL304" i="3"/>
  <c r="BL322" i="3"/>
  <c r="BA384" i="3"/>
  <c r="H34" i="35"/>
  <c r="U34" i="35" s="1"/>
  <c r="J31" i="85"/>
  <c r="H31" i="85"/>
  <c r="F31" i="85"/>
  <c r="BA66" i="3"/>
  <c r="BL91" i="3"/>
  <c r="G120" i="3"/>
  <c r="BA135" i="3"/>
  <c r="G169" i="3"/>
  <c r="BA184" i="3"/>
  <c r="G212" i="3"/>
  <c r="BA220" i="3"/>
  <c r="AZ220" i="3" s="1"/>
  <c r="BL221" i="3"/>
  <c r="BA353" i="3"/>
  <c r="G378" i="3"/>
  <c r="G398" i="3"/>
  <c r="G418" i="3"/>
  <c r="BL427" i="3"/>
  <c r="G440" i="3"/>
  <c r="W38" i="40"/>
  <c r="AC38" i="40"/>
  <c r="E27" i="71"/>
  <c r="E26" i="71" s="1"/>
  <c r="BL47" i="3"/>
  <c r="G69" i="3"/>
  <c r="BL118" i="3"/>
  <c r="BA124" i="3"/>
  <c r="AZ124" i="3" s="1"/>
  <c r="BA227" i="3"/>
  <c r="BA236" i="3"/>
  <c r="AZ236" i="3" s="1"/>
  <c r="BA290" i="3"/>
  <c r="G313" i="3"/>
  <c r="F14" i="34"/>
  <c r="AA14" i="34" s="1"/>
  <c r="H14" i="34"/>
  <c r="U14" i="34" s="1"/>
  <c r="AC32" i="85"/>
  <c r="W32" i="85"/>
  <c r="BA277" i="3"/>
  <c r="BL383" i="3"/>
  <c r="BA539" i="3"/>
  <c r="BL580" i="3"/>
  <c r="U33" i="21"/>
  <c r="W40" i="21"/>
  <c r="R12" i="79"/>
  <c r="AF12" i="79" s="1"/>
  <c r="I4" i="6"/>
  <c r="G185" i="3"/>
  <c r="BA205" i="3"/>
  <c r="G228" i="3"/>
  <c r="BA232" i="3"/>
  <c r="BA369" i="3"/>
  <c r="BL372" i="3"/>
  <c r="BL374" i="3"/>
  <c r="BL403" i="3"/>
  <c r="W36" i="34"/>
  <c r="AB40" i="21"/>
  <c r="AB43" i="21"/>
  <c r="AB8" i="71"/>
  <c r="B37" i="48"/>
  <c r="B2" i="72" s="1"/>
  <c r="BA51" i="3"/>
  <c r="BL74" i="3"/>
  <c r="BA80" i="3"/>
  <c r="G105" i="3"/>
  <c r="G125" i="3"/>
  <c r="G156" i="3"/>
  <c r="BA378" i="3"/>
  <c r="AZ378" i="3" s="1"/>
  <c r="G394" i="3"/>
  <c r="BL486" i="3"/>
  <c r="F30" i="34"/>
  <c r="AA30" i="34" s="1"/>
  <c r="J30" i="34"/>
  <c r="AC30" i="34" s="1"/>
  <c r="H30" i="34"/>
  <c r="U30" i="34" s="1"/>
  <c r="BL32" i="3"/>
  <c r="BA40" i="3"/>
  <c r="G43" i="3"/>
  <c r="BA69" i="3"/>
  <c r="BL103" i="3"/>
  <c r="G123" i="3"/>
  <c r="BA178" i="3"/>
  <c r="G181" i="3"/>
  <c r="G190" i="3"/>
  <c r="BL190" i="3"/>
  <c r="G233" i="3"/>
  <c r="BA275" i="3"/>
  <c r="BL287" i="3"/>
  <c r="G289" i="3"/>
  <c r="BL291" i="3"/>
  <c r="G298" i="3"/>
  <c r="BL298" i="3"/>
  <c r="BA313" i="3"/>
  <c r="G334" i="3"/>
  <c r="BL343" i="3"/>
  <c r="H13" i="21"/>
  <c r="U13" i="21" s="1"/>
  <c r="AC34" i="21"/>
  <c r="W34" i="21"/>
  <c r="J14" i="33"/>
  <c r="AC14" i="33" s="1"/>
  <c r="J31" i="39"/>
  <c r="AC31" i="39" s="1"/>
  <c r="F31" i="39"/>
  <c r="S31" i="39" s="1"/>
  <c r="H31" i="39"/>
  <c r="J39" i="40"/>
  <c r="AC39" i="40" s="1"/>
  <c r="H39" i="40"/>
  <c r="AB39" i="40" s="1"/>
  <c r="F39" i="40"/>
  <c r="AA39" i="40" s="1"/>
  <c r="N12" i="43"/>
  <c r="N8" i="43"/>
  <c r="M12" i="43"/>
  <c r="N7" i="43"/>
  <c r="M6" i="43"/>
  <c r="N5" i="43"/>
  <c r="E52" i="71"/>
  <c r="U52" i="71" s="1"/>
  <c r="C55" i="71"/>
  <c r="C56" i="71" s="1"/>
  <c r="AC5" i="3"/>
  <c r="BA19" i="3"/>
  <c r="BL31" i="3"/>
  <c r="G53" i="3"/>
  <c r="G164" i="3"/>
  <c r="BL191" i="3"/>
  <c r="BA304" i="3"/>
  <c r="G332" i="3"/>
  <c r="BL540" i="3"/>
  <c r="BA577" i="3"/>
  <c r="S49" i="79"/>
  <c r="AG49" i="79" s="1"/>
  <c r="Y11" i="71"/>
  <c r="Z11" i="71" s="1"/>
  <c r="Y15" i="71"/>
  <c r="Z15" i="71" s="1"/>
  <c r="BA37" i="3"/>
  <c r="G64" i="3"/>
  <c r="BA90" i="3"/>
  <c r="BL93" i="3"/>
  <c r="BL171" i="3"/>
  <c r="BL522" i="3"/>
  <c r="BA546" i="3"/>
  <c r="BA28" i="3"/>
  <c r="BL60" i="3"/>
  <c r="BA79" i="3"/>
  <c r="G104" i="3"/>
  <c r="BA179" i="3"/>
  <c r="BA262" i="3"/>
  <c r="BL283" i="3"/>
  <c r="BA564" i="3"/>
  <c r="BA586" i="3"/>
  <c r="W39" i="34"/>
  <c r="AC39" i="34"/>
  <c r="R14" i="77"/>
  <c r="R25" i="77" s="1"/>
  <c r="AC3" i="79"/>
  <c r="U38" i="79"/>
  <c r="AI38" i="79" s="1"/>
  <c r="U44" i="79"/>
  <c r="AI44" i="79" s="1"/>
  <c r="V72" i="71"/>
  <c r="F71" i="71"/>
  <c r="F70" i="71" s="1"/>
  <c r="BA197" i="3"/>
  <c r="BA213" i="3"/>
  <c r="G276" i="3"/>
  <c r="BA284" i="3"/>
  <c r="AZ284" i="3" s="1"/>
  <c r="BL285" i="3"/>
  <c r="BL323" i="3"/>
  <c r="BL558" i="3"/>
  <c r="D51" i="78"/>
  <c r="C51" i="78" s="1"/>
  <c r="C56" i="78" s="1"/>
  <c r="C58" i="78" s="1"/>
  <c r="BL62" i="3"/>
  <c r="BA68" i="3"/>
  <c r="BA168" i="3"/>
  <c r="BA188" i="3"/>
  <c r="AZ188" i="3" s="1"/>
  <c r="BA204" i="3"/>
  <c r="BL303" i="3"/>
  <c r="BA320" i="3"/>
  <c r="BL330" i="3"/>
  <c r="BL459" i="3"/>
  <c r="BL484" i="3"/>
  <c r="BL500" i="3"/>
  <c r="BL509" i="3"/>
  <c r="G38" i="3"/>
  <c r="BL51" i="3"/>
  <c r="G91" i="3"/>
  <c r="BL100" i="3"/>
  <c r="G102" i="3"/>
  <c r="BL102" i="3"/>
  <c r="G113" i="3"/>
  <c r="BL131" i="3"/>
  <c r="G153" i="3"/>
  <c r="BL189" i="3"/>
  <c r="BL227" i="3"/>
  <c r="G234" i="3"/>
  <c r="BA240" i="3"/>
  <c r="G243" i="3"/>
  <c r="G254" i="3"/>
  <c r="G283" i="3"/>
  <c r="BA291" i="3"/>
  <c r="G294" i="3"/>
  <c r="G303" i="3"/>
  <c r="BA309" i="3"/>
  <c r="BL319" i="3"/>
  <c r="BL328" i="3"/>
  <c r="G357" i="3"/>
  <c r="BL379" i="3"/>
  <c r="G491" i="3"/>
  <c r="G520" i="3"/>
  <c r="BA526" i="3"/>
  <c r="AZ526" i="3" s="1"/>
  <c r="BL538" i="3"/>
  <c r="BL565" i="3"/>
  <c r="G567" i="3"/>
  <c r="BA571" i="3"/>
  <c r="BL576" i="3"/>
  <c r="U19" i="79"/>
  <c r="AI19" i="79" s="1"/>
  <c r="AB3" i="79"/>
  <c r="BA560" i="3"/>
  <c r="S15" i="79"/>
  <c r="AG15" i="79" s="1"/>
  <c r="Y3" i="79"/>
  <c r="B27" i="71"/>
  <c r="B26" i="71" s="1"/>
  <c r="BE5" i="3"/>
  <c r="BA132" i="3"/>
  <c r="G135" i="3"/>
  <c r="G146" i="3"/>
  <c r="BA154" i="3"/>
  <c r="BA163" i="3"/>
  <c r="BA181" i="3"/>
  <c r="BL211" i="3"/>
  <c r="G240" i="3"/>
  <c r="BA248" i="3"/>
  <c r="BL249" i="3"/>
  <c r="BA268" i="3"/>
  <c r="AZ268" i="3" s="1"/>
  <c r="BL269" i="3"/>
  <c r="G340" i="3"/>
  <c r="BA348" i="3"/>
  <c r="BL391" i="3"/>
  <c r="BL411" i="3"/>
  <c r="BA457" i="3"/>
  <c r="BA459" i="3"/>
  <c r="G460" i="3"/>
  <c r="BA475" i="3"/>
  <c r="G514" i="3"/>
  <c r="BA538" i="3"/>
  <c r="BL550" i="3"/>
  <c r="BL561" i="3"/>
  <c r="G563" i="3"/>
  <c r="BL570" i="3"/>
  <c r="G583" i="3"/>
  <c r="G1" i="83"/>
  <c r="G1" i="86"/>
  <c r="C5" i="68"/>
  <c r="H9" i="35"/>
  <c r="AB9" i="35" s="1"/>
  <c r="U43" i="79"/>
  <c r="AI43" i="79" s="1"/>
  <c r="V24" i="71"/>
  <c r="E23" i="71"/>
  <c r="E22" i="71" s="1"/>
  <c r="E21" i="71" s="1"/>
  <c r="E20" i="71" s="1"/>
  <c r="AA30" i="71"/>
  <c r="W28" i="35"/>
  <c r="F23" i="71"/>
  <c r="F22" i="71" s="1"/>
  <c r="F21" i="71" s="1"/>
  <c r="F20" i="71" s="1"/>
  <c r="F19" i="71" s="1"/>
  <c r="F18" i="71" s="1"/>
  <c r="F17" i="71" s="1"/>
  <c r="F16" i="71" s="1"/>
  <c r="F15" i="71" s="1"/>
  <c r="F14" i="71" s="1"/>
  <c r="F13" i="71" s="1"/>
  <c r="F12" i="71" s="1"/>
  <c r="F11" i="71" s="1"/>
  <c r="F10" i="71" s="1"/>
  <c r="F9" i="71" s="1"/>
  <c r="F8" i="71" s="1"/>
  <c r="F7" i="71" s="1"/>
  <c r="F6" i="71" s="1"/>
  <c r="F5" i="71" s="1"/>
  <c r="AA34" i="71"/>
  <c r="C51" i="71"/>
  <c r="C52" i="71" s="1"/>
  <c r="T6" i="79"/>
  <c r="W6" i="79" s="1"/>
  <c r="AK6" i="79" s="1"/>
  <c r="S7" i="79"/>
  <c r="AG7" i="79" s="1"/>
  <c r="S19" i="79"/>
  <c r="AG19" i="79" s="1"/>
  <c r="Y38" i="71"/>
  <c r="Z38" i="71" s="1"/>
  <c r="G288" i="3"/>
  <c r="BA296" i="3"/>
  <c r="AZ296" i="3" s="1"/>
  <c r="BL297" i="3"/>
  <c r="BL339" i="3"/>
  <c r="BL348" i="3"/>
  <c r="BL350" i="3"/>
  <c r="G392" i="3"/>
  <c r="BL399" i="3"/>
  <c r="G412" i="3"/>
  <c r="BL419" i="3"/>
  <c r="BA420" i="3"/>
  <c r="G432" i="3"/>
  <c r="G470" i="3"/>
  <c r="BL470" i="3"/>
  <c r="BA485" i="3"/>
  <c r="BL504" i="3"/>
  <c r="G506" i="3"/>
  <c r="BL517" i="3"/>
  <c r="BL526" i="3"/>
  <c r="BL546" i="3"/>
  <c r="BL566" i="3"/>
  <c r="D11" i="77"/>
  <c r="E11" i="77" s="1"/>
  <c r="E7" i="77" s="1"/>
  <c r="C27" i="77" s="1"/>
  <c r="E72" i="43"/>
  <c r="B70" i="43" s="1"/>
  <c r="C47" i="71"/>
  <c r="D47" i="71" s="1"/>
  <c r="AA32" i="85"/>
  <c r="S32" i="85"/>
  <c r="BA32" i="3"/>
  <c r="BL33" i="3"/>
  <c r="BL75" i="3"/>
  <c r="BA81" i="3"/>
  <c r="BL84" i="3"/>
  <c r="G86" i="3"/>
  <c r="BL86" i="3"/>
  <c r="G106" i="3"/>
  <c r="G126" i="3"/>
  <c r="BL135" i="3"/>
  <c r="BL175" i="3"/>
  <c r="G177" i="3"/>
  <c r="G186" i="3"/>
  <c r="G224" i="3"/>
  <c r="G255" i="3"/>
  <c r="BA263" i="3"/>
  <c r="BL284" i="3"/>
  <c r="G286" i="3"/>
  <c r="BL286" i="3"/>
  <c r="BL295" i="3"/>
  <c r="G308" i="3"/>
  <c r="BA312" i="3"/>
  <c r="BA334" i="3"/>
  <c r="BA336" i="3"/>
  <c r="AZ336" i="3" s="1"/>
  <c r="BA356" i="3"/>
  <c r="G370" i="3"/>
  <c r="BA385" i="3"/>
  <c r="BL388" i="3"/>
  <c r="BL390" i="3"/>
  <c r="BA405" i="3"/>
  <c r="BL408" i="3"/>
  <c r="BL410" i="3"/>
  <c r="G441" i="3"/>
  <c r="G452" i="3"/>
  <c r="G468" i="3"/>
  <c r="BL477" i="3"/>
  <c r="BA483" i="3"/>
  <c r="G495" i="3"/>
  <c r="BA501" i="3"/>
  <c r="G504" i="3"/>
  <c r="G535" i="3"/>
  <c r="BL544" i="3"/>
  <c r="G546" i="3"/>
  <c r="BA552" i="3"/>
  <c r="G579" i="3"/>
  <c r="BL579" i="3"/>
  <c r="S9" i="79"/>
  <c r="AG9" i="79" s="1"/>
  <c r="U47" i="79"/>
  <c r="AI47" i="79" s="1"/>
  <c r="BA499" i="3"/>
  <c r="BA523" i="3"/>
  <c r="BL524" i="3"/>
  <c r="BA574" i="3"/>
  <c r="BA585" i="3"/>
  <c r="C36" i="33"/>
  <c r="C36" i="82" s="1"/>
  <c r="N7" i="1"/>
  <c r="Y7" i="1" s="1"/>
  <c r="N8" i="1"/>
  <c r="Y8" i="1" s="1"/>
  <c r="AC15" i="37"/>
  <c r="F13" i="35"/>
  <c r="AA13" i="35" s="1"/>
  <c r="W20" i="36"/>
  <c r="W35" i="40"/>
  <c r="E50" i="43"/>
  <c r="B48" i="43" s="1"/>
  <c r="U18" i="79"/>
  <c r="AI18" i="79" s="1"/>
  <c r="U22" i="79"/>
  <c r="AI22" i="79" s="1"/>
  <c r="B31" i="71"/>
  <c r="AA32" i="82"/>
  <c r="S32" i="82"/>
  <c r="F25" i="33"/>
  <c r="AA25" i="33" s="1"/>
  <c r="J25" i="33"/>
  <c r="W25" i="33" s="1"/>
  <c r="J34" i="33"/>
  <c r="H34" i="33"/>
  <c r="AB34" i="33" s="1"/>
  <c r="F34" i="33"/>
  <c r="S34" i="33" s="1"/>
  <c r="BI5" i="3"/>
  <c r="K5" i="4"/>
  <c r="B47" i="48" s="1"/>
  <c r="G77" i="33"/>
  <c r="J15" i="33"/>
  <c r="H15" i="33"/>
  <c r="U15" i="33" s="1"/>
  <c r="F15" i="33"/>
  <c r="S15" i="33" s="1"/>
  <c r="BD5" i="3"/>
  <c r="BH5" i="3"/>
  <c r="BP5" i="3"/>
  <c r="BT5" i="3"/>
  <c r="AZ79" i="3"/>
  <c r="BA160" i="3"/>
  <c r="BL179" i="3"/>
  <c r="BK5" i="3"/>
  <c r="B56" i="78"/>
  <c r="BL14" i="3"/>
  <c r="BL16" i="3"/>
  <c r="BL21" i="3"/>
  <c r="BL28" i="3"/>
  <c r="BL29" i="3"/>
  <c r="BL30" i="3"/>
  <c r="G32" i="3"/>
  <c r="BA34" i="3"/>
  <c r="BA35" i="3"/>
  <c r="BL40" i="3"/>
  <c r="BL41" i="3"/>
  <c r="BL42" i="3"/>
  <c r="G44" i="3"/>
  <c r="BA46" i="3"/>
  <c r="BA47" i="3"/>
  <c r="BA49" i="3"/>
  <c r="BL56" i="3"/>
  <c r="BL57" i="3"/>
  <c r="BL58" i="3"/>
  <c r="G60" i="3"/>
  <c r="BA62" i="3"/>
  <c r="BA63" i="3"/>
  <c r="AZ63" i="3" s="1"/>
  <c r="BA65" i="3"/>
  <c r="G72" i="3"/>
  <c r="BA74" i="3"/>
  <c r="BA75" i="3"/>
  <c r="BA77" i="3"/>
  <c r="BA84" i="3"/>
  <c r="AZ84" i="3" s="1"/>
  <c r="BA86" i="3"/>
  <c r="AZ86" i="3" s="1"/>
  <c r="BA87" i="3"/>
  <c r="BA89" i="3"/>
  <c r="BA92" i="3"/>
  <c r="BA94" i="3"/>
  <c r="BA95" i="3"/>
  <c r="BL95" i="3"/>
  <c r="BL96" i="3"/>
  <c r="BL97" i="3"/>
  <c r="BL98" i="3"/>
  <c r="G100" i="3"/>
  <c r="BA102" i="3"/>
  <c r="BA103" i="3"/>
  <c r="BA108" i="3"/>
  <c r="AZ108" i="3" s="1"/>
  <c r="BA110" i="3"/>
  <c r="BA111" i="3"/>
  <c r="BL111" i="3"/>
  <c r="G116" i="3"/>
  <c r="BA118" i="3"/>
  <c r="AZ118" i="3" s="1"/>
  <c r="BA119" i="3"/>
  <c r="BA121" i="3"/>
  <c r="AZ121" i="3" s="1"/>
  <c r="G128" i="3"/>
  <c r="BA130" i="3"/>
  <c r="BL148" i="3"/>
  <c r="BL149" i="3"/>
  <c r="BL150" i="3"/>
  <c r="BL155" i="3"/>
  <c r="BL163" i="3"/>
  <c r="G197" i="3"/>
  <c r="G205" i="3"/>
  <c r="AZ211" i="3"/>
  <c r="G213" i="3"/>
  <c r="BL223" i="3"/>
  <c r="G229" i="3"/>
  <c r="BG5" i="3"/>
  <c r="BM5" i="3"/>
  <c r="BL13" i="3"/>
  <c r="BN5" i="3"/>
  <c r="BR5" i="3"/>
  <c r="BL20" i="3"/>
  <c r="BL24" i="3"/>
  <c r="BL25" i="3"/>
  <c r="AZ25" i="3" s="1"/>
  <c r="BL26" i="3"/>
  <c r="G28" i="3"/>
  <c r="BA30" i="3"/>
  <c r="AZ30" i="3" s="1"/>
  <c r="BA31" i="3"/>
  <c r="BA33" i="3"/>
  <c r="BL36" i="3"/>
  <c r="BL37" i="3"/>
  <c r="BL38" i="3"/>
  <c r="G40" i="3"/>
  <c r="BA42" i="3"/>
  <c r="BA43" i="3"/>
  <c r="BA45" i="3"/>
  <c r="BL52" i="3"/>
  <c r="BL53" i="3"/>
  <c r="BL54" i="3"/>
  <c r="G56" i="3"/>
  <c r="BA58" i="3"/>
  <c r="AZ58" i="3" s="1"/>
  <c r="BA59" i="3"/>
  <c r="BA61" i="3"/>
  <c r="AZ61" i="3" s="1"/>
  <c r="BL68" i="3"/>
  <c r="BL69" i="3"/>
  <c r="BL70" i="3"/>
  <c r="BA73" i="3"/>
  <c r="BL80" i="3"/>
  <c r="BL81" i="3"/>
  <c r="BL82" i="3"/>
  <c r="G84" i="3"/>
  <c r="BA85" i="3"/>
  <c r="G92" i="3"/>
  <c r="BA93" i="3"/>
  <c r="AZ93" i="3" s="1"/>
  <c r="BA96" i="3"/>
  <c r="AZ96" i="3" s="1"/>
  <c r="BA98" i="3"/>
  <c r="BA99" i="3"/>
  <c r="BA101" i="3"/>
  <c r="AZ101" i="3" s="1"/>
  <c r="BL104" i="3"/>
  <c r="BL105" i="3"/>
  <c r="AZ105" i="3" s="1"/>
  <c r="BL106" i="3"/>
  <c r="G108" i="3"/>
  <c r="BA109" i="3"/>
  <c r="BL112" i="3"/>
  <c r="BL113" i="3"/>
  <c r="AZ113" i="3" s="1"/>
  <c r="BL114" i="3"/>
  <c r="BA117" i="3"/>
  <c r="BL124" i="3"/>
  <c r="BL125" i="3"/>
  <c r="BL126" i="3"/>
  <c r="AZ126" i="3" s="1"/>
  <c r="BA129" i="3"/>
  <c r="G136" i="3"/>
  <c r="BA138" i="3"/>
  <c r="AZ138" i="3" s="1"/>
  <c r="BA139" i="3"/>
  <c r="AZ139" i="3" s="1"/>
  <c r="BA208" i="3"/>
  <c r="AZ208" i="3" s="1"/>
  <c r="G265" i="3"/>
  <c r="BA292" i="3"/>
  <c r="B18" i="78"/>
  <c r="G23" i="78"/>
  <c r="A15" i="62"/>
  <c r="B61" i="72" s="1"/>
  <c r="BA15" i="3"/>
  <c r="BF5" i="3"/>
  <c r="BJ5" i="3"/>
  <c r="BO5" i="3"/>
  <c r="BS5" i="3"/>
  <c r="G18" i="3"/>
  <c r="BL18" i="3"/>
  <c r="AZ18" i="3" s="1"/>
  <c r="G19" i="3"/>
  <c r="B30" i="31" s="1"/>
  <c r="BL19" i="3"/>
  <c r="AZ19" i="3" s="1"/>
  <c r="BL23" i="3"/>
  <c r="G24" i="3"/>
  <c r="BA26" i="3"/>
  <c r="BA27" i="3"/>
  <c r="BA29" i="3"/>
  <c r="G35" i="3"/>
  <c r="BA36" i="3"/>
  <c r="BA38" i="3"/>
  <c r="BA39" i="3"/>
  <c r="AZ39" i="3" s="1"/>
  <c r="BA41" i="3"/>
  <c r="G47" i="3"/>
  <c r="BL48" i="3"/>
  <c r="BL49" i="3"/>
  <c r="G50" i="3"/>
  <c r="BL50" i="3"/>
  <c r="AZ50" i="3" s="1"/>
  <c r="G52" i="3"/>
  <c r="BA54" i="3"/>
  <c r="BA55" i="3"/>
  <c r="AZ55" i="3" s="1"/>
  <c r="BA57" i="3"/>
  <c r="G63" i="3"/>
  <c r="BL64" i="3"/>
  <c r="AZ64" i="3" s="1"/>
  <c r="BL65" i="3"/>
  <c r="G66" i="3"/>
  <c r="BL66" i="3"/>
  <c r="G68" i="3"/>
  <c r="BA70" i="3"/>
  <c r="BA71" i="3"/>
  <c r="BL71" i="3"/>
  <c r="G75" i="3"/>
  <c r="BL76" i="3"/>
  <c r="AZ76" i="3" s="1"/>
  <c r="BL77" i="3"/>
  <c r="G78" i="3"/>
  <c r="BL78" i="3"/>
  <c r="AZ78" i="3" s="1"/>
  <c r="G80" i="3"/>
  <c r="BA82" i="3"/>
  <c r="BA83" i="3"/>
  <c r="AZ83" i="3" s="1"/>
  <c r="G87" i="3"/>
  <c r="BL88" i="3"/>
  <c r="BL89" i="3"/>
  <c r="G90" i="3"/>
  <c r="BL90" i="3"/>
  <c r="G95" i="3"/>
  <c r="G96" i="3"/>
  <c r="BA97" i="3"/>
  <c r="G103" i="3"/>
  <c r="BA104" i="3"/>
  <c r="BA106" i="3"/>
  <c r="BA107" i="3"/>
  <c r="AZ107" i="3" s="1"/>
  <c r="G111" i="3"/>
  <c r="G112" i="3"/>
  <c r="BA114" i="3"/>
  <c r="BA115" i="3"/>
  <c r="BL115" i="3"/>
  <c r="G119" i="3"/>
  <c r="BL120" i="3"/>
  <c r="AZ120" i="3" s="1"/>
  <c r="BL121" i="3"/>
  <c r="G122" i="3"/>
  <c r="BL122" i="3"/>
  <c r="G124" i="3"/>
  <c r="BA126" i="3"/>
  <c r="BA127" i="3"/>
  <c r="BL127" i="3"/>
  <c r="G131" i="3"/>
  <c r="BL132" i="3"/>
  <c r="AZ132" i="3" s="1"/>
  <c r="BL133" i="3"/>
  <c r="G134" i="3"/>
  <c r="BL134" i="3"/>
  <c r="AZ134" i="3" s="1"/>
  <c r="BA137" i="3"/>
  <c r="AZ137" i="3" s="1"/>
  <c r="G141" i="3"/>
  <c r="BA142" i="3"/>
  <c r="BA143" i="3"/>
  <c r="AZ143" i="3" s="1"/>
  <c r="BL151" i="3"/>
  <c r="G157" i="3"/>
  <c r="G165" i="3"/>
  <c r="BA172" i="3"/>
  <c r="AZ172" i="3" s="1"/>
  <c r="BL195" i="3"/>
  <c r="AZ195" i="3" s="1"/>
  <c r="BA244" i="3"/>
  <c r="BA280" i="3"/>
  <c r="BA416" i="3"/>
  <c r="S31" i="34"/>
  <c r="AA31" i="34"/>
  <c r="S14" i="21"/>
  <c r="AA14" i="21"/>
  <c r="BL144" i="3"/>
  <c r="BL145" i="3"/>
  <c r="AZ145" i="3" s="1"/>
  <c r="BL146" i="3"/>
  <c r="G148" i="3"/>
  <c r="BA150" i="3"/>
  <c r="BA151" i="3"/>
  <c r="BA153" i="3"/>
  <c r="G160" i="3"/>
  <c r="BA161" i="3"/>
  <c r="BL168" i="3"/>
  <c r="AZ168" i="3" s="1"/>
  <c r="BL169" i="3"/>
  <c r="BL170" i="3"/>
  <c r="G172" i="3"/>
  <c r="BA174" i="3"/>
  <c r="BA175" i="3"/>
  <c r="BA177" i="3"/>
  <c r="BL184" i="3"/>
  <c r="BL185" i="3"/>
  <c r="BL186" i="3"/>
  <c r="G188" i="3"/>
  <c r="BA190" i="3"/>
  <c r="BA191" i="3"/>
  <c r="BA193" i="3"/>
  <c r="G200" i="3"/>
  <c r="BA201" i="3"/>
  <c r="G208" i="3"/>
  <c r="BA209" i="3"/>
  <c r="BL216" i="3"/>
  <c r="BL217" i="3"/>
  <c r="BL218" i="3"/>
  <c r="G220" i="3"/>
  <c r="BA222" i="3"/>
  <c r="AZ222" i="3" s="1"/>
  <c r="BA223" i="3"/>
  <c r="BA225" i="3"/>
  <c r="BL232" i="3"/>
  <c r="BL233" i="3"/>
  <c r="BL234" i="3"/>
  <c r="G236" i="3"/>
  <c r="BA238" i="3"/>
  <c r="BA239" i="3"/>
  <c r="BL239" i="3"/>
  <c r="BL244" i="3"/>
  <c r="BL245" i="3"/>
  <c r="BL246" i="3"/>
  <c r="G248" i="3"/>
  <c r="BA250" i="3"/>
  <c r="BA251" i="3"/>
  <c r="BL251" i="3"/>
  <c r="BL252" i="3"/>
  <c r="BL253" i="3"/>
  <c r="BL254" i="3"/>
  <c r="G256" i="3"/>
  <c r="BA258" i="3"/>
  <c r="AZ258" i="3" s="1"/>
  <c r="BA259" i="3"/>
  <c r="AZ259" i="3" s="1"/>
  <c r="BA261" i="3"/>
  <c r="G268" i="3"/>
  <c r="BA270" i="3"/>
  <c r="BA271" i="3"/>
  <c r="AZ271" i="3" s="1"/>
  <c r="BA273" i="3"/>
  <c r="BL280" i="3"/>
  <c r="BL281" i="3"/>
  <c r="BL282" i="3"/>
  <c r="G284" i="3"/>
  <c r="BA286" i="3"/>
  <c r="BA287" i="3"/>
  <c r="BA289" i="3"/>
  <c r="BL292" i="3"/>
  <c r="AZ292" i="3" s="1"/>
  <c r="BL293" i="3"/>
  <c r="BL294" i="3"/>
  <c r="G296" i="3"/>
  <c r="BA298" i="3"/>
  <c r="BA299" i="3"/>
  <c r="BL299" i="3"/>
  <c r="BL300" i="3"/>
  <c r="BL301" i="3"/>
  <c r="BL302" i="3"/>
  <c r="G304" i="3"/>
  <c r="G306" i="3"/>
  <c r="BA306" i="3"/>
  <c r="AZ306" i="3" s="1"/>
  <c r="BA307" i="3"/>
  <c r="G320" i="3"/>
  <c r="G322" i="3"/>
  <c r="BA322" i="3"/>
  <c r="BA323" i="3"/>
  <c r="AZ323" i="3" s="1"/>
  <c r="BA341" i="3"/>
  <c r="BL344" i="3"/>
  <c r="BL346" i="3"/>
  <c r="G348" i="3"/>
  <c r="G350" i="3"/>
  <c r="BA350" i="3"/>
  <c r="AZ350" i="3" s="1"/>
  <c r="BA351" i="3"/>
  <c r="BL359" i="3"/>
  <c r="G364" i="3"/>
  <c r="G366" i="3"/>
  <c r="BA366" i="3"/>
  <c r="BA367" i="3"/>
  <c r="AZ367" i="3" s="1"/>
  <c r="BA372" i="3"/>
  <c r="AZ372" i="3" s="1"/>
  <c r="G374" i="3"/>
  <c r="BA374" i="3"/>
  <c r="AZ374" i="3" s="1"/>
  <c r="BA375" i="3"/>
  <c r="G384" i="3"/>
  <c r="BA396" i="3"/>
  <c r="BA131" i="3"/>
  <c r="BA133" i="3"/>
  <c r="G139" i="3"/>
  <c r="BL140" i="3"/>
  <c r="BL141" i="3"/>
  <c r="G142" i="3"/>
  <c r="BL142" i="3"/>
  <c r="G144" i="3"/>
  <c r="BA146" i="3"/>
  <c r="AZ146" i="3" s="1"/>
  <c r="BA147" i="3"/>
  <c r="AZ147" i="3" s="1"/>
  <c r="BA149" i="3"/>
  <c r="G155" i="3"/>
  <c r="BL156" i="3"/>
  <c r="AZ156" i="3" s="1"/>
  <c r="BL157" i="3"/>
  <c r="AZ157" i="3" s="1"/>
  <c r="G158" i="3"/>
  <c r="BL158" i="3"/>
  <c r="G163" i="3"/>
  <c r="BL164" i="3"/>
  <c r="BL165" i="3"/>
  <c r="AZ165" i="3" s="1"/>
  <c r="G166" i="3"/>
  <c r="BL166" i="3"/>
  <c r="G168" i="3"/>
  <c r="BA170" i="3"/>
  <c r="BA171" i="3"/>
  <c r="BA173" i="3"/>
  <c r="G179" i="3"/>
  <c r="BL180" i="3"/>
  <c r="BL181" i="3"/>
  <c r="G182" i="3"/>
  <c r="BL182" i="3"/>
  <c r="G184" i="3"/>
  <c r="BA186" i="3"/>
  <c r="BA187" i="3"/>
  <c r="AZ187" i="3" s="1"/>
  <c r="BA189" i="3"/>
  <c r="AZ189" i="3" s="1"/>
  <c r="G195" i="3"/>
  <c r="BL196" i="3"/>
  <c r="BL197" i="3"/>
  <c r="G198" i="3"/>
  <c r="BL198" i="3"/>
  <c r="G203" i="3"/>
  <c r="BL204" i="3"/>
  <c r="BL205" i="3"/>
  <c r="AZ205" i="3" s="1"/>
  <c r="G206" i="3"/>
  <c r="BL206" i="3"/>
  <c r="G211" i="3"/>
  <c r="BL212" i="3"/>
  <c r="AZ212" i="3" s="1"/>
  <c r="BL213" i="3"/>
  <c r="G214" i="3"/>
  <c r="BL214" i="3"/>
  <c r="G216" i="3"/>
  <c r="BA218" i="3"/>
  <c r="BA219" i="3"/>
  <c r="BA221" i="3"/>
  <c r="G227" i="3"/>
  <c r="BL228" i="3"/>
  <c r="AZ228" i="3" s="1"/>
  <c r="BL229" i="3"/>
  <c r="G230" i="3"/>
  <c r="BL230" i="3"/>
  <c r="G232" i="3"/>
  <c r="BA234" i="3"/>
  <c r="BA235" i="3"/>
  <c r="AZ235" i="3" s="1"/>
  <c r="BA237" i="3"/>
  <c r="AZ237" i="3" s="1"/>
  <c r="BL240" i="3"/>
  <c r="BL241" i="3"/>
  <c r="G242" i="3"/>
  <c r="BL242" i="3"/>
  <c r="G244" i="3"/>
  <c r="BA246" i="3"/>
  <c r="BA247" i="3"/>
  <c r="AZ247" i="3" s="1"/>
  <c r="BA249" i="3"/>
  <c r="BA252" i="3"/>
  <c r="BA254" i="3"/>
  <c r="BA255" i="3"/>
  <c r="AZ255" i="3" s="1"/>
  <c r="BA257" i="3"/>
  <c r="G263" i="3"/>
  <c r="BL264" i="3"/>
  <c r="AZ264" i="3" s="1"/>
  <c r="BL265" i="3"/>
  <c r="G266" i="3"/>
  <c r="BL266" i="3"/>
  <c r="BA269" i="3"/>
  <c r="G275" i="3"/>
  <c r="BL276" i="3"/>
  <c r="AZ276" i="3" s="1"/>
  <c r="BL277" i="3"/>
  <c r="G278" i="3"/>
  <c r="BL278" i="3"/>
  <c r="G280" i="3"/>
  <c r="BA282" i="3"/>
  <c r="BA283" i="3"/>
  <c r="BA285" i="3"/>
  <c r="AZ285" i="3" s="1"/>
  <c r="G291" i="3"/>
  <c r="G292" i="3"/>
  <c r="BA294" i="3"/>
  <c r="AZ294" i="3" s="1"/>
  <c r="BA295" i="3"/>
  <c r="AZ295" i="3" s="1"/>
  <c r="BA297" i="3"/>
  <c r="AZ297" i="3" s="1"/>
  <c r="BL307" i="3"/>
  <c r="BL308" i="3"/>
  <c r="AZ308" i="3" s="1"/>
  <c r="BL310" i="3"/>
  <c r="BL316" i="3"/>
  <c r="BL318" i="3"/>
  <c r="BA321" i="3"/>
  <c r="BA328" i="3"/>
  <c r="BA329" i="3"/>
  <c r="G336" i="3"/>
  <c r="G338" i="3"/>
  <c r="BA338" i="3"/>
  <c r="AZ338" i="3" s="1"/>
  <c r="BA339" i="3"/>
  <c r="BL351" i="3"/>
  <c r="BL352" i="3"/>
  <c r="AZ352" i="3" s="1"/>
  <c r="BL354" i="3"/>
  <c r="BA357" i="3"/>
  <c r="BL360" i="3"/>
  <c r="BL362" i="3"/>
  <c r="BA365" i="3"/>
  <c r="BL375" i="3"/>
  <c r="BA376" i="3"/>
  <c r="BA377" i="3"/>
  <c r="BL380" i="3"/>
  <c r="BL382" i="3"/>
  <c r="BA400" i="3"/>
  <c r="AZ400" i="3" s="1"/>
  <c r="BA401" i="3"/>
  <c r="BL404" i="3"/>
  <c r="BL406" i="3"/>
  <c r="BA409" i="3"/>
  <c r="BA424" i="3"/>
  <c r="AZ424" i="3" s="1"/>
  <c r="BA425" i="3"/>
  <c r="BL490" i="3"/>
  <c r="BA527" i="3"/>
  <c r="BL549" i="3"/>
  <c r="BL554" i="3"/>
  <c r="BL152" i="3"/>
  <c r="AZ152" i="3" s="1"/>
  <c r="BL153" i="3"/>
  <c r="G154" i="3"/>
  <c r="BL154" i="3"/>
  <c r="BA158" i="3"/>
  <c r="BA159" i="3"/>
  <c r="BL159" i="3"/>
  <c r="BL160" i="3"/>
  <c r="BL161" i="3"/>
  <c r="G162" i="3"/>
  <c r="BL162" i="3"/>
  <c r="BA166" i="3"/>
  <c r="AZ166" i="3" s="1"/>
  <c r="BA167" i="3"/>
  <c r="AZ167" i="3" s="1"/>
  <c r="BA169" i="3"/>
  <c r="G175" i="3"/>
  <c r="BL176" i="3"/>
  <c r="AZ176" i="3" s="1"/>
  <c r="BL177" i="3"/>
  <c r="G178" i="3"/>
  <c r="BL178" i="3"/>
  <c r="BA182" i="3"/>
  <c r="BA183" i="3"/>
  <c r="BA185" i="3"/>
  <c r="G191" i="3"/>
  <c r="BL192" i="3"/>
  <c r="BL193" i="3"/>
  <c r="G194" i="3"/>
  <c r="BL194" i="3"/>
  <c r="AZ194" i="3" s="1"/>
  <c r="BA198" i="3"/>
  <c r="AZ198" i="3" s="1"/>
  <c r="BA199" i="3"/>
  <c r="BL199" i="3"/>
  <c r="BL200" i="3"/>
  <c r="AZ200" i="3" s="1"/>
  <c r="BL201" i="3"/>
  <c r="G202" i="3"/>
  <c r="BL202" i="3"/>
  <c r="AZ202" i="3" s="1"/>
  <c r="BA206" i="3"/>
  <c r="BA207" i="3"/>
  <c r="BL207" i="3"/>
  <c r="BL208" i="3"/>
  <c r="BL209" i="3"/>
  <c r="G210" i="3"/>
  <c r="BL210" i="3"/>
  <c r="AZ210" i="3" s="1"/>
  <c r="BA214" i="3"/>
  <c r="BA215" i="3"/>
  <c r="AZ215" i="3" s="1"/>
  <c r="BA217" i="3"/>
  <c r="AZ217" i="3" s="1"/>
  <c r="G223" i="3"/>
  <c r="BL224" i="3"/>
  <c r="BL225" i="3"/>
  <c r="G226" i="3"/>
  <c r="BL226" i="3"/>
  <c r="AZ226" i="3" s="1"/>
  <c r="BA230" i="3"/>
  <c r="BA231" i="3"/>
  <c r="AZ231" i="3" s="1"/>
  <c r="BA233" i="3"/>
  <c r="AZ233" i="3" s="1"/>
  <c r="G239" i="3"/>
  <c r="BA242" i="3"/>
  <c r="BA243" i="3"/>
  <c r="AZ243" i="3" s="1"/>
  <c r="BA245" i="3"/>
  <c r="G251" i="3"/>
  <c r="BA253" i="3"/>
  <c r="G259" i="3"/>
  <c r="BL260" i="3"/>
  <c r="AZ260" i="3" s="1"/>
  <c r="BL261" i="3"/>
  <c r="G262" i="3"/>
  <c r="BL262" i="3"/>
  <c r="BA266" i="3"/>
  <c r="AZ266" i="3" s="1"/>
  <c r="BA267" i="3"/>
  <c r="BL267" i="3"/>
  <c r="G271" i="3"/>
  <c r="BL272" i="3"/>
  <c r="BL273" i="3"/>
  <c r="G274" i="3"/>
  <c r="BL274" i="3"/>
  <c r="BA278" i="3"/>
  <c r="AZ278" i="3" s="1"/>
  <c r="BA279" i="3"/>
  <c r="BA281" i="3"/>
  <c r="AZ281" i="3" s="1"/>
  <c r="G287" i="3"/>
  <c r="BL288" i="3"/>
  <c r="BL289" i="3"/>
  <c r="G290" i="3"/>
  <c r="BL290" i="3"/>
  <c r="AZ290" i="3" s="1"/>
  <c r="BA293" i="3"/>
  <c r="G299" i="3"/>
  <c r="BA300" i="3"/>
  <c r="BA301" i="3"/>
  <c r="BA310" i="3"/>
  <c r="BA311" i="3"/>
  <c r="BL311" i="3"/>
  <c r="BL312" i="3"/>
  <c r="BL314" i="3"/>
  <c r="BA318" i="3"/>
  <c r="BA319" i="3"/>
  <c r="G325" i="3"/>
  <c r="BA326" i="3"/>
  <c r="BA327" i="3"/>
  <c r="BL332" i="3"/>
  <c r="AZ332" i="3" s="1"/>
  <c r="BL334" i="3"/>
  <c r="BA337" i="3"/>
  <c r="BA344" i="3"/>
  <c r="BA345" i="3"/>
  <c r="G352" i="3"/>
  <c r="G354" i="3"/>
  <c r="BA354" i="3"/>
  <c r="BA355" i="3"/>
  <c r="AZ355" i="3" s="1"/>
  <c r="G360" i="3"/>
  <c r="G362" i="3"/>
  <c r="BA362" i="3"/>
  <c r="BA363" i="3"/>
  <c r="G369" i="3"/>
  <c r="BA370" i="3"/>
  <c r="BA371" i="3"/>
  <c r="AZ371" i="3" s="1"/>
  <c r="G376" i="3"/>
  <c r="BA380" i="3"/>
  <c r="G382" i="3"/>
  <c r="BA382" i="3"/>
  <c r="BA383" i="3"/>
  <c r="BL384" i="3"/>
  <c r="BL386" i="3"/>
  <c r="BA389" i="3"/>
  <c r="BA414" i="3"/>
  <c r="BA415" i="3"/>
  <c r="AZ415" i="3" s="1"/>
  <c r="BA418" i="3"/>
  <c r="BA419" i="3"/>
  <c r="BA430" i="3"/>
  <c r="BA431" i="3"/>
  <c r="BL431" i="3"/>
  <c r="BL553" i="3"/>
  <c r="AB12" i="34"/>
  <c r="H44" i="34"/>
  <c r="U44" i="34" s="1"/>
  <c r="J44" i="34"/>
  <c r="AC8" i="21"/>
  <c r="W8" i="21"/>
  <c r="AC15" i="21"/>
  <c r="W15" i="21"/>
  <c r="K143" i="21"/>
  <c r="K144" i="21"/>
  <c r="AA26" i="33"/>
  <c r="S26" i="33"/>
  <c r="S45" i="39"/>
  <c r="AA45" i="39"/>
  <c r="E71" i="71"/>
  <c r="E70" i="71" s="1"/>
  <c r="U72" i="71"/>
  <c r="G386" i="3"/>
  <c r="BA386" i="3"/>
  <c r="BA387" i="3"/>
  <c r="AZ387" i="3" s="1"/>
  <c r="BL392" i="3"/>
  <c r="AZ392" i="3" s="1"/>
  <c r="BL394" i="3"/>
  <c r="G396" i="3"/>
  <c r="BA397" i="3"/>
  <c r="BA404" i="3"/>
  <c r="G406" i="3"/>
  <c r="BA406" i="3"/>
  <c r="AZ406" i="3" s="1"/>
  <c r="BA407" i="3"/>
  <c r="AZ407" i="3" s="1"/>
  <c r="BL412" i="3"/>
  <c r="AZ412" i="3" s="1"/>
  <c r="BL414" i="3"/>
  <c r="G416" i="3"/>
  <c r="BA417" i="3"/>
  <c r="G421" i="3"/>
  <c r="BA422" i="3"/>
  <c r="BA423" i="3"/>
  <c r="BL428" i="3"/>
  <c r="AZ428" i="3" s="1"/>
  <c r="BL430" i="3"/>
  <c r="BL447" i="3"/>
  <c r="G449" i="3"/>
  <c r="BA450" i="3"/>
  <c r="BL450" i="3"/>
  <c r="BA452" i="3"/>
  <c r="BA456" i="3"/>
  <c r="G461" i="3"/>
  <c r="BA462" i="3"/>
  <c r="BL462" i="3"/>
  <c r="BL463" i="3"/>
  <c r="BA468" i="3"/>
  <c r="BL482" i="3"/>
  <c r="G483" i="3"/>
  <c r="BL496" i="3"/>
  <c r="G497" i="3"/>
  <c r="BA498" i="3"/>
  <c r="AZ498" i="3" s="1"/>
  <c r="BL505" i="3"/>
  <c r="G507" i="3"/>
  <c r="G508" i="3"/>
  <c r="G509" i="3"/>
  <c r="G510" i="3"/>
  <c r="BA510" i="3"/>
  <c r="BA519" i="3"/>
  <c r="BA521" i="3"/>
  <c r="BL525" i="3"/>
  <c r="BA529" i="3"/>
  <c r="BL533" i="3"/>
  <c r="AZ533" i="3" s="1"/>
  <c r="BL542" i="3"/>
  <c r="G543" i="3"/>
  <c r="G544" i="3"/>
  <c r="BA550" i="3"/>
  <c r="BA554" i="3"/>
  <c r="BA558" i="3"/>
  <c r="BA562" i="3"/>
  <c r="BA566" i="3"/>
  <c r="BA570" i="3"/>
  <c r="AZ570" i="3" s="1"/>
  <c r="BL572" i="3"/>
  <c r="BL573" i="3"/>
  <c r="BL574" i="3"/>
  <c r="G578" i="3"/>
  <c r="BA582" i="3"/>
  <c r="G585" i="3"/>
  <c r="BA587" i="3"/>
  <c r="P27" i="6"/>
  <c r="R12" i="1"/>
  <c r="B12" i="1"/>
  <c r="E12" i="1" s="1"/>
  <c r="C21" i="68"/>
  <c r="P74" i="15"/>
  <c r="AB21" i="34"/>
  <c r="U25" i="34"/>
  <c r="F28" i="34"/>
  <c r="AA28" i="34" s="1"/>
  <c r="J31" i="34"/>
  <c r="AB31" i="34"/>
  <c r="U40" i="34"/>
  <c r="J12" i="34"/>
  <c r="W12" i="34" s="1"/>
  <c r="F12" i="34"/>
  <c r="F23" i="34"/>
  <c r="AA23" i="34" s="1"/>
  <c r="J23" i="34"/>
  <c r="AC23" i="34" s="1"/>
  <c r="E105" i="34"/>
  <c r="P74" i="67"/>
  <c r="J14" i="21"/>
  <c r="W19" i="21"/>
  <c r="AC19" i="21"/>
  <c r="AA21" i="21"/>
  <c r="W23" i="21"/>
  <c r="AC23" i="21"/>
  <c r="AB25" i="21"/>
  <c r="W32" i="21"/>
  <c r="AC32" i="21"/>
  <c r="AA34" i="21"/>
  <c r="F27" i="33"/>
  <c r="S27" i="33" s="1"/>
  <c r="F44" i="33"/>
  <c r="S44" i="33" s="1"/>
  <c r="J13" i="33"/>
  <c r="AC13" i="33" s="1"/>
  <c r="H13" i="33"/>
  <c r="U13" i="33" s="1"/>
  <c r="E79" i="33"/>
  <c r="F79" i="33" s="1"/>
  <c r="G79" i="33" s="1"/>
  <c r="J17" i="33"/>
  <c r="W17" i="33" s="1"/>
  <c r="E283" i="31"/>
  <c r="E67" i="31"/>
  <c r="E131" i="31"/>
  <c r="E46" i="31"/>
  <c r="E99" i="31"/>
  <c r="E68" i="31"/>
  <c r="E47" i="31"/>
  <c r="AC29" i="37"/>
  <c r="W29" i="37"/>
  <c r="BA436" i="3"/>
  <c r="BA437" i="3"/>
  <c r="BA442" i="3"/>
  <c r="BL442" i="3"/>
  <c r="BA444" i="3"/>
  <c r="BA461" i="3"/>
  <c r="BA463" i="3"/>
  <c r="AZ463" i="3" s="1"/>
  <c r="BA466" i="3"/>
  <c r="BL466" i="3"/>
  <c r="BA474" i="3"/>
  <c r="AZ474" i="3" s="1"/>
  <c r="BL481" i="3"/>
  <c r="BL494" i="3"/>
  <c r="BA506" i="3"/>
  <c r="AZ506" i="3" s="1"/>
  <c r="BL512" i="3"/>
  <c r="BA514" i="3"/>
  <c r="AZ514" i="3" s="1"/>
  <c r="BA535" i="3"/>
  <c r="BA537" i="3"/>
  <c r="BL541" i="3"/>
  <c r="BA545" i="3"/>
  <c r="BA576" i="3"/>
  <c r="BA580" i="3"/>
  <c r="BL583" i="3"/>
  <c r="K8" i="1"/>
  <c r="M8" i="1" s="1"/>
  <c r="N20" i="1"/>
  <c r="U10" i="33"/>
  <c r="AB10" i="33"/>
  <c r="S13" i="33"/>
  <c r="AA13" i="33"/>
  <c r="J44" i="33"/>
  <c r="AC44" i="33" s="1"/>
  <c r="H30" i="33"/>
  <c r="AB30" i="33" s="1"/>
  <c r="J30" i="33"/>
  <c r="AC30" i="33" s="1"/>
  <c r="F46" i="33"/>
  <c r="S46" i="33" s="1"/>
  <c r="H46" i="33"/>
  <c r="AB46" i="33" s="1"/>
  <c r="W17" i="37"/>
  <c r="AC17" i="37"/>
  <c r="J24" i="36"/>
  <c r="H24" i="36"/>
  <c r="F24" i="36"/>
  <c r="AA24" i="36" s="1"/>
  <c r="BA302" i="3"/>
  <c r="BA303" i="3"/>
  <c r="BA305" i="3"/>
  <c r="G312" i="3"/>
  <c r="G314" i="3"/>
  <c r="BA314" i="3"/>
  <c r="BA315" i="3"/>
  <c r="BA317" i="3"/>
  <c r="BL324" i="3"/>
  <c r="BL326" i="3"/>
  <c r="G328" i="3"/>
  <c r="G330" i="3"/>
  <c r="BA330" i="3"/>
  <c r="BA331" i="3"/>
  <c r="BA333" i="3"/>
  <c r="BL340" i="3"/>
  <c r="BL342" i="3"/>
  <c r="G344" i="3"/>
  <c r="G346" i="3"/>
  <c r="BA346" i="3"/>
  <c r="BA347" i="3"/>
  <c r="AZ347" i="3" s="1"/>
  <c r="BA349" i="3"/>
  <c r="BL356" i="3"/>
  <c r="BL358" i="3"/>
  <c r="BA361" i="3"/>
  <c r="BL368" i="3"/>
  <c r="AZ368" i="3" s="1"/>
  <c r="BL370" i="3"/>
  <c r="G372" i="3"/>
  <c r="BA373" i="3"/>
  <c r="BL376" i="3"/>
  <c r="BL378" i="3"/>
  <c r="G380" i="3"/>
  <c r="BA381" i="3"/>
  <c r="BA388" i="3"/>
  <c r="G390" i="3"/>
  <c r="BA390" i="3"/>
  <c r="BA391" i="3"/>
  <c r="BA393" i="3"/>
  <c r="BL396" i="3"/>
  <c r="BL398" i="3"/>
  <c r="AZ398" i="3" s="1"/>
  <c r="G400" i="3"/>
  <c r="G402" i="3"/>
  <c r="BA402" i="3"/>
  <c r="AZ402" i="3" s="1"/>
  <c r="BA403" i="3"/>
  <c r="BA408" i="3"/>
  <c r="G410" i="3"/>
  <c r="BA410" i="3"/>
  <c r="BA411" i="3"/>
  <c r="BA413" i="3"/>
  <c r="BL416" i="3"/>
  <c r="BL418" i="3"/>
  <c r="G420" i="3"/>
  <c r="G433" i="3"/>
  <c r="BA434" i="3"/>
  <c r="BA435" i="3"/>
  <c r="AZ435" i="3" s="1"/>
  <c r="BA441" i="3"/>
  <c r="BA443" i="3"/>
  <c r="BA448" i="3"/>
  <c r="BA454" i="3"/>
  <c r="BL454" i="3"/>
  <c r="BL455" i="3"/>
  <c r="BL467" i="3"/>
  <c r="G469" i="3"/>
  <c r="BA470" i="3"/>
  <c r="BA477" i="3"/>
  <c r="G480" i="3"/>
  <c r="G481" i="3"/>
  <c r="G482" i="3"/>
  <c r="BA491" i="3"/>
  <c r="BL492" i="3"/>
  <c r="BL493" i="3"/>
  <c r="BA497" i="3"/>
  <c r="BL501" i="3"/>
  <c r="BL510" i="3"/>
  <c r="G511" i="3"/>
  <c r="G512" i="3"/>
  <c r="BA517" i="3"/>
  <c r="G522" i="3"/>
  <c r="BA522" i="3"/>
  <c r="BL528" i="3"/>
  <c r="G529" i="3"/>
  <c r="BA530" i="3"/>
  <c r="BL537" i="3"/>
  <c r="G539" i="3"/>
  <c r="G540" i="3"/>
  <c r="G541" i="3"/>
  <c r="G542" i="3"/>
  <c r="BA542" i="3"/>
  <c r="BA572" i="3"/>
  <c r="BA573" i="3"/>
  <c r="AZ573" i="3" s="1"/>
  <c r="BA578" i="3"/>
  <c r="AZ578" i="3" s="1"/>
  <c r="G581" i="3"/>
  <c r="G582" i="3"/>
  <c r="BA583" i="3"/>
  <c r="BL586" i="3"/>
  <c r="B8" i="1"/>
  <c r="E8" i="1" s="1"/>
  <c r="S9" i="1"/>
  <c r="AR9" i="1" s="1"/>
  <c r="S10" i="1"/>
  <c r="AR10" i="1" s="1"/>
  <c r="R10" i="1"/>
  <c r="A124" i="9"/>
  <c r="A10" i="52" s="1"/>
  <c r="B55" i="72" s="1"/>
  <c r="C40" i="68"/>
  <c r="AC19" i="34"/>
  <c r="H23" i="34"/>
  <c r="AB23" i="34" s="1"/>
  <c r="H27" i="34"/>
  <c r="AB27" i="34" s="1"/>
  <c r="AB41" i="34"/>
  <c r="H46" i="34"/>
  <c r="AB46" i="34" s="1"/>
  <c r="AB15" i="21"/>
  <c r="AB29" i="21"/>
  <c r="AC36" i="21"/>
  <c r="J46" i="33"/>
  <c r="F87" i="33"/>
  <c r="G87" i="33" s="1"/>
  <c r="H87" i="33" s="1"/>
  <c r="I87" i="33" s="1"/>
  <c r="J87" i="33" s="1"/>
  <c r="K87" i="33" s="1"/>
  <c r="L87" i="33" s="1"/>
  <c r="M87" i="33" s="1"/>
  <c r="H25" i="33"/>
  <c r="AB25" i="33" s="1"/>
  <c r="E347" i="31"/>
  <c r="AC8" i="35"/>
  <c r="W8" i="35"/>
  <c r="BL420" i="3"/>
  <c r="BL422" i="3"/>
  <c r="G424" i="3"/>
  <c r="G426" i="3"/>
  <c r="BA426" i="3"/>
  <c r="BA427" i="3"/>
  <c r="BA429" i="3"/>
  <c r="BL432" i="3"/>
  <c r="AZ432" i="3" s="1"/>
  <c r="BL434" i="3"/>
  <c r="G436" i="3"/>
  <c r="G438" i="3"/>
  <c r="BA438" i="3"/>
  <c r="BA439" i="3"/>
  <c r="BL439" i="3"/>
  <c r="BA445" i="3"/>
  <c r="BA447" i="3"/>
  <c r="BA453" i="3"/>
  <c r="BA455" i="3"/>
  <c r="G457" i="3"/>
  <c r="BA458" i="3"/>
  <c r="BL458" i="3"/>
  <c r="BA460" i="3"/>
  <c r="BA465" i="3"/>
  <c r="BA467" i="3"/>
  <c r="G471" i="3"/>
  <c r="G473" i="3"/>
  <c r="G474" i="3"/>
  <c r="G475" i="3"/>
  <c r="G476" i="3"/>
  <c r="G477" i="3"/>
  <c r="G478" i="3"/>
  <c r="BA479" i="3"/>
  <c r="BA481" i="3"/>
  <c r="G485" i="3"/>
  <c r="G486" i="3"/>
  <c r="BA486" i="3"/>
  <c r="BA490" i="3"/>
  <c r="BA493" i="3"/>
  <c r="BL497" i="3"/>
  <c r="G499" i="3"/>
  <c r="G500" i="3"/>
  <c r="G501" i="3"/>
  <c r="G502" i="3"/>
  <c r="BA502" i="3"/>
  <c r="BA509" i="3"/>
  <c r="BL513" i="3"/>
  <c r="G515" i="3"/>
  <c r="G516" i="3"/>
  <c r="G517" i="3"/>
  <c r="G518" i="3"/>
  <c r="BA518" i="3"/>
  <c r="AZ518" i="3" s="1"/>
  <c r="BA525" i="3"/>
  <c r="BL529" i="3"/>
  <c r="G531" i="3"/>
  <c r="G532" i="3"/>
  <c r="G533" i="3"/>
  <c r="G534" i="3"/>
  <c r="BA534" i="3"/>
  <c r="AZ534" i="3" s="1"/>
  <c r="BA541" i="3"/>
  <c r="BL545" i="3"/>
  <c r="G547" i="3"/>
  <c r="G548" i="3"/>
  <c r="BL548" i="3"/>
  <c r="G550" i="3"/>
  <c r="G552" i="3"/>
  <c r="BL552" i="3"/>
  <c r="G554" i="3"/>
  <c r="G556" i="3"/>
  <c r="BL556" i="3"/>
  <c r="AZ556" i="3" s="1"/>
  <c r="G558" i="3"/>
  <c r="G560" i="3"/>
  <c r="BL560" i="3"/>
  <c r="G562" i="3"/>
  <c r="G564" i="3"/>
  <c r="BL564" i="3"/>
  <c r="G566" i="3"/>
  <c r="G568" i="3"/>
  <c r="BL568" i="3"/>
  <c r="G570" i="3"/>
  <c r="BL577" i="3"/>
  <c r="BL578" i="3"/>
  <c r="BL582" i="3"/>
  <c r="G586" i="3"/>
  <c r="K11" i="1"/>
  <c r="M11" i="1" s="1"/>
  <c r="H103" i="9"/>
  <c r="AC25" i="34"/>
  <c r="R24" i="77"/>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S14" i="33"/>
  <c r="AA14" i="33"/>
  <c r="F111" i="33"/>
  <c r="E2" i="31"/>
  <c r="U10" i="37"/>
  <c r="AB10" i="37"/>
  <c r="AA19" i="37"/>
  <c r="H14" i="37"/>
  <c r="J14" i="37"/>
  <c r="W14" i="37" s="1"/>
  <c r="F14" i="37"/>
  <c r="J27" i="37"/>
  <c r="AC27" i="37" s="1"/>
  <c r="H27" i="37"/>
  <c r="AB27" i="37" s="1"/>
  <c r="F27" i="37"/>
  <c r="S27" i="37" s="1"/>
  <c r="J23" i="35"/>
  <c r="H23" i="35"/>
  <c r="AB23" i="35" s="1"/>
  <c r="F23" i="35"/>
  <c r="AA23" i="35" s="1"/>
  <c r="AB9" i="36"/>
  <c r="U9" i="36"/>
  <c r="W14" i="36"/>
  <c r="AC14" i="36"/>
  <c r="U40" i="39"/>
  <c r="AB40" i="39"/>
  <c r="U28" i="40"/>
  <c r="AB28" i="40"/>
  <c r="AB36" i="21"/>
  <c r="AA43" i="21"/>
  <c r="U8" i="37"/>
  <c r="F12" i="37"/>
  <c r="S12" i="37" s="1"/>
  <c r="S26" i="37"/>
  <c r="AA31" i="37"/>
  <c r="J39" i="37"/>
  <c r="AC39" i="37" s="1"/>
  <c r="AB40" i="37"/>
  <c r="AB10" i="35"/>
  <c r="U10" i="35"/>
  <c r="AA30" i="35"/>
  <c r="H11" i="36"/>
  <c r="U31" i="36"/>
  <c r="AB31" i="36"/>
  <c r="F9" i="36"/>
  <c r="AA9" i="36" s="1"/>
  <c r="J9" i="36"/>
  <c r="W9" i="36" s="1"/>
  <c r="AC42" i="39"/>
  <c r="J13" i="39"/>
  <c r="AC13" i="39" s="1"/>
  <c r="H13" i="39"/>
  <c r="AB13" i="39" s="1"/>
  <c r="J36" i="39"/>
  <c r="AC36" i="39" s="1"/>
  <c r="F36" i="39"/>
  <c r="S36" i="39" s="1"/>
  <c r="J33" i="40"/>
  <c r="AC33" i="40" s="1"/>
  <c r="H33" i="40"/>
  <c r="F33" i="40"/>
  <c r="S33" i="40" s="1"/>
  <c r="E44" i="43"/>
  <c r="C44" i="43" s="1"/>
  <c r="G18" i="43"/>
  <c r="V20" i="79"/>
  <c r="AJ20" i="79" s="1"/>
  <c r="V12" i="79"/>
  <c r="AJ12" i="79" s="1"/>
  <c r="AA8" i="37"/>
  <c r="AA21" i="37"/>
  <c r="AB23" i="37"/>
  <c r="U23" i="37"/>
  <c r="S39" i="37"/>
  <c r="AA39" i="37"/>
  <c r="AA8" i="35"/>
  <c r="AC19" i="39"/>
  <c r="W19" i="39"/>
  <c r="AB32" i="39"/>
  <c r="J14" i="39"/>
  <c r="H14"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AB19" i="71"/>
  <c r="AC28" i="40"/>
  <c r="I18" i="43"/>
  <c r="E93" i="43"/>
  <c r="B91" i="43" s="1"/>
  <c r="U5" i="79"/>
  <c r="AI5" i="79" s="1"/>
  <c r="T13" i="79"/>
  <c r="W13" i="79" s="1"/>
  <c r="AK13" i="79" s="1"/>
  <c r="P13" i="79"/>
  <c r="R19" i="79"/>
  <c r="AF19" i="79" s="1"/>
  <c r="V19" i="79"/>
  <c r="AJ19" i="79" s="1"/>
  <c r="V18" i="79"/>
  <c r="AJ18" i="79" s="1"/>
  <c r="AD36" i="79"/>
  <c r="AA16" i="71"/>
  <c r="AA22" i="71"/>
  <c r="F60" i="71"/>
  <c r="V60" i="71" s="1"/>
  <c r="C79" i="71"/>
  <c r="T80" i="71"/>
  <c r="D80" i="71"/>
  <c r="AA30" i="36"/>
  <c r="E21" i="43"/>
  <c r="P32" i="43"/>
  <c r="H85" i="43"/>
  <c r="U7" i="79"/>
  <c r="AI7" i="79" s="1"/>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T44" i="71" s="1"/>
  <c r="D43" i="71"/>
  <c r="AB31" i="37"/>
  <c r="AA14" i="35"/>
  <c r="AA20" i="35"/>
  <c r="AA33" i="35"/>
  <c r="AA10" i="36"/>
  <c r="AA23" i="36"/>
  <c r="AA27" i="36"/>
  <c r="F34" i="36"/>
  <c r="AA32" i="39"/>
  <c r="H30" i="40"/>
  <c r="AA37" i="40"/>
  <c r="N3" i="43"/>
  <c r="M7" i="43"/>
  <c r="N9" i="43"/>
  <c r="J21" i="43"/>
  <c r="H52" i="43"/>
  <c r="C5" i="11"/>
  <c r="S6" i="79"/>
  <c r="AG6" i="79" s="1"/>
  <c r="U11" i="79"/>
  <c r="AI11" i="79" s="1"/>
  <c r="R16" i="79"/>
  <c r="AF16" i="79" s="1"/>
  <c r="V16" i="79"/>
  <c r="AJ16" i="79" s="1"/>
  <c r="T21" i="79"/>
  <c r="W21" i="79" s="1"/>
  <c r="AK21" i="79" s="1"/>
  <c r="P21" i="79"/>
  <c r="U33" i="79"/>
  <c r="AI33" i="79" s="1"/>
  <c r="T34" i="79"/>
  <c r="W34" i="79" s="1"/>
  <c r="AK34" i="79" s="1"/>
  <c r="S35" i="79"/>
  <c r="AG35" i="79" s="1"/>
  <c r="T41" i="79"/>
  <c r="T31" i="79"/>
  <c r="W31" i="79" s="1"/>
  <c r="P41" i="79"/>
  <c r="M31" i="79"/>
  <c r="P31" i="79" s="1"/>
  <c r="S45" i="79"/>
  <c r="AG45" i="79" s="1"/>
  <c r="T51" i="79"/>
  <c r="P51" i="79"/>
  <c r="AA26" i="71"/>
  <c r="C35" i="71"/>
  <c r="C36" i="71" s="1"/>
  <c r="D34" i="71"/>
  <c r="Y37" i="71"/>
  <c r="Z37" i="71" s="1"/>
  <c r="C38" i="71"/>
  <c r="B75" i="71"/>
  <c r="B74" i="71" s="1"/>
  <c r="S76" i="71"/>
  <c r="V76" i="71"/>
  <c r="R3" i="79"/>
  <c r="V3" i="79"/>
  <c r="T7" i="79"/>
  <c r="AH7" i="79" s="1"/>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AH11" i="79" s="1"/>
  <c r="R14" i="79"/>
  <c r="AF14" i="79" s="1"/>
  <c r="V14" i="79"/>
  <c r="AJ14" i="79" s="1"/>
  <c r="R15" i="79"/>
  <c r="AF15" i="79" s="1"/>
  <c r="V15" i="79"/>
  <c r="AJ15" i="79" s="1"/>
  <c r="S17" i="79"/>
  <c r="AG17" i="79" s="1"/>
  <c r="T23" i="79"/>
  <c r="S31" i="79"/>
  <c r="U36" i="79"/>
  <c r="AI36" i="79" s="1"/>
  <c r="S37" i="79"/>
  <c r="AG37" i="79" s="1"/>
  <c r="T39" i="79"/>
  <c r="AH39" i="79" s="1"/>
  <c r="S38" i="79"/>
  <c r="AG38" i="79" s="1"/>
  <c r="S43" i="79"/>
  <c r="AG43" i="79" s="1"/>
  <c r="S44" i="79"/>
  <c r="AG44" i="79" s="1"/>
  <c r="U46" i="79"/>
  <c r="AI46" i="79" s="1"/>
  <c r="AD47" i="79"/>
  <c r="AD48" i="79"/>
  <c r="U49" i="79"/>
  <c r="AI49" i="79" s="1"/>
  <c r="AD50" i="79"/>
  <c r="AA3" i="71"/>
  <c r="AA12" i="71"/>
  <c r="B63" i="71"/>
  <c r="B64" i="71" s="1"/>
  <c r="S64" i="71" s="1"/>
  <c r="Q68" i="71"/>
  <c r="D76" i="71"/>
  <c r="T5" i="79"/>
  <c r="R6" i="79"/>
  <c r="AF6" i="79" s="1"/>
  <c r="V6" i="79"/>
  <c r="AJ6" i="79" s="1"/>
  <c r="U8" i="79"/>
  <c r="AI8" i="79" s="1"/>
  <c r="S10" i="79"/>
  <c r="AG10" i="79" s="1"/>
  <c r="S13" i="79"/>
  <c r="AG13" i="79" s="1"/>
  <c r="S14" i="79"/>
  <c r="AG14" i="79" s="1"/>
  <c r="T17" i="79"/>
  <c r="W17" i="79" s="1"/>
  <c r="AK17" i="79" s="1"/>
  <c r="AB31" i="79"/>
  <c r="U39" i="79"/>
  <c r="AI39" i="79" s="1"/>
  <c r="T43" i="79"/>
  <c r="AH43" i="79" s="1"/>
  <c r="AD45" i="79"/>
  <c r="S47" i="79"/>
  <c r="AG47" i="79" s="1"/>
  <c r="S48" i="79"/>
  <c r="AG48" i="79" s="1"/>
  <c r="AD49" i="79"/>
  <c r="Y3" i="71"/>
  <c r="Z3" i="71" s="1"/>
  <c r="X10" i="71"/>
  <c r="X11" i="71"/>
  <c r="F47" i="71"/>
  <c r="F48" i="71" s="1"/>
  <c r="V48" i="71" s="1"/>
  <c r="B51" i="71"/>
  <c r="B52" i="71" s="1"/>
  <c r="S52" i="71" s="1"/>
  <c r="N68" i="71"/>
  <c r="D72" i="71"/>
  <c r="BA13" i="3"/>
  <c r="AZ13" i="3" s="1"/>
  <c r="BC5" i="3"/>
  <c r="D24" i="15"/>
  <c r="B23" i="1"/>
  <c r="D23" i="15"/>
  <c r="U21" i="33"/>
  <c r="AC10" i="33"/>
  <c r="AA30" i="33"/>
  <c r="AA23" i="33"/>
  <c r="AA21" i="33"/>
  <c r="W38" i="33"/>
  <c r="AA40" i="33"/>
  <c r="AA43" i="33"/>
  <c r="W41" i="33"/>
  <c r="AA42" i="33"/>
  <c r="AC42" i="33"/>
  <c r="AB39" i="33"/>
  <c r="AA39" i="33"/>
  <c r="W37" i="33"/>
  <c r="AB35" i="33"/>
  <c r="AB33" i="33"/>
  <c r="AB11" i="33"/>
  <c r="H9" i="33"/>
  <c r="U8" i="33"/>
  <c r="W8" i="33"/>
  <c r="F34" i="68"/>
  <c r="G10" i="1"/>
  <c r="G7" i="1"/>
  <c r="G13" i="1"/>
  <c r="W8" i="34"/>
  <c r="G24" i="78"/>
  <c r="AZ32" i="3"/>
  <c r="AZ44" i="3"/>
  <c r="AZ46" i="3"/>
  <c r="AZ170" i="3"/>
  <c r="AZ173" i="3"/>
  <c r="AZ249" i="3"/>
  <c r="AZ252" i="3"/>
  <c r="AZ257" i="3"/>
  <c r="AZ269" i="3"/>
  <c r="AZ420" i="3"/>
  <c r="G29" i="6"/>
  <c r="G28" i="6"/>
  <c r="AZ33" i="3"/>
  <c r="AZ45" i="3"/>
  <c r="AZ73" i="3"/>
  <c r="G25" i="78"/>
  <c r="T35" i="4"/>
  <c r="A19" i="51" s="1"/>
  <c r="B14" i="72" s="1"/>
  <c r="AZ178" i="3"/>
  <c r="AZ192" i="3"/>
  <c r="AZ340" i="3"/>
  <c r="AZ416" i="3"/>
  <c r="B15" i="78"/>
  <c r="E15" i="4"/>
  <c r="F6" i="1" s="1"/>
  <c r="I24" i="43" s="1"/>
  <c r="C24" i="43" s="1"/>
  <c r="BL15" i="3"/>
  <c r="BA23" i="3"/>
  <c r="AZ23" i="3" s="1"/>
  <c r="BL305" i="3"/>
  <c r="AZ305" i="3" s="1"/>
  <c r="BL309" i="3"/>
  <c r="BL313" i="3"/>
  <c r="BL317" i="3"/>
  <c r="BL321" i="3"/>
  <c r="BL325" i="3"/>
  <c r="BL329" i="3"/>
  <c r="BL333" i="3"/>
  <c r="AZ333" i="3" s="1"/>
  <c r="BL337" i="3"/>
  <c r="BL341" i="3"/>
  <c r="BL345" i="3"/>
  <c r="BL349" i="3"/>
  <c r="AZ349" i="3" s="1"/>
  <c r="BL353" i="3"/>
  <c r="BL357" i="3"/>
  <c r="BL361" i="3"/>
  <c r="AZ361" i="3" s="1"/>
  <c r="BL365" i="3"/>
  <c r="AZ365" i="3" s="1"/>
  <c r="BL369" i="3"/>
  <c r="AZ369" i="3" s="1"/>
  <c r="BL373" i="3"/>
  <c r="AZ373" i="3" s="1"/>
  <c r="BL377" i="3"/>
  <c r="BL381" i="3"/>
  <c r="BL385" i="3"/>
  <c r="BL389" i="3"/>
  <c r="BL393" i="3"/>
  <c r="BL397" i="3"/>
  <c r="BL401" i="3"/>
  <c r="BL405" i="3"/>
  <c r="BL409" i="3"/>
  <c r="BL413" i="3"/>
  <c r="AZ413" i="3" s="1"/>
  <c r="BL417" i="3"/>
  <c r="BL421" i="3"/>
  <c r="AZ421" i="3" s="1"/>
  <c r="BL425" i="3"/>
  <c r="BL429" i="3"/>
  <c r="AZ429" i="3" s="1"/>
  <c r="BL433" i="3"/>
  <c r="AZ433" i="3" s="1"/>
  <c r="BL437" i="3"/>
  <c r="AZ437" i="3" s="1"/>
  <c r="AB28" i="34"/>
  <c r="U28" i="34"/>
  <c r="S33" i="34"/>
  <c r="H45" i="34"/>
  <c r="F45" i="34"/>
  <c r="AB14" i="21"/>
  <c r="U14" i="21"/>
  <c r="S32" i="21"/>
  <c r="AB35" i="21"/>
  <c r="U35" i="21"/>
  <c r="BA342" i="3"/>
  <c r="AZ342" i="3" s="1"/>
  <c r="E4" i="31"/>
  <c r="F105" i="34"/>
  <c r="F4" i="31" s="1"/>
  <c r="R41" i="77"/>
  <c r="R35" i="77" s="1"/>
  <c r="U34" i="77" s="1"/>
  <c r="BA14" i="3"/>
  <c r="BA24" i="3"/>
  <c r="C15" i="78"/>
  <c r="B55" i="78"/>
  <c r="D55" i="78" s="1"/>
  <c r="K4" i="4"/>
  <c r="B46" i="48" s="1"/>
  <c r="B4" i="72" s="1"/>
  <c r="J56" i="9"/>
  <c r="J57" i="9" s="1"/>
  <c r="J59" i="9" s="1"/>
  <c r="J61" i="9" s="1"/>
  <c r="N56" i="9"/>
  <c r="M56" i="9"/>
  <c r="K56" i="9"/>
  <c r="J50" i="40"/>
  <c r="J55" i="39"/>
  <c r="G16" i="3"/>
  <c r="G17" i="3"/>
  <c r="B28" i="31" s="1"/>
  <c r="G20" i="3"/>
  <c r="G21" i="3"/>
  <c r="B32" i="31" s="1"/>
  <c r="BL440" i="3"/>
  <c r="BL441" i="3"/>
  <c r="G442" i="3"/>
  <c r="BL444" i="3"/>
  <c r="BL445" i="3"/>
  <c r="G446" i="3"/>
  <c r="BL448" i="3"/>
  <c r="BL449" i="3"/>
  <c r="G450" i="3"/>
  <c r="BL452" i="3"/>
  <c r="BL453" i="3"/>
  <c r="AZ453" i="3" s="1"/>
  <c r="G454" i="3"/>
  <c r="BL456" i="3"/>
  <c r="BL457" i="3"/>
  <c r="G458" i="3"/>
  <c r="BL460" i="3"/>
  <c r="BL461" i="3"/>
  <c r="G462" i="3"/>
  <c r="BL464" i="3"/>
  <c r="AZ464" i="3" s="1"/>
  <c r="BL465" i="3"/>
  <c r="G466" i="3"/>
  <c r="BL468" i="3"/>
  <c r="BL469" i="3"/>
  <c r="BA478" i="3"/>
  <c r="AZ478" i="3" s="1"/>
  <c r="G484" i="3"/>
  <c r="BL485" i="3"/>
  <c r="AZ513" i="3"/>
  <c r="B41" i="1"/>
  <c r="D78" i="9"/>
  <c r="AC32" i="34"/>
  <c r="W32" i="34"/>
  <c r="S46" i="34"/>
  <c r="F32" i="34"/>
  <c r="H32" i="34"/>
  <c r="H30" i="21"/>
  <c r="F30" i="21"/>
  <c r="J30" i="21"/>
  <c r="F28" i="6"/>
  <c r="E5" i="6"/>
  <c r="D9" i="68" s="1"/>
  <c r="C9" i="68" s="1"/>
  <c r="G13" i="3"/>
  <c r="B24" i="31" s="1"/>
  <c r="BA16" i="3"/>
  <c r="BA17" i="3"/>
  <c r="BA20" i="3"/>
  <c r="BA21"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BA482" i="3"/>
  <c r="G488" i="3"/>
  <c r="BL489" i="3"/>
  <c r="AZ509" i="3"/>
  <c r="W21" i="34"/>
  <c r="AC21" i="34"/>
  <c r="J45" i="34"/>
  <c r="J9" i="34"/>
  <c r="AC9" i="34" s="1"/>
  <c r="F9" i="34"/>
  <c r="S9" i="34" s="1"/>
  <c r="S10" i="21"/>
  <c r="S17" i="21"/>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38" i="34"/>
  <c r="AB38" i="34"/>
  <c r="S41"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AC40" i="33"/>
  <c r="W40" i="33"/>
  <c r="AB45" i="33"/>
  <c r="U45" i="33"/>
  <c r="H12" i="33"/>
  <c r="F12" i="33"/>
  <c r="BA472" i="3"/>
  <c r="BA476" i="3"/>
  <c r="AZ476" i="3" s="1"/>
  <c r="BA480" i="3"/>
  <c r="BA484" i="3"/>
  <c r="BA488" i="3"/>
  <c r="BA492" i="3"/>
  <c r="BA496" i="3"/>
  <c r="BA500" i="3"/>
  <c r="AZ500" i="3" s="1"/>
  <c r="BA504" i="3"/>
  <c r="BA508" i="3"/>
  <c r="AZ508" i="3" s="1"/>
  <c r="BA512" i="3"/>
  <c r="BA516" i="3"/>
  <c r="AZ516" i="3" s="1"/>
  <c r="BA520" i="3"/>
  <c r="BA524" i="3"/>
  <c r="BA528" i="3"/>
  <c r="BA532" i="3"/>
  <c r="BA536" i="3"/>
  <c r="BA540" i="3"/>
  <c r="BA544" i="3"/>
  <c r="AZ544" i="3" s="1"/>
  <c r="BA549" i="3"/>
  <c r="BA553" i="3"/>
  <c r="AZ553" i="3" s="1"/>
  <c r="BA557" i="3"/>
  <c r="AZ557" i="3" s="1"/>
  <c r="BA561" i="3"/>
  <c r="BA565" i="3"/>
  <c r="AZ565" i="3" s="1"/>
  <c r="BA569" i="3"/>
  <c r="BL575" i="3"/>
  <c r="BA579" i="3"/>
  <c r="BL585" i="3"/>
  <c r="K9" i="1"/>
  <c r="M9" i="1" s="1"/>
  <c r="B10" i="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BL475" i="3"/>
  <c r="BL479" i="3"/>
  <c r="BL483" i="3"/>
  <c r="AZ483" i="3" s="1"/>
  <c r="BL487" i="3"/>
  <c r="AZ487" i="3" s="1"/>
  <c r="BL491" i="3"/>
  <c r="BL495" i="3"/>
  <c r="AZ495" i="3" s="1"/>
  <c r="BL499" i="3"/>
  <c r="BL503" i="3"/>
  <c r="BL507" i="3"/>
  <c r="BL511" i="3"/>
  <c r="AZ511" i="3" s="1"/>
  <c r="BL515" i="3"/>
  <c r="BL519" i="3"/>
  <c r="BL523" i="3"/>
  <c r="BL527" i="3"/>
  <c r="BL531" i="3"/>
  <c r="AZ531" i="3" s="1"/>
  <c r="BL535" i="3"/>
  <c r="BL539" i="3"/>
  <c r="AZ539" i="3" s="1"/>
  <c r="BL543" i="3"/>
  <c r="AZ543" i="3" s="1"/>
  <c r="BL547" i="3"/>
  <c r="AZ547" i="3" s="1"/>
  <c r="G549" i="3"/>
  <c r="BL551" i="3"/>
  <c r="AZ551" i="3" s="1"/>
  <c r="G553" i="3"/>
  <c r="BL555" i="3"/>
  <c r="G557" i="3"/>
  <c r="BL559" i="3"/>
  <c r="G561" i="3"/>
  <c r="BL563" i="3"/>
  <c r="G565" i="3"/>
  <c r="BL567" i="3"/>
  <c r="AZ567" i="3" s="1"/>
  <c r="G569" i="3"/>
  <c r="BL571" i="3"/>
  <c r="BA575" i="3"/>
  <c r="BL581" i="3"/>
  <c r="BL587" i="3"/>
  <c r="K12" i="1"/>
  <c r="M12" i="1" s="1"/>
  <c r="F10" i="34"/>
  <c r="AA10" i="34" s="1"/>
  <c r="W13" i="34"/>
  <c r="F29" i="34"/>
  <c r="S36" i="34"/>
  <c r="S14" i="34"/>
  <c r="F44" i="34"/>
  <c r="E126" i="34"/>
  <c r="F126" i="34" s="1"/>
  <c r="G126" i="34" s="1"/>
  <c r="S9" i="21"/>
  <c r="AA9" i="21"/>
  <c r="W12" i="21"/>
  <c r="AC12" i="21"/>
  <c r="AB41" i="21"/>
  <c r="U41" i="21"/>
  <c r="W11" i="33"/>
  <c r="AC11" i="33"/>
  <c r="J12" i="33"/>
  <c r="E36" i="31"/>
  <c r="E58" i="31"/>
  <c r="E83" i="31"/>
  <c r="E219" i="31"/>
  <c r="K7" i="1"/>
  <c r="M7" i="1" s="1"/>
  <c r="B7" i="1"/>
  <c r="E7" i="1" s="1"/>
  <c r="E19" i="11"/>
  <c r="E19" i="69"/>
  <c r="B72" i="43"/>
  <c r="C15" i="39"/>
  <c r="B61" i="43"/>
  <c r="C19" i="39"/>
  <c r="B101" i="43"/>
  <c r="B69" i="43"/>
  <c r="B79" i="43"/>
  <c r="B58" i="43"/>
  <c r="C25" i="39"/>
  <c r="B97" i="43"/>
  <c r="B75" i="43"/>
  <c r="B54" i="43"/>
  <c r="B65" i="43"/>
  <c r="W25" i="21"/>
  <c r="AC25" i="21"/>
  <c r="U32" i="21"/>
  <c r="AC9" i="21"/>
  <c r="W9" i="21"/>
  <c r="AC13" i="21"/>
  <c r="W13" i="21"/>
  <c r="W28" i="21"/>
  <c r="AC28" i="21"/>
  <c r="H46" i="21"/>
  <c r="J46" i="21"/>
  <c r="S10"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C9" i="33"/>
  <c r="W9"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H11" i="35"/>
  <c r="F11" i="35"/>
  <c r="W8" i="36"/>
  <c r="AC8" i="36"/>
  <c r="W10" i="36"/>
  <c r="AC10" i="36"/>
  <c r="U24" i="36"/>
  <c r="AB24" i="36"/>
  <c r="F32" i="36"/>
  <c r="J32" i="36"/>
  <c r="H32" i="36"/>
  <c r="AB8" i="39"/>
  <c r="U8" i="39"/>
  <c r="S25" i="21"/>
  <c r="U26" i="21"/>
  <c r="S33" i="21"/>
  <c r="U34" i="21"/>
  <c r="W35" i="21"/>
  <c r="S37" i="21"/>
  <c r="U38" i="21"/>
  <c r="W39" i="21"/>
  <c r="S41" i="21"/>
  <c r="U42" i="21"/>
  <c r="W43" i="21"/>
  <c r="S11" i="33"/>
  <c r="S33" i="33"/>
  <c r="W35" i="33"/>
  <c r="S37" i="33"/>
  <c r="U38" i="33"/>
  <c r="W39" i="33"/>
  <c r="S41" i="33"/>
  <c r="U42" i="33"/>
  <c r="C2" i="31"/>
  <c r="AC8" i="37"/>
  <c r="AB11" i="37"/>
  <c r="AA27" i="37"/>
  <c r="W33" i="37"/>
  <c r="S35" i="37"/>
  <c r="W37" i="37"/>
  <c r="AC26" i="37"/>
  <c r="W26" i="37"/>
  <c r="F40" i="37"/>
  <c r="J40" i="37"/>
  <c r="U8" i="35"/>
  <c r="AB8" i="35"/>
  <c r="S16" i="35"/>
  <c r="S34" i="35"/>
  <c r="AA34" i="35"/>
  <c r="U14" i="36"/>
  <c r="AB14" i="36"/>
  <c r="S26" i="36"/>
  <c r="F13" i="36"/>
  <c r="J13" i="36"/>
  <c r="H13" i="36"/>
  <c r="AC11" i="39"/>
  <c r="S9" i="37"/>
  <c r="AC11" i="37"/>
  <c r="AA12" i="37"/>
  <c r="AA17" i="37"/>
  <c r="AB19" i="37"/>
  <c r="AC21" i="37"/>
  <c r="J11" i="35"/>
  <c r="U27" i="35"/>
  <c r="J24" i="35"/>
  <c r="H24" i="35"/>
  <c r="F24" i="35"/>
  <c r="U28" i="36"/>
  <c r="AB28" i="36"/>
  <c r="S13" i="39"/>
  <c r="U9" i="37"/>
  <c r="AC38" i="37"/>
  <c r="W38" i="37"/>
  <c r="S22" i="36"/>
  <c r="U27" i="36"/>
  <c r="H25" i="36"/>
  <c r="F25" i="36"/>
  <c r="J25" i="36"/>
  <c r="S34" i="37"/>
  <c r="U35" i="37"/>
  <c r="W36" i="37"/>
  <c r="S38" i="37"/>
  <c r="U39" i="37"/>
  <c r="W10" i="35"/>
  <c r="U13" i="35"/>
  <c r="U14" i="35"/>
  <c r="U16" i="35"/>
  <c r="U18" i="35"/>
  <c r="U20" i="35"/>
  <c r="W22" i="35"/>
  <c r="U25" i="35"/>
  <c r="H26" i="35"/>
  <c r="W27" i="35"/>
  <c r="S29" i="35"/>
  <c r="U30" i="35"/>
  <c r="W31" i="35"/>
  <c r="AC9" i="36"/>
  <c r="W16" i="36"/>
  <c r="W18" i="36"/>
  <c r="AC29" i="36"/>
  <c r="S31" i="36"/>
  <c r="S9" i="39"/>
  <c r="S12" i="39"/>
  <c r="U13" i="39"/>
  <c r="W15" i="39"/>
  <c r="W23" i="39"/>
  <c r="S11" i="37"/>
  <c r="U12" i="37"/>
  <c r="W13" i="37"/>
  <c r="U26" i="37"/>
  <c r="W27" i="37"/>
  <c r="S29" i="37"/>
  <c r="U30" i="37"/>
  <c r="W31" i="37"/>
  <c r="S33" i="37"/>
  <c r="U34" i="37"/>
  <c r="W35" i="37"/>
  <c r="S37" i="37"/>
  <c r="U38" i="37"/>
  <c r="W9" i="35"/>
  <c r="W13" i="35"/>
  <c r="W14" i="35"/>
  <c r="W16" i="35"/>
  <c r="W18" i="35"/>
  <c r="W20" i="35"/>
  <c r="J26" i="35"/>
  <c r="S28" i="35"/>
  <c r="U29" i="35"/>
  <c r="W30" i="35"/>
  <c r="S32" i="35"/>
  <c r="AB34" i="36"/>
  <c r="U34" i="36"/>
  <c r="W21" i="39"/>
  <c r="S23" i="37"/>
  <c r="U29" i="37"/>
  <c r="W30" i="37"/>
  <c r="S32" i="37"/>
  <c r="U33" i="37"/>
  <c r="W34" i="37"/>
  <c r="S36" i="37"/>
  <c r="U37" i="37"/>
  <c r="S10" i="35"/>
  <c r="S22" i="35"/>
  <c r="S27" i="35"/>
  <c r="U28" i="35"/>
  <c r="W29" i="35"/>
  <c r="S31" i="35"/>
  <c r="U32" i="35"/>
  <c r="AC33" i="35"/>
  <c r="W33" i="35"/>
  <c r="S8" i="39"/>
  <c r="AA8" i="39"/>
  <c r="U10" i="36"/>
  <c r="W11" i="36"/>
  <c r="S14" i="36"/>
  <c r="S16" i="36"/>
  <c r="S18" i="36"/>
  <c r="S20" i="36"/>
  <c r="U22" i="36"/>
  <c r="W23" i="36"/>
  <c r="U26" i="36"/>
  <c r="W27" i="36"/>
  <c r="S29" i="36"/>
  <c r="U30" i="36"/>
  <c r="W31" i="36"/>
  <c r="S33" i="36"/>
  <c r="U9" i="39"/>
  <c r="S11" i="39"/>
  <c r="U12" i="39"/>
  <c r="W13" i="39"/>
  <c r="J35" i="39"/>
  <c r="AB38" i="39"/>
  <c r="J43" i="39"/>
  <c r="AB8" i="40"/>
  <c r="AB11" i="40"/>
  <c r="AC14" i="40"/>
  <c r="AA15" i="40"/>
  <c r="AC17" i="40"/>
  <c r="AA19" i="40"/>
  <c r="AA21" i="40"/>
  <c r="AA23" i="40"/>
  <c r="AA25" i="40"/>
  <c r="AA36" i="40"/>
  <c r="AB37"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6" i="39"/>
  <c r="AC38" i="39"/>
  <c r="AA39" i="39"/>
  <c r="AC41" i="39"/>
  <c r="AB42" i="39"/>
  <c r="S8" i="40"/>
  <c r="AA9" i="40"/>
  <c r="AC11" i="40"/>
  <c r="AA13" i="40"/>
  <c r="AB15" i="40"/>
  <c r="AB19" i="40"/>
  <c r="AB21" i="40"/>
  <c r="AB23" i="40"/>
  <c r="AB25" i="40"/>
  <c r="W31" i="40"/>
  <c r="H31" i="40"/>
  <c r="F31" i="40"/>
  <c r="F40" i="69"/>
  <c r="E9" i="43"/>
  <c r="E8" i="43"/>
  <c r="E11" i="43"/>
  <c r="E10" i="43"/>
  <c r="U19" i="39"/>
  <c r="U21" i="39"/>
  <c r="U23" i="39"/>
  <c r="U25" i="39"/>
  <c r="U27" i="39"/>
  <c r="U29" i="39"/>
  <c r="AA37" i="39"/>
  <c r="AA40" i="39"/>
  <c r="AC15" i="40"/>
  <c r="AA17" i="40"/>
  <c r="W25" i="39"/>
  <c r="W27" i="39"/>
  <c r="W29" i="39"/>
  <c r="AB35" i="39"/>
  <c r="U35" i="39"/>
  <c r="AB43" i="39"/>
  <c r="U43" i="39"/>
  <c r="AA30" i="40"/>
  <c r="S30" i="40"/>
  <c r="H99" i="43"/>
  <c r="H101" i="43"/>
  <c r="H95" i="43"/>
  <c r="AH13" i="79"/>
  <c r="W41" i="79"/>
  <c r="AK41" i="79" s="1"/>
  <c r="AH41" i="79"/>
  <c r="M32" i="43"/>
  <c r="Q32" i="43"/>
  <c r="D65" i="43"/>
  <c r="E61" i="43" s="1"/>
  <c r="B59" i="43" s="1"/>
  <c r="C28" i="43" s="1"/>
  <c r="H80" i="43"/>
  <c r="W19" i="40"/>
  <c r="W21" i="40"/>
  <c r="W23" i="40"/>
  <c r="W25" i="40"/>
  <c r="U32" i="40"/>
  <c r="S35" i="40"/>
  <c r="U36" i="40"/>
  <c r="W37" i="40"/>
  <c r="S4" i="43"/>
  <c r="N6" i="43"/>
  <c r="M10" i="43"/>
  <c r="M11" i="43"/>
  <c r="N32" i="43"/>
  <c r="H58" i="43"/>
  <c r="H74" i="43"/>
  <c r="S34" i="39"/>
  <c r="S38" i="39"/>
  <c r="U39" i="39"/>
  <c r="W40" i="39"/>
  <c r="S42" i="39"/>
  <c r="W44" i="39"/>
  <c r="U9" i="40"/>
  <c r="S11" i="40"/>
  <c r="U12" i="40"/>
  <c r="S27" i="40"/>
  <c r="S28" i="40"/>
  <c r="W32" i="40"/>
  <c r="S34" i="40"/>
  <c r="U35" i="40"/>
  <c r="W36" i="40"/>
  <c r="M3" i="43"/>
  <c r="M5" i="43"/>
  <c r="M8" i="43"/>
  <c r="M9" i="43"/>
  <c r="N10" i="43"/>
  <c r="N11" i="43"/>
  <c r="H98" i="43"/>
  <c r="AH5" i="79"/>
  <c r="W5" i="79"/>
  <c r="AK5" i="79" s="1"/>
  <c r="AH17" i="79"/>
  <c r="AH6" i="79"/>
  <c r="S33" i="79"/>
  <c r="AG33" i="79" s="1"/>
  <c r="S40" i="79"/>
  <c r="AG40" i="79" s="1"/>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T16" i="79"/>
  <c r="T18" i="79"/>
  <c r="T22" i="79"/>
  <c r="U35" i="79"/>
  <c r="AI35"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60" i="71"/>
  <c r="D59" i="71"/>
  <c r="C64" i="71"/>
  <c r="D63" i="71"/>
  <c r="X17" i="71"/>
  <c r="AB18" i="71"/>
  <c r="Y19" i="71"/>
  <c r="Z19"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X18" i="71"/>
  <c r="AB20" i="71"/>
  <c r="X21" i="71"/>
  <c r="AB22" i="71"/>
  <c r="X24" i="71"/>
  <c r="Y25" i="71"/>
  <c r="Z25" i="71" s="1"/>
  <c r="X27" i="71"/>
  <c r="C28" i="71"/>
  <c r="Y26" i="71"/>
  <c r="Z26" i="71" s="1"/>
  <c r="Y27" i="71"/>
  <c r="Z27" i="71" s="1"/>
  <c r="C32" i="71"/>
  <c r="D31" i="71"/>
  <c r="E47" i="71"/>
  <c r="E48" i="71" s="1"/>
  <c r="U48" i="71" s="1"/>
  <c r="Q66" i="71"/>
  <c r="B24" i="71"/>
  <c r="D50" i="71"/>
  <c r="D54" i="71"/>
  <c r="D58" i="71"/>
  <c r="D62" i="71"/>
  <c r="D42" i="71"/>
  <c r="D46" i="71"/>
  <c r="C18" i="9"/>
  <c r="D18" i="9" s="1"/>
  <c r="J27" i="34"/>
  <c r="AC27" i="34" s="1"/>
  <c r="F90" i="34"/>
  <c r="G90" i="34" s="1"/>
  <c r="H90" i="34" s="1"/>
  <c r="I90" i="34" s="1"/>
  <c r="J90" i="34" s="1"/>
  <c r="K90" i="34" s="1"/>
  <c r="L90" i="34" s="1"/>
  <c r="M90" i="34" s="1"/>
  <c r="D2" i="31"/>
  <c r="W43" i="34"/>
  <c r="AB43" i="34"/>
  <c r="U9" i="34"/>
  <c r="S27" i="34"/>
  <c r="S17" i="34"/>
  <c r="U17" i="34"/>
  <c r="W17" i="34"/>
  <c r="S15" i="34"/>
  <c r="U15" i="34"/>
  <c r="G1" i="15"/>
  <c r="B6" i="1"/>
  <c r="E6" i="1" s="1"/>
  <c r="F3" i="35"/>
  <c r="G1" i="69"/>
  <c r="K1" i="12"/>
  <c r="G1" i="67"/>
  <c r="T48" i="34"/>
  <c r="V48" i="34"/>
  <c r="E55" i="34"/>
  <c r="F55" i="34" s="1"/>
  <c r="P16" i="1"/>
  <c r="C11" i="12" s="1"/>
  <c r="C12" i="12" s="1"/>
  <c r="B25" i="31"/>
  <c r="B27" i="31"/>
  <c r="B31" i="31"/>
  <c r="H5" i="3"/>
  <c r="BB5" i="3"/>
  <c r="L27" i="6"/>
  <c r="O16" i="1"/>
  <c r="E26" i="43"/>
  <c r="B116" i="43"/>
  <c r="J26" i="43"/>
  <c r="Z7" i="43"/>
  <c r="N370" i="46"/>
  <c r="B3" i="36"/>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B6" i="49"/>
  <c r="D6" i="49" s="1"/>
  <c r="B14" i="49"/>
  <c r="D14" i="49" s="1"/>
  <c r="B4" i="49"/>
  <c r="D4" i="49" s="1"/>
  <c r="B9" i="49"/>
  <c r="D9" i="49" s="1"/>
  <c r="B12" i="49"/>
  <c r="D12" i="49" s="1"/>
  <c r="B10" i="70"/>
  <c r="B11" i="70"/>
  <c r="B9" i="70"/>
  <c r="B13"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M23" i="67"/>
  <c r="F16" i="15"/>
  <c r="F7" i="73"/>
  <c r="F40" i="15"/>
  <c r="F3" i="73"/>
  <c r="D9" i="69"/>
  <c r="D7" i="73"/>
  <c r="F6" i="73"/>
  <c r="M29" i="15"/>
  <c r="M9" i="67"/>
  <c r="F5" i="73"/>
  <c r="C36" i="69"/>
  <c r="F4" i="73"/>
  <c r="M6" i="67"/>
  <c r="AZ548" i="3" l="1"/>
  <c r="AZ162" i="3"/>
  <c r="AZ520" i="3"/>
  <c r="AZ14" i="3"/>
  <c r="AZ493" i="3"/>
  <c r="AZ572" i="3"/>
  <c r="AZ324" i="3"/>
  <c r="AZ545" i="3"/>
  <c r="AZ521" i="3"/>
  <c r="AZ404" i="3"/>
  <c r="AB28" i="21"/>
  <c r="AZ300" i="3"/>
  <c r="AZ253" i="3"/>
  <c r="AZ185" i="3"/>
  <c r="AZ376" i="3"/>
  <c r="AZ282" i="3"/>
  <c r="AZ97" i="3"/>
  <c r="AZ27" i="3"/>
  <c r="AZ81" i="3"/>
  <c r="AZ148" i="3"/>
  <c r="AZ92" i="3"/>
  <c r="AZ564" i="3"/>
  <c r="AZ546" i="3"/>
  <c r="W28" i="34"/>
  <c r="AZ584" i="3"/>
  <c r="U9" i="21"/>
  <c r="AZ325" i="3"/>
  <c r="AZ309" i="3"/>
  <c r="AZ481" i="3"/>
  <c r="AZ434" i="3"/>
  <c r="AZ497" i="3"/>
  <c r="AZ583" i="3"/>
  <c r="AZ541" i="3"/>
  <c r="AZ574" i="3"/>
  <c r="AZ419" i="3"/>
  <c r="AZ362" i="3"/>
  <c r="AZ344" i="3"/>
  <c r="AZ279" i="3"/>
  <c r="AZ183" i="3"/>
  <c r="AZ286" i="3"/>
  <c r="AZ57" i="3"/>
  <c r="AZ36" i="3"/>
  <c r="AZ98" i="3"/>
  <c r="AZ80" i="3"/>
  <c r="AZ89" i="3"/>
  <c r="AZ77" i="3"/>
  <c r="AZ538" i="3"/>
  <c r="AZ348" i="3"/>
  <c r="AZ68" i="3"/>
  <c r="AZ213" i="3"/>
  <c r="AZ304" i="3"/>
  <c r="AZ51" i="3"/>
  <c r="AZ22" i="3"/>
  <c r="AZ112" i="3"/>
  <c r="AZ561" i="3"/>
  <c r="AZ560" i="3"/>
  <c r="AZ525" i="3"/>
  <c r="AZ467" i="3"/>
  <c r="AZ315" i="3"/>
  <c r="AZ418" i="3"/>
  <c r="AZ370" i="3"/>
  <c r="AZ326" i="3"/>
  <c r="AZ131" i="3"/>
  <c r="AZ254" i="3"/>
  <c r="AZ43" i="3"/>
  <c r="AZ179" i="3"/>
  <c r="AZ248" i="3"/>
  <c r="AZ60" i="3"/>
  <c r="AZ577" i="3"/>
  <c r="AZ379" i="3"/>
  <c r="AZ241" i="3"/>
  <c r="AZ360" i="3"/>
  <c r="AZ56" i="3"/>
  <c r="AZ394" i="3"/>
  <c r="AZ288" i="3"/>
  <c r="AB13" i="21"/>
  <c r="R5" i="77"/>
  <c r="U5" i="77" s="1"/>
  <c r="AZ319" i="3"/>
  <c r="C36" i="85"/>
  <c r="J36" i="82"/>
  <c r="H36" i="82"/>
  <c r="F36" i="82"/>
  <c r="AZ100" i="3"/>
  <c r="AZ501" i="3"/>
  <c r="AZ581" i="3"/>
  <c r="AZ425" i="3"/>
  <c r="AZ223" i="3"/>
  <c r="U40" i="40"/>
  <c r="U36" i="35"/>
  <c r="AZ575" i="3"/>
  <c r="AZ471" i="3"/>
  <c r="AZ160" i="3"/>
  <c r="S27" i="21"/>
  <c r="AZ110" i="3"/>
  <c r="AA35" i="39"/>
  <c r="AZ562" i="3"/>
  <c r="AZ40" i="3"/>
  <c r="AZ523" i="3"/>
  <c r="J36" i="33"/>
  <c r="AC36" i="33" s="1"/>
  <c r="AZ505" i="3"/>
  <c r="AZ59" i="3"/>
  <c r="AZ103" i="3"/>
  <c r="AZ74" i="3"/>
  <c r="AZ106" i="3"/>
  <c r="AZ99" i="3"/>
  <c r="AZ102" i="3"/>
  <c r="AZ263" i="3"/>
  <c r="AZ181" i="3"/>
  <c r="AZ449" i="3"/>
  <c r="AZ123" i="3"/>
  <c r="AZ116" i="3"/>
  <c r="AZ469" i="3"/>
  <c r="W40" i="40"/>
  <c r="W39" i="79"/>
  <c r="AK39" i="79" s="1"/>
  <c r="AC13" i="40"/>
  <c r="W39" i="37"/>
  <c r="AZ329" i="3"/>
  <c r="W12" i="36"/>
  <c r="AZ477" i="3"/>
  <c r="AZ302" i="3"/>
  <c r="AZ382" i="3"/>
  <c r="AZ277" i="3"/>
  <c r="AZ218" i="3"/>
  <c r="AZ62" i="3"/>
  <c r="AZ320" i="3"/>
  <c r="D35" i="71"/>
  <c r="AB35" i="35"/>
  <c r="U46" i="34"/>
  <c r="AZ536" i="3"/>
  <c r="AZ445" i="3"/>
  <c r="AZ389" i="3"/>
  <c r="AB30" i="34"/>
  <c r="AZ293" i="3"/>
  <c r="AZ316" i="3"/>
  <c r="AZ164" i="3"/>
  <c r="AZ133" i="3"/>
  <c r="AZ125" i="3"/>
  <c r="AZ52" i="3"/>
  <c r="AZ552" i="3"/>
  <c r="AZ221" i="3"/>
  <c r="AZ91" i="3"/>
  <c r="W30" i="40"/>
  <c r="W35" i="35"/>
  <c r="AZ490" i="3"/>
  <c r="AZ358" i="3"/>
  <c r="AZ452" i="3"/>
  <c r="AZ274" i="3"/>
  <c r="P65" i="71"/>
  <c r="W44" i="33"/>
  <c r="AZ401" i="3"/>
  <c r="AZ447" i="3"/>
  <c r="AZ550" i="3"/>
  <c r="AZ245" i="3"/>
  <c r="D44" i="71"/>
  <c r="AZ397" i="3"/>
  <c r="AB23" i="33"/>
  <c r="AZ230" i="3"/>
  <c r="AZ246" i="3"/>
  <c r="AZ140" i="3"/>
  <c r="AZ244" i="3"/>
  <c r="AZ49" i="3"/>
  <c r="G5" i="3"/>
  <c r="B3" i="3" s="1"/>
  <c r="E20" i="3" s="1"/>
  <c r="AZ154" i="3"/>
  <c r="AH45" i="79"/>
  <c r="W7" i="79"/>
  <c r="AK7" i="79" s="1"/>
  <c r="AA11" i="36"/>
  <c r="AZ555" i="3"/>
  <c r="AZ499" i="3"/>
  <c r="AB13" i="37"/>
  <c r="AZ410" i="3"/>
  <c r="AZ380" i="3"/>
  <c r="AZ334" i="3"/>
  <c r="AZ262" i="3"/>
  <c r="AZ298" i="3"/>
  <c r="AZ238" i="3"/>
  <c r="AZ122" i="3"/>
  <c r="AZ70" i="3"/>
  <c r="AZ41" i="3"/>
  <c r="AZ85" i="3"/>
  <c r="AZ489" i="3"/>
  <c r="AZ357" i="3"/>
  <c r="AZ366" i="3"/>
  <c r="AA44" i="39"/>
  <c r="W34" i="35"/>
  <c r="U46" i="33"/>
  <c r="AZ492" i="3"/>
  <c r="AZ473" i="3"/>
  <c r="AZ485" i="3"/>
  <c r="AZ409" i="3"/>
  <c r="AZ364" i="3"/>
  <c r="AZ488" i="3"/>
  <c r="AZ26" i="3"/>
  <c r="AZ34" i="3"/>
  <c r="AZ109" i="3"/>
  <c r="AZ563" i="3"/>
  <c r="AZ515" i="3"/>
  <c r="AC27" i="40"/>
  <c r="W27" i="40"/>
  <c r="W27" i="21"/>
  <c r="S36" i="35"/>
  <c r="AZ530" i="3"/>
  <c r="AB27" i="21"/>
  <c r="AZ423" i="3"/>
  <c r="AZ386" i="3"/>
  <c r="AZ383" i="3"/>
  <c r="AZ196" i="3"/>
  <c r="AZ275" i="3"/>
  <c r="AZ422" i="3"/>
  <c r="AZ318" i="3"/>
  <c r="AZ232" i="3"/>
  <c r="AQ9" i="1"/>
  <c r="AB45" i="39"/>
  <c r="S35" i="35"/>
  <c r="S9" i="36"/>
  <c r="AZ528" i="3"/>
  <c r="S47" i="34"/>
  <c r="AZ580" i="3"/>
  <c r="AZ529" i="3"/>
  <c r="AZ224" i="3"/>
  <c r="AZ169" i="3"/>
  <c r="AZ186" i="3"/>
  <c r="AZ396" i="3"/>
  <c r="AZ151" i="3"/>
  <c r="AZ90" i="3"/>
  <c r="AZ227" i="3"/>
  <c r="AZ136" i="3"/>
  <c r="AZ314" i="3"/>
  <c r="AZ283" i="3"/>
  <c r="AZ75" i="3"/>
  <c r="W12" i="37"/>
  <c r="P67" i="71"/>
  <c r="AZ35" i="3"/>
  <c r="D51" i="71"/>
  <c r="S28" i="37"/>
  <c r="W43" i="33"/>
  <c r="AZ519" i="3"/>
  <c r="AZ265" i="3"/>
  <c r="S43" i="34"/>
  <c r="AZ141" i="3"/>
  <c r="AZ301" i="3"/>
  <c r="AZ209" i="3"/>
  <c r="AZ280" i="3"/>
  <c r="AZ155" i="3"/>
  <c r="AZ65" i="3"/>
  <c r="AZ163" i="3"/>
  <c r="AZ219" i="3"/>
  <c r="AZ129" i="3"/>
  <c r="AZ559" i="3"/>
  <c r="AZ507" i="3"/>
  <c r="AZ53" i="3"/>
  <c r="AQ11" i="1"/>
  <c r="T9" i="1"/>
  <c r="W12" i="35"/>
  <c r="AZ491" i="3"/>
  <c r="AZ524" i="3"/>
  <c r="AZ313" i="3"/>
  <c r="AZ517" i="3"/>
  <c r="AZ408" i="3"/>
  <c r="AZ330" i="3"/>
  <c r="AZ576" i="3"/>
  <c r="AZ582" i="3"/>
  <c r="AZ414" i="3"/>
  <c r="AZ327" i="3"/>
  <c r="AZ234" i="3"/>
  <c r="AZ66" i="3"/>
  <c r="AZ38" i="3"/>
  <c r="AZ42" i="3"/>
  <c r="AZ94" i="3"/>
  <c r="AZ356" i="3"/>
  <c r="AZ184" i="3"/>
  <c r="AB43" i="33"/>
  <c r="U41" i="33"/>
  <c r="AR11" i="1"/>
  <c r="AB44" i="21"/>
  <c r="U44" i="21"/>
  <c r="B29" i="31"/>
  <c r="B22" i="31" s="1"/>
  <c r="AZ503" i="3"/>
  <c r="AB31" i="39"/>
  <c r="U31" i="39"/>
  <c r="C66" i="71"/>
  <c r="D67" i="71"/>
  <c r="O67" i="71"/>
  <c r="AZ480" i="3"/>
  <c r="AC44" i="21"/>
  <c r="AZ353" i="3"/>
  <c r="AZ486" i="3"/>
  <c r="AZ462" i="3"/>
  <c r="S23" i="34"/>
  <c r="AC19" i="33"/>
  <c r="AZ436" i="3"/>
  <c r="AZ399" i="3"/>
  <c r="U37" i="39"/>
  <c r="AB37" i="39"/>
  <c r="W25" i="35"/>
  <c r="AZ465" i="3"/>
  <c r="AZ444" i="3"/>
  <c r="AZ405" i="3"/>
  <c r="AA46" i="33"/>
  <c r="AZ363" i="3"/>
  <c r="AH20" i="79"/>
  <c r="AH21" i="79"/>
  <c r="AA44" i="33"/>
  <c r="AZ339" i="3"/>
  <c r="AZ287" i="3"/>
  <c r="AZ88" i="3"/>
  <c r="AZ135" i="3"/>
  <c r="AR13" i="1"/>
  <c r="AH34" i="79"/>
  <c r="AH10" i="79"/>
  <c r="U39" i="40"/>
  <c r="W33" i="40"/>
  <c r="AC45" i="39"/>
  <c r="W36" i="39"/>
  <c r="S13" i="35"/>
  <c r="AA44" i="21"/>
  <c r="AZ204" i="3"/>
  <c r="AZ119" i="3"/>
  <c r="AA9" i="34"/>
  <c r="U19" i="33"/>
  <c r="AZ535" i="3"/>
  <c r="AZ17" i="3"/>
  <c r="AZ460" i="3"/>
  <c r="U31" i="21"/>
  <c r="AZ494" i="3"/>
  <c r="AZ242" i="3"/>
  <c r="AZ159" i="3"/>
  <c r="AZ229" i="3"/>
  <c r="AZ171" i="3"/>
  <c r="AZ251" i="3"/>
  <c r="AZ175" i="3"/>
  <c r="AZ37" i="3"/>
  <c r="AZ47" i="3"/>
  <c r="AC36" i="35"/>
  <c r="W36" i="35"/>
  <c r="AZ426" i="3"/>
  <c r="AZ443" i="3"/>
  <c r="S31" i="82"/>
  <c r="AA31" i="82"/>
  <c r="AZ542" i="3"/>
  <c r="AZ240" i="3"/>
  <c r="AZ191" i="3"/>
  <c r="AZ540" i="3"/>
  <c r="AA25" i="35"/>
  <c r="S12" i="35"/>
  <c r="D56" i="78"/>
  <c r="W23" i="34"/>
  <c r="AZ214" i="3"/>
  <c r="U9" i="35"/>
  <c r="AZ587" i="3"/>
  <c r="N65" i="71"/>
  <c r="AA40" i="34"/>
  <c r="S40" i="34"/>
  <c r="AZ479" i="3"/>
  <c r="AZ441" i="3"/>
  <c r="AA27" i="33"/>
  <c r="AZ20" i="3"/>
  <c r="AZ440" i="3"/>
  <c r="AZ393" i="3"/>
  <c r="W10" i="34"/>
  <c r="AA43" i="39"/>
  <c r="S12" i="36"/>
  <c r="T13" i="1"/>
  <c r="U10" i="34"/>
  <c r="D55" i="71"/>
  <c r="W43" i="79"/>
  <c r="AK43" i="79" s="1"/>
  <c r="W11" i="79"/>
  <c r="AK11" i="79" s="1"/>
  <c r="AA14" i="40"/>
  <c r="W31" i="39"/>
  <c r="AB28" i="37"/>
  <c r="W30" i="34"/>
  <c r="AB13" i="33"/>
  <c r="W40" i="34"/>
  <c r="AZ571" i="3"/>
  <c r="AZ579" i="3"/>
  <c r="AZ512" i="3"/>
  <c r="S30" i="34"/>
  <c r="AZ482" i="3"/>
  <c r="AZ16" i="3"/>
  <c r="M18" i="86"/>
  <c r="M18" i="83"/>
  <c r="D68" i="84"/>
  <c r="F52" i="81"/>
  <c r="F53" i="84"/>
  <c r="D68" i="81"/>
  <c r="F28" i="86"/>
  <c r="F54" i="84"/>
  <c r="F32" i="83"/>
  <c r="F60" i="83" s="1"/>
  <c r="F28" i="83"/>
  <c r="F48" i="81"/>
  <c r="O52" i="81" s="1"/>
  <c r="F48" i="84"/>
  <c r="O52" i="84" s="1"/>
  <c r="F54" i="81"/>
  <c r="F32" i="86"/>
  <c r="F60" i="86" s="1"/>
  <c r="F53" i="81"/>
  <c r="F52" i="84"/>
  <c r="AZ385" i="3"/>
  <c r="AZ321" i="3"/>
  <c r="AZ502" i="3"/>
  <c r="AZ438" i="3"/>
  <c r="AZ470" i="3"/>
  <c r="AZ411" i="3"/>
  <c r="AZ558" i="3"/>
  <c r="AZ354" i="3"/>
  <c r="AZ250" i="3"/>
  <c r="AZ174" i="3"/>
  <c r="AZ87" i="3"/>
  <c r="AZ446" i="3"/>
  <c r="AZ343" i="3"/>
  <c r="AC31" i="85"/>
  <c r="W31" i="85"/>
  <c r="U14" i="40"/>
  <c r="AB14" i="40"/>
  <c r="F17" i="33"/>
  <c r="AZ549" i="3"/>
  <c r="AZ484" i="3"/>
  <c r="AZ417" i="3"/>
  <c r="AB31" i="82"/>
  <c r="U31" i="82"/>
  <c r="U27" i="34"/>
  <c r="AZ468" i="3"/>
  <c r="AZ190" i="3"/>
  <c r="AZ150" i="3"/>
  <c r="AC31" i="82"/>
  <c r="W31" i="82"/>
  <c r="AZ472" i="3"/>
  <c r="AZ28" i="3"/>
  <c r="C7" i="82"/>
  <c r="C58" i="82" s="1"/>
  <c r="M47" i="81"/>
  <c r="M47" i="84"/>
  <c r="C7" i="85"/>
  <c r="C58" i="85" s="1"/>
  <c r="J51" i="83"/>
  <c r="J51" i="86"/>
  <c r="AZ532" i="3"/>
  <c r="AZ341" i="3"/>
  <c r="AZ391" i="3"/>
  <c r="AZ322" i="3"/>
  <c r="E10" i="1"/>
  <c r="AZ346" i="3"/>
  <c r="AZ180" i="3"/>
  <c r="AZ21" i="3"/>
  <c r="U13" i="40"/>
  <c r="AB13" i="40"/>
  <c r="AZ585" i="3"/>
  <c r="AZ566" i="3"/>
  <c r="AZ29" i="3"/>
  <c r="T10" i="1"/>
  <c r="S10" i="34"/>
  <c r="AA40" i="40"/>
  <c r="S28" i="34"/>
  <c r="W13" i="33"/>
  <c r="AZ527" i="3"/>
  <c r="AB14" i="34"/>
  <c r="AZ457" i="3"/>
  <c r="AB44" i="34"/>
  <c r="AZ381" i="3"/>
  <c r="AZ317" i="3"/>
  <c r="AB15" i="33"/>
  <c r="C82" i="71"/>
  <c r="D82" i="71" s="1"/>
  <c r="AC37" i="39"/>
  <c r="D7" i="77"/>
  <c r="C26" i="77" s="1"/>
  <c r="C32" i="77" s="1"/>
  <c r="C38" i="77" s="1"/>
  <c r="C39" i="77" s="1"/>
  <c r="AZ586" i="3"/>
  <c r="AZ522" i="3"/>
  <c r="AZ554" i="3"/>
  <c r="AZ310" i="3"/>
  <c r="AZ182" i="3"/>
  <c r="AZ69" i="3"/>
  <c r="AZ291" i="3"/>
  <c r="AA31" i="85"/>
  <c r="S31" i="85"/>
  <c r="U44" i="39"/>
  <c r="AB44" i="39"/>
  <c r="AZ496" i="3"/>
  <c r="AZ403" i="3"/>
  <c r="AB34" i="35"/>
  <c r="AZ270" i="3"/>
  <c r="AZ104" i="3"/>
  <c r="D75" i="71"/>
  <c r="C74" i="71"/>
  <c r="D74" i="71" s="1"/>
  <c r="AZ427" i="3"/>
  <c r="AZ48" i="3"/>
  <c r="AZ459" i="3"/>
  <c r="W31" i="21"/>
  <c r="AZ448" i="3"/>
  <c r="AZ458" i="3"/>
  <c r="AZ442" i="3"/>
  <c r="AC14" i="37"/>
  <c r="S39" i="40"/>
  <c r="AA12" i="40"/>
  <c r="AZ345" i="3"/>
  <c r="W30" i="33"/>
  <c r="AZ455" i="3"/>
  <c r="U23" i="34"/>
  <c r="W37" i="79"/>
  <c r="AK37" i="79" s="1"/>
  <c r="S23" i="35"/>
  <c r="AZ24" i="3"/>
  <c r="AZ337" i="3"/>
  <c r="AA34" i="33"/>
  <c r="AZ390" i="3"/>
  <c r="AZ149" i="3"/>
  <c r="W9" i="34"/>
  <c r="AA31" i="39"/>
  <c r="AZ475" i="3"/>
  <c r="AZ461" i="3"/>
  <c r="AZ388" i="3"/>
  <c r="AZ303" i="3"/>
  <c r="AZ312" i="3"/>
  <c r="W15" i="34"/>
  <c r="AH14" i="79"/>
  <c r="AA33" i="40"/>
  <c r="W39" i="40"/>
  <c r="U23" i="35"/>
  <c r="U12" i="35"/>
  <c r="AZ569" i="3"/>
  <c r="AZ504" i="3"/>
  <c r="S19" i="33"/>
  <c r="AZ456" i="3"/>
  <c r="AZ377" i="3"/>
  <c r="W14" i="33"/>
  <c r="H17" i="33"/>
  <c r="U17" i="33" s="1"/>
  <c r="AZ331" i="3"/>
  <c r="AZ384" i="3"/>
  <c r="AZ328" i="3"/>
  <c r="AZ197" i="3"/>
  <c r="AZ359" i="3"/>
  <c r="AZ54" i="3"/>
  <c r="AZ31" i="3"/>
  <c r="AB31" i="85"/>
  <c r="U31" i="85"/>
  <c r="AC25" i="33"/>
  <c r="S25" i="33"/>
  <c r="U25" i="33"/>
  <c r="U34" i="33"/>
  <c r="G111" i="33"/>
  <c r="H111" i="33" s="1"/>
  <c r="I111" i="33" s="1"/>
  <c r="J111" i="33" s="1"/>
  <c r="K111" i="33" s="1"/>
  <c r="L111" i="33" s="1"/>
  <c r="M111" i="33" s="1"/>
  <c r="F36" i="33"/>
  <c r="H36" i="33"/>
  <c r="AQ10" i="1"/>
  <c r="F29" i="6"/>
  <c r="E29" i="6" s="1"/>
  <c r="K15" i="1" s="1"/>
  <c r="AA15" i="33"/>
  <c r="AC15" i="33"/>
  <c r="W15" i="33"/>
  <c r="AC17" i="33"/>
  <c r="C37" i="34"/>
  <c r="Y6" i="1"/>
  <c r="AZ15" i="3"/>
  <c r="D9" i="11"/>
  <c r="C9" i="11" s="1"/>
  <c r="U30" i="33"/>
  <c r="AQ12" i="1"/>
  <c r="BA5" i="3"/>
  <c r="G6" i="1"/>
  <c r="D38" i="7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A12" i="34"/>
  <c r="S12" i="34"/>
  <c r="AC31" i="34"/>
  <c r="W31" i="34"/>
  <c r="AZ431" i="3"/>
  <c r="AZ206" i="3"/>
  <c r="AZ351" i="3"/>
  <c r="AZ307" i="3"/>
  <c r="AZ299" i="3"/>
  <c r="AZ239" i="3"/>
  <c r="AZ177" i="3"/>
  <c r="AZ114" i="3"/>
  <c r="AZ82" i="3"/>
  <c r="AZ71" i="3"/>
  <c r="AZ95" i="3"/>
  <c r="T92" i="33"/>
  <c r="D19" i="12"/>
  <c r="C19" i="12" s="1"/>
  <c r="AB9" i="33"/>
  <c r="U9" i="33"/>
  <c r="K1" i="73"/>
  <c r="T12" i="1"/>
  <c r="C32" i="31"/>
  <c r="D58" i="78"/>
  <c r="D62" i="78" s="1"/>
  <c r="C62" i="78" s="1"/>
  <c r="T56" i="71"/>
  <c r="D56" i="71"/>
  <c r="W42" i="79"/>
  <c r="AK42" i="79" s="1"/>
  <c r="AH42" i="79"/>
  <c r="W38" i="79"/>
  <c r="AK38" i="79" s="1"/>
  <c r="AH38" i="79"/>
  <c r="AH22" i="79"/>
  <c r="W22" i="79"/>
  <c r="AK22" i="79" s="1"/>
  <c r="AA31" i="40"/>
  <c r="S31" i="40"/>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8" i="77"/>
  <c r="D39" i="77" s="1"/>
  <c r="D26" i="77"/>
  <c r="D29" i="77"/>
  <c r="AA29" i="34"/>
  <c r="S29" i="34"/>
  <c r="AA45" i="33"/>
  <c r="S45" i="33"/>
  <c r="S12" i="21"/>
  <c r="AA12" i="21"/>
  <c r="AB12" i="33"/>
  <c r="U12" i="33"/>
  <c r="W29" i="34"/>
  <c r="AC29" i="34"/>
  <c r="AC45" i="34"/>
  <c r="W45" i="34"/>
  <c r="E28"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C15" i="12"/>
  <c r="C9" i="69"/>
  <c r="F68" i="15"/>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C30" i="31"/>
  <c r="E22" i="3"/>
  <c r="C26" i="31"/>
  <c r="E23" i="3"/>
  <c r="E16" i="3"/>
  <c r="E21" i="3"/>
  <c r="E17" i="3"/>
  <c r="E14" i="3"/>
  <c r="H66" i="43"/>
  <c r="H67" i="43"/>
  <c r="H64" i="43"/>
  <c r="H61" i="43"/>
  <c r="H68" i="43"/>
  <c r="H65" i="43"/>
  <c r="H62" i="43"/>
  <c r="H69" i="43"/>
  <c r="H63" i="43"/>
  <c r="G21" i="43"/>
  <c r="C20" i="43" s="1"/>
  <c r="D5" i="43" s="1"/>
  <c r="I1" i="73"/>
  <c r="B39" i="1"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M27" i="83"/>
  <c r="M21" i="15"/>
  <c r="C16" i="15"/>
  <c r="M28" i="86"/>
  <c r="M23" i="15"/>
  <c r="L47" i="86"/>
  <c r="F16" i="86"/>
  <c r="C76" i="67"/>
  <c r="F37" i="15"/>
  <c r="D5" i="73"/>
  <c r="M22" i="86"/>
  <c r="M24" i="86"/>
  <c r="F43" i="86"/>
  <c r="J15" i="15"/>
  <c r="L48" i="83"/>
  <c r="F42" i="83"/>
  <c r="F7" i="15"/>
  <c r="D6" i="73"/>
  <c r="F36" i="83"/>
  <c r="M23" i="83"/>
  <c r="M24" i="15"/>
  <c r="L48" i="15"/>
  <c r="M27" i="15"/>
  <c r="F9" i="67"/>
  <c r="F42" i="86"/>
  <c r="C14" i="15"/>
  <c r="F35" i="15"/>
  <c r="M26" i="86"/>
  <c r="M8" i="86"/>
  <c r="J15" i="67"/>
  <c r="M9" i="15"/>
  <c r="M27" i="86"/>
  <c r="C76" i="86"/>
  <c r="M6" i="83"/>
  <c r="F9" i="86"/>
  <c r="F40" i="67"/>
  <c r="C76" i="15"/>
  <c r="M22" i="15"/>
  <c r="F6" i="86"/>
  <c r="F38" i="86"/>
  <c r="F8" i="15"/>
  <c r="F13" i="83"/>
  <c r="F8" i="83"/>
  <c r="F38" i="67"/>
  <c r="M24" i="83"/>
  <c r="F6" i="67"/>
  <c r="M24" i="67"/>
  <c r="M28" i="67"/>
  <c r="M26" i="67"/>
  <c r="J15" i="86"/>
  <c r="F27" i="69"/>
  <c r="F6" i="15"/>
  <c r="F38" i="15"/>
  <c r="F40" i="83"/>
  <c r="L48" i="67"/>
  <c r="M26" i="15"/>
  <c r="F42" i="15"/>
  <c r="F26" i="83"/>
  <c r="F26" i="86"/>
  <c r="F37" i="86"/>
  <c r="M8" i="67"/>
  <c r="F36" i="67"/>
  <c r="F41" i="15"/>
  <c r="M22" i="83"/>
  <c r="F8" i="86"/>
  <c r="F26" i="15"/>
  <c r="F13" i="67"/>
  <c r="M28" i="83"/>
  <c r="D4" i="73"/>
  <c r="F36" i="15"/>
  <c r="F13" i="15"/>
  <c r="D3" i="73"/>
  <c r="F6" i="83"/>
  <c r="M6" i="15"/>
  <c r="F13" i="86"/>
  <c r="M23" i="86"/>
  <c r="L47" i="67"/>
  <c r="M29" i="86"/>
  <c r="M8" i="83"/>
  <c r="F7" i="86"/>
  <c r="M26" i="83"/>
  <c r="M9" i="83"/>
  <c r="F16" i="67"/>
  <c r="F8" i="67"/>
  <c r="M6" i="86"/>
  <c r="F26" i="67"/>
  <c r="M28" i="15"/>
  <c r="M22" i="67"/>
  <c r="F37" i="67"/>
  <c r="F16" i="83"/>
  <c r="F42" i="67"/>
  <c r="L47" i="83"/>
  <c r="M27" i="67"/>
  <c r="F36" i="86"/>
  <c r="M9" i="86"/>
  <c r="F9" i="83"/>
  <c r="F43" i="15"/>
  <c r="J15" i="83"/>
  <c r="F38" i="83"/>
  <c r="C76" i="83"/>
  <c r="F9" i="15"/>
  <c r="L47" i="15"/>
  <c r="L48" i="86"/>
  <c r="F40" i="86"/>
  <c r="M8" i="15"/>
  <c r="F37" i="83"/>
  <c r="C34" i="15" l="1"/>
  <c r="F30" i="6"/>
  <c r="M7" i="15"/>
  <c r="J6" i="15" s="1"/>
  <c r="J18" i="15" s="1"/>
  <c r="F50" i="15"/>
  <c r="F65" i="15"/>
  <c r="J20" i="15"/>
  <c r="C27" i="15"/>
  <c r="N59" i="15"/>
  <c r="M59" i="15"/>
  <c r="L59" i="15"/>
  <c r="Q61" i="15" s="1"/>
  <c r="F51" i="15"/>
  <c r="F69" i="15"/>
  <c r="F31" i="15"/>
  <c r="C6" i="15"/>
  <c r="C32" i="15" s="1"/>
  <c r="F64" i="15"/>
  <c r="F66" i="15"/>
  <c r="C28" i="83"/>
  <c r="AA36" i="82"/>
  <c r="S36" i="82"/>
  <c r="AZ5" i="3"/>
  <c r="E3" i="6" s="1"/>
  <c r="AC36" i="82"/>
  <c r="W36" i="82"/>
  <c r="C29" i="31"/>
  <c r="AB36" i="82"/>
  <c r="U36" i="82"/>
  <c r="C28" i="86"/>
  <c r="H36" i="85"/>
  <c r="F36" i="85"/>
  <c r="J36" i="85"/>
  <c r="Q71" i="83"/>
  <c r="C27" i="83"/>
  <c r="F68" i="67"/>
  <c r="F51" i="86"/>
  <c r="L57" i="83"/>
  <c r="L56" i="83"/>
  <c r="L60" i="83"/>
  <c r="Q71" i="86"/>
  <c r="C27" i="86"/>
  <c r="F68" i="86"/>
  <c r="F71" i="86"/>
  <c r="F63" i="15"/>
  <c r="C62" i="15" s="1"/>
  <c r="J57" i="15"/>
  <c r="J55" i="15" s="1"/>
  <c r="J58" i="15" s="1"/>
  <c r="Q50" i="15" s="1"/>
  <c r="I54" i="15"/>
  <c r="L58" i="15"/>
  <c r="Q60" i="15" s="1"/>
  <c r="J53" i="15"/>
  <c r="L56" i="15" s="1"/>
  <c r="F66" i="86"/>
  <c r="L58" i="83"/>
  <c r="L59" i="83"/>
  <c r="M59" i="83"/>
  <c r="N59" i="83"/>
  <c r="F51" i="83"/>
  <c r="N59" i="86"/>
  <c r="L58" i="86"/>
  <c r="M59" i="86"/>
  <c r="L59" i="86"/>
  <c r="C47" i="69"/>
  <c r="D45" i="69" s="1"/>
  <c r="F45" i="69"/>
  <c r="C29" i="69"/>
  <c r="D27" i="69" s="1"/>
  <c r="F64" i="83"/>
  <c r="F50" i="86"/>
  <c r="M7" i="86"/>
  <c r="M17" i="86" s="1"/>
  <c r="F68" i="83"/>
  <c r="F66" i="83"/>
  <c r="F31" i="86"/>
  <c r="C6" i="86"/>
  <c r="F65" i="86"/>
  <c r="F65" i="83"/>
  <c r="L57" i="86"/>
  <c r="L56" i="86"/>
  <c r="L60" i="86"/>
  <c r="F71" i="15"/>
  <c r="Q71" i="15"/>
  <c r="C27" i="67"/>
  <c r="F64" i="86"/>
  <c r="F65" i="67"/>
  <c r="J53" i="83"/>
  <c r="I54" i="83"/>
  <c r="J57" i="83"/>
  <c r="J55" i="83" s="1"/>
  <c r="J58" i="83" s="1"/>
  <c r="Q50" i="83" s="1"/>
  <c r="D32" i="77"/>
  <c r="AB17" i="33"/>
  <c r="S17" i="33"/>
  <c r="AA17" i="33"/>
  <c r="J53" i="86"/>
  <c r="J57" i="86"/>
  <c r="J55" i="86" s="1"/>
  <c r="J58" i="86" s="1"/>
  <c r="Q50" i="86" s="1"/>
  <c r="I54" i="86"/>
  <c r="D58" i="85"/>
  <c r="E58" i="85" s="1"/>
  <c r="F58" i="85" s="1"/>
  <c r="G58" i="85" s="1"/>
  <c r="H58" i="85" s="1"/>
  <c r="I58" i="85" s="1"/>
  <c r="J58" i="85" s="1"/>
  <c r="K58" i="85" s="1"/>
  <c r="L58" i="85" s="1"/>
  <c r="M58" i="85" s="1"/>
  <c r="N58" i="85" s="1"/>
  <c r="O58" i="85" s="1"/>
  <c r="D66" i="71"/>
  <c r="O65" i="71"/>
  <c r="O66" i="71"/>
  <c r="D58" i="82"/>
  <c r="E58" i="82" s="1"/>
  <c r="F58" i="82" s="1"/>
  <c r="G58" i="82" s="1"/>
  <c r="H58" i="82" s="1"/>
  <c r="I58" i="82" s="1"/>
  <c r="J58" i="82" s="1"/>
  <c r="K58" i="82" s="1"/>
  <c r="L58" i="82" s="1"/>
  <c r="M58" i="82" s="1"/>
  <c r="N58" i="82" s="1"/>
  <c r="O58" i="82" s="1"/>
  <c r="C77" i="84"/>
  <c r="C74" i="84" s="1"/>
  <c r="C77" i="81"/>
  <c r="C74" i="81" s="1"/>
  <c r="U36" i="33"/>
  <c r="AB36" i="33"/>
  <c r="AA36" i="33"/>
  <c r="S36" i="33"/>
  <c r="M11" i="86"/>
  <c r="J10" i="86" s="1"/>
  <c r="F11" i="86"/>
  <c r="M11" i="15"/>
  <c r="J10" i="15" s="1"/>
  <c r="M11" i="83"/>
  <c r="J10" i="83" s="1"/>
  <c r="F11" i="83"/>
  <c r="E37" i="34"/>
  <c r="F37" i="34" s="1"/>
  <c r="G37" i="34"/>
  <c r="H37" i="34" s="1"/>
  <c r="I37" i="34"/>
  <c r="J37" i="34" s="1"/>
  <c r="C40" i="71"/>
  <c r="D39" i="71"/>
  <c r="K120" i="9"/>
  <c r="A18" i="62" s="1"/>
  <c r="B64" i="72" s="1"/>
  <c r="D121" i="9"/>
  <c r="D7" i="52" s="1"/>
  <c r="D6" i="52"/>
  <c r="B24" i="72"/>
  <c r="D9" i="53"/>
  <c r="B25" i="72" s="1"/>
  <c r="C18" i="15"/>
  <c r="C15" i="15"/>
  <c r="E19" i="6"/>
  <c r="T95" i="33"/>
  <c r="T94" i="33"/>
  <c r="T93" i="33"/>
  <c r="J28" i="33"/>
  <c r="AY6" i="3"/>
  <c r="AY528" i="3" s="1"/>
  <c r="F66" i="67"/>
  <c r="F64" i="67"/>
  <c r="L58" i="67"/>
  <c r="Q60" i="67" s="1"/>
  <c r="Q71" i="67"/>
  <c r="F51" i="67"/>
  <c r="C48" i="11"/>
  <c r="C30" i="11"/>
  <c r="S20" i="71"/>
  <c r="B19" i="71"/>
  <c r="B18" i="71" s="1"/>
  <c r="B17" i="71" s="1"/>
  <c r="B16" i="71" s="1"/>
  <c r="D22" i="71"/>
  <c r="C21" i="71"/>
  <c r="D27" i="71"/>
  <c r="C26" i="71"/>
  <c r="D26" i="71" s="1"/>
  <c r="E30" i="6"/>
  <c r="K14" i="1"/>
  <c r="M14" i="1" s="1"/>
  <c r="E38" i="77"/>
  <c r="E39" i="77" s="1"/>
  <c r="C40" i="77" s="1"/>
  <c r="E29" i="77"/>
  <c r="E26" i="77"/>
  <c r="V16" i="71"/>
  <c r="E15" i="71"/>
  <c r="E14" i="71" s="1"/>
  <c r="E13" i="71" s="1"/>
  <c r="E12" i="71" s="1"/>
  <c r="C33" i="15"/>
  <c r="F11" i="15"/>
  <c r="C10" i="15" s="1"/>
  <c r="AC6" i="3"/>
  <c r="H6" i="3"/>
  <c r="E58" i="40"/>
  <c r="E62" i="39"/>
  <c r="E60" i="40"/>
  <c r="E64" i="39"/>
  <c r="E59" i="40"/>
  <c r="E63" i="39"/>
  <c r="D116" i="43"/>
  <c r="E57" i="40"/>
  <c r="E61" i="39"/>
  <c r="E60" i="39"/>
  <c r="E56" i="40"/>
  <c r="AY478" i="3"/>
  <c r="AY462" i="3"/>
  <c r="AY443" i="3"/>
  <c r="AY438" i="3"/>
  <c r="AY408" i="3"/>
  <c r="AY226" i="3"/>
  <c r="AY523" i="3"/>
  <c r="AY522" i="3"/>
  <c r="AY361" i="3"/>
  <c r="AY329" i="3"/>
  <c r="AY321" i="3"/>
  <c r="AY252" i="3"/>
  <c r="AY249" i="3"/>
  <c r="AY244" i="3"/>
  <c r="AY236" i="3"/>
  <c r="AY233" i="3"/>
  <c r="AY26" i="3"/>
  <c r="AY538" i="3"/>
  <c r="AY405" i="3"/>
  <c r="AY397" i="3"/>
  <c r="AY365" i="3"/>
  <c r="AY65" i="3"/>
  <c r="AY53" i="3"/>
  <c r="AY37" i="3"/>
  <c r="AY33" i="3"/>
  <c r="AY25" i="3"/>
  <c r="AY68" i="3"/>
  <c r="AY60" i="3"/>
  <c r="AY52" i="3"/>
  <c r="AY28" i="3"/>
  <c r="AY24" i="3"/>
  <c r="BL6" i="3"/>
  <c r="BN6" i="3"/>
  <c r="BJ6" i="3"/>
  <c r="BF6" i="3"/>
  <c r="E51" i="40"/>
  <c r="E56" i="39"/>
  <c r="F27" i="6"/>
  <c r="F31" i="6" s="1"/>
  <c r="E16" i="6"/>
  <c r="D19" i="11"/>
  <c r="C19" i="11" s="1"/>
  <c r="D3" i="37"/>
  <c r="B3" i="37" s="1"/>
  <c r="D3" i="21"/>
  <c r="B3" i="21" s="1"/>
  <c r="D37" i="11"/>
  <c r="C37" i="11" s="1"/>
  <c r="E6" i="6"/>
  <c r="D3" i="33"/>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C17" i="15"/>
  <c r="G1" i="73"/>
  <c r="C16" i="86"/>
  <c r="C32" i="86" l="1"/>
  <c r="C33" i="86"/>
  <c r="BB6" i="3"/>
  <c r="BR6" i="3"/>
  <c r="AY36" i="3"/>
  <c r="AY21" i="3"/>
  <c r="AY49" i="3"/>
  <c r="AY373" i="3"/>
  <c r="AY539" i="3"/>
  <c r="AY241" i="3"/>
  <c r="AY257" i="3"/>
  <c r="AY377" i="3"/>
  <c r="AY395" i="3"/>
  <c r="AY459" i="3"/>
  <c r="E32" i="77"/>
  <c r="F7" i="82"/>
  <c r="H7" i="82"/>
  <c r="J7" i="82"/>
  <c r="AC7" i="82" s="1"/>
  <c r="V48" i="82" s="1"/>
  <c r="I48" i="82" s="1"/>
  <c r="C49" i="15"/>
  <c r="C61" i="15" s="1"/>
  <c r="M17" i="15"/>
  <c r="F59" i="15"/>
  <c r="Q74" i="15"/>
  <c r="AY208" i="3"/>
  <c r="AY180" i="3"/>
  <c r="AY145" i="3"/>
  <c r="AY71" i="3"/>
  <c r="AY386" i="3"/>
  <c r="AY518" i="3"/>
  <c r="AY188" i="3"/>
  <c r="AY110" i="3"/>
  <c r="AY79" i="3"/>
  <c r="AY543" i="3"/>
  <c r="BG6" i="3"/>
  <c r="AY200" i="3"/>
  <c r="AY161" i="3"/>
  <c r="AY122" i="3"/>
  <c r="AY95" i="3"/>
  <c r="AY430" i="3"/>
  <c r="AY433" i="3"/>
  <c r="J5" i="15"/>
  <c r="J26" i="15" s="1"/>
  <c r="J29" i="15" s="1"/>
  <c r="AY40" i="3"/>
  <c r="AY165" i="3"/>
  <c r="AY126" i="3"/>
  <c r="AY99" i="3"/>
  <c r="AY533" i="3"/>
  <c r="AY461" i="3"/>
  <c r="AY80" i="3"/>
  <c r="AY177" i="3"/>
  <c r="AY138" i="3"/>
  <c r="AY115" i="3"/>
  <c r="AY203" i="3"/>
  <c r="AY545" i="3"/>
  <c r="C5" i="15"/>
  <c r="C38" i="15" s="1"/>
  <c r="AA36" i="85"/>
  <c r="S36" i="85"/>
  <c r="AB36" i="85"/>
  <c r="U36" i="85"/>
  <c r="BC6" i="3"/>
  <c r="BO6" i="3"/>
  <c r="BS6" i="3"/>
  <c r="AY88" i="3"/>
  <c r="AY181" i="3"/>
  <c r="AY142" i="3"/>
  <c r="AY119" i="3"/>
  <c r="AY215" i="3"/>
  <c r="AY575" i="3"/>
  <c r="AY168" i="3"/>
  <c r="AY164" i="3"/>
  <c r="AY133" i="3"/>
  <c r="AY94" i="3"/>
  <c r="AY55" i="3"/>
  <c r="AY366" i="3"/>
  <c r="AY456" i="3"/>
  <c r="BK6" i="3"/>
  <c r="AY14" i="3"/>
  <c r="AY136" i="3"/>
  <c r="AY193" i="3"/>
  <c r="AY154" i="3"/>
  <c r="AY135" i="3"/>
  <c r="AY235" i="3"/>
  <c r="AY544" i="3"/>
  <c r="C31" i="15"/>
  <c r="AC36" i="85"/>
  <c r="W36" i="85"/>
  <c r="AY106" i="3"/>
  <c r="AY149" i="3"/>
  <c r="AY398" i="3"/>
  <c r="AY192" i="3"/>
  <c r="AY17" i="3"/>
  <c r="AY341" i="3"/>
  <c r="AY228" i="3"/>
  <c r="AY289" i="3"/>
  <c r="AY375" i="3"/>
  <c r="B40" i="1"/>
  <c r="F24" i="86" s="1"/>
  <c r="C24" i="86" s="1"/>
  <c r="C49" i="86"/>
  <c r="C61" i="86" s="1"/>
  <c r="J6" i="86"/>
  <c r="J19" i="86" s="1"/>
  <c r="F1" i="15"/>
  <c r="Q52" i="15"/>
  <c r="Q73" i="15"/>
  <c r="AY13" i="3"/>
  <c r="AY84" i="3"/>
  <c r="AY176" i="3"/>
  <c r="AY69" i="3"/>
  <c r="AY194" i="3"/>
  <c r="AY30" i="3"/>
  <c r="AY158" i="3"/>
  <c r="AY260" i="3"/>
  <c r="AY143" i="3"/>
  <c r="AY238" i="3"/>
  <c r="AY247" i="3"/>
  <c r="AY486" i="3"/>
  <c r="AY572" i="3"/>
  <c r="AY48" i="3"/>
  <c r="AY411" i="3"/>
  <c r="AY112" i="3"/>
  <c r="AY104" i="3"/>
  <c r="AY124" i="3"/>
  <c r="AY15" i="3"/>
  <c r="AY101" i="3"/>
  <c r="AY277" i="3"/>
  <c r="AY62" i="3"/>
  <c r="AY190" i="3"/>
  <c r="AY428" i="3"/>
  <c r="AY183" i="3"/>
  <c r="AY302" i="3"/>
  <c r="AY311" i="3"/>
  <c r="AY292" i="3"/>
  <c r="Q66" i="86"/>
  <c r="Q57" i="86"/>
  <c r="Q52" i="86"/>
  <c r="F1" i="86"/>
  <c r="Q61" i="86"/>
  <c r="Q74" i="86"/>
  <c r="W7" i="82"/>
  <c r="AY64" i="3"/>
  <c r="AY100" i="3"/>
  <c r="AY85" i="3"/>
  <c r="AY210" i="3"/>
  <c r="AY174" i="3"/>
  <c r="AY163" i="3"/>
  <c r="AY279" i="3"/>
  <c r="AY531" i="3"/>
  <c r="Q61" i="83"/>
  <c r="Q74" i="83"/>
  <c r="AY116" i="3"/>
  <c r="AY120" i="3"/>
  <c r="AY128" i="3"/>
  <c r="AY132" i="3"/>
  <c r="BE6" i="3"/>
  <c r="AY113" i="3"/>
  <c r="AY301" i="3"/>
  <c r="AY74" i="3"/>
  <c r="AY212" i="3"/>
  <c r="AY31" i="3"/>
  <c r="AY198" i="3"/>
  <c r="AY322" i="3"/>
  <c r="AY331" i="3"/>
  <c r="AY348" i="3"/>
  <c r="H7" i="85"/>
  <c r="Q73" i="86"/>
  <c r="Q60" i="86"/>
  <c r="U7" i="82"/>
  <c r="AB7" i="82"/>
  <c r="T48" i="82" s="1"/>
  <c r="G48" i="82" s="1"/>
  <c r="AY92" i="3"/>
  <c r="AY42" i="3"/>
  <c r="AY258" i="3"/>
  <c r="J19" i="15"/>
  <c r="Q66" i="83"/>
  <c r="Q57" i="83"/>
  <c r="BP6" i="3"/>
  <c r="AY46" i="3"/>
  <c r="AY270" i="3"/>
  <c r="AY56" i="3"/>
  <c r="BT6" i="3"/>
  <c r="AY269" i="3"/>
  <c r="AY58" i="3"/>
  <c r="AY186" i="3"/>
  <c r="AY179" i="3"/>
  <c r="AY290" i="3"/>
  <c r="AY299" i="3"/>
  <c r="Q60" i="83"/>
  <c r="Q73" i="83"/>
  <c r="AY144" i="3"/>
  <c r="AY152" i="3"/>
  <c r="AY148" i="3"/>
  <c r="BI6" i="3"/>
  <c r="AY117" i="3"/>
  <c r="AY309" i="3"/>
  <c r="AY78" i="3"/>
  <c r="AY220" i="3"/>
  <c r="AY35" i="3"/>
  <c r="AY206" i="3"/>
  <c r="AY334" i="3"/>
  <c r="AY343" i="3"/>
  <c r="AY376" i="3"/>
  <c r="F7" i="85"/>
  <c r="F59" i="86"/>
  <c r="AA7" i="82"/>
  <c r="R48" i="82" s="1"/>
  <c r="S7" i="82"/>
  <c r="AY16" i="3"/>
  <c r="AY32" i="3"/>
  <c r="AY20" i="3"/>
  <c r="BD6" i="3"/>
  <c r="AY81" i="3"/>
  <c r="AY209" i="3"/>
  <c r="AY170" i="3"/>
  <c r="AY265" i="3"/>
  <c r="AY159" i="3"/>
  <c r="AY267" i="3"/>
  <c r="AY514" i="3"/>
  <c r="AY72" i="3"/>
  <c r="AY97" i="3"/>
  <c r="AY420" i="3"/>
  <c r="AY585" i="3"/>
  <c r="F1" i="83"/>
  <c r="Q52" i="83"/>
  <c r="AY160" i="3"/>
  <c r="AY184" i="3"/>
  <c r="AY156" i="3"/>
  <c r="BM6" i="3"/>
  <c r="AY129" i="3"/>
  <c r="AY333" i="3"/>
  <c r="AY90" i="3"/>
  <c r="AY225" i="3"/>
  <c r="AY51" i="3"/>
  <c r="AY281" i="3"/>
  <c r="AY354" i="3"/>
  <c r="AY363" i="3"/>
  <c r="AY432" i="3"/>
  <c r="J7" i="85"/>
  <c r="C53" i="86"/>
  <c r="C10" i="86"/>
  <c r="C5" i="86" s="1"/>
  <c r="C53" i="83"/>
  <c r="U37" i="34"/>
  <c r="AB37" i="34"/>
  <c r="W37" i="34"/>
  <c r="AC37" i="34"/>
  <c r="S37" i="34"/>
  <c r="AA37" i="34"/>
  <c r="AY41" i="3"/>
  <c r="AY57" i="3"/>
  <c r="AY73" i="3"/>
  <c r="AY89" i="3"/>
  <c r="AY105" i="3"/>
  <c r="AY121" i="3"/>
  <c r="AY137" i="3"/>
  <c r="AY153" i="3"/>
  <c r="AY169" i="3"/>
  <c r="AY185" i="3"/>
  <c r="AY201" i="3"/>
  <c r="AY217" i="3"/>
  <c r="AY285" i="3"/>
  <c r="AY317" i="3"/>
  <c r="AY349" i="3"/>
  <c r="AY381" i="3"/>
  <c r="AY506" i="3"/>
  <c r="AY18" i="3"/>
  <c r="AY34" i="3"/>
  <c r="AY50" i="3"/>
  <c r="AY66" i="3"/>
  <c r="AY82" i="3"/>
  <c r="AY98" i="3"/>
  <c r="AY114" i="3"/>
  <c r="AY130" i="3"/>
  <c r="AY146" i="3"/>
  <c r="AY162" i="3"/>
  <c r="AY178" i="3"/>
  <c r="AY196" i="3"/>
  <c r="AY221" i="3"/>
  <c r="AY229" i="3"/>
  <c r="AY237" i="3"/>
  <c r="AY245" i="3"/>
  <c r="AY253" i="3"/>
  <c r="AY261" i="3"/>
  <c r="AY412" i="3"/>
  <c r="AY19" i="3"/>
  <c r="AY39" i="3"/>
  <c r="AY63" i="3"/>
  <c r="AY83" i="3"/>
  <c r="AY103" i="3"/>
  <c r="AY127" i="3"/>
  <c r="AY147" i="3"/>
  <c r="AY167" i="3"/>
  <c r="AY191" i="3"/>
  <c r="AY213" i="3"/>
  <c r="AY297" i="3"/>
  <c r="AY345" i="3"/>
  <c r="AY385" i="3"/>
  <c r="AY554" i="3"/>
  <c r="AY242" i="3"/>
  <c r="AY274" i="3"/>
  <c r="AY306" i="3"/>
  <c r="AY338" i="3"/>
  <c r="AY370" i="3"/>
  <c r="AY402" i="3"/>
  <c r="AY549" i="3"/>
  <c r="AY219" i="3"/>
  <c r="AY251" i="3"/>
  <c r="AY283" i="3"/>
  <c r="AY315" i="3"/>
  <c r="AY347" i="3"/>
  <c r="AY379" i="3"/>
  <c r="AY423" i="3"/>
  <c r="AY446" i="3"/>
  <c r="AY470" i="3"/>
  <c r="AY491" i="3"/>
  <c r="AY546" i="3"/>
  <c r="AY308" i="3"/>
  <c r="AY392" i="3"/>
  <c r="AY472" i="3"/>
  <c r="AY559" i="3"/>
  <c r="AY477" i="3"/>
  <c r="AY500" i="3"/>
  <c r="AY574" i="3"/>
  <c r="AY44" i="3"/>
  <c r="AY76" i="3"/>
  <c r="AY108" i="3"/>
  <c r="AY140" i="3"/>
  <c r="AY172" i="3"/>
  <c r="AY216" i="3"/>
  <c r="AY96" i="3"/>
  <c r="BH6" i="3"/>
  <c r="BA6" i="3"/>
  <c r="BQ6" i="3"/>
  <c r="AY29" i="3"/>
  <c r="AY45" i="3"/>
  <c r="AY61" i="3"/>
  <c r="AY77" i="3"/>
  <c r="AY93" i="3"/>
  <c r="AY109" i="3"/>
  <c r="AY125" i="3"/>
  <c r="AY141" i="3"/>
  <c r="AY157" i="3"/>
  <c r="AY173" i="3"/>
  <c r="AY189" i="3"/>
  <c r="AY202" i="3"/>
  <c r="AY218" i="3"/>
  <c r="AY293" i="3"/>
  <c r="AY325" i="3"/>
  <c r="AY357" i="3"/>
  <c r="AY389" i="3"/>
  <c r="AY507" i="3"/>
  <c r="AY22" i="3"/>
  <c r="AY38" i="3"/>
  <c r="AY54" i="3"/>
  <c r="AY70" i="3"/>
  <c r="AY86" i="3"/>
  <c r="AY102" i="3"/>
  <c r="AY118" i="3"/>
  <c r="AY134" i="3"/>
  <c r="AY150" i="3"/>
  <c r="AY166" i="3"/>
  <c r="AY182" i="3"/>
  <c r="AY204" i="3"/>
  <c r="AY224" i="3"/>
  <c r="AY232" i="3"/>
  <c r="AY240" i="3"/>
  <c r="AY248" i="3"/>
  <c r="AY256" i="3"/>
  <c r="AY264" i="3"/>
  <c r="AY419" i="3"/>
  <c r="AY23" i="3"/>
  <c r="AY47" i="3"/>
  <c r="AY67" i="3"/>
  <c r="AY87" i="3"/>
  <c r="AY111" i="3"/>
  <c r="AY131" i="3"/>
  <c r="AY151" i="3"/>
  <c r="AY175" i="3"/>
  <c r="AY197" i="3"/>
  <c r="AY214" i="3"/>
  <c r="AY313" i="3"/>
  <c r="AY353" i="3"/>
  <c r="AY393" i="3"/>
  <c r="AY222" i="3"/>
  <c r="AY254" i="3"/>
  <c r="AY286" i="3"/>
  <c r="AY318" i="3"/>
  <c r="AY350" i="3"/>
  <c r="AY382" i="3"/>
  <c r="AY422" i="3"/>
  <c r="AY199" i="3"/>
  <c r="AY231" i="3"/>
  <c r="AY263" i="3"/>
  <c r="AY295" i="3"/>
  <c r="AY327" i="3"/>
  <c r="AY359" i="3"/>
  <c r="AY391" i="3"/>
  <c r="AY424" i="3"/>
  <c r="AY454" i="3"/>
  <c r="AY475" i="3"/>
  <c r="AY494" i="3"/>
  <c r="AY576" i="3"/>
  <c r="AY332" i="3"/>
  <c r="AY509" i="3"/>
  <c r="AY502" i="3"/>
  <c r="AY417" i="3"/>
  <c r="AY513" i="3"/>
  <c r="AY586" i="3"/>
  <c r="AY580" i="3"/>
  <c r="AY560" i="3"/>
  <c r="AY540" i="3"/>
  <c r="AY516" i="3"/>
  <c r="AY587" i="3"/>
  <c r="AY570" i="3"/>
  <c r="AY529" i="3"/>
  <c r="AY493" i="3"/>
  <c r="AY473" i="3"/>
  <c r="AY449" i="3"/>
  <c r="AY429" i="3"/>
  <c r="AY409" i="3"/>
  <c r="AY551" i="3"/>
  <c r="AY534" i="3"/>
  <c r="AY511" i="3"/>
  <c r="AY488" i="3"/>
  <c r="AY468" i="3"/>
  <c r="AY448" i="3"/>
  <c r="AY541" i="3"/>
  <c r="AY410" i="3"/>
  <c r="AY388" i="3"/>
  <c r="AY364" i="3"/>
  <c r="AY344" i="3"/>
  <c r="AY324" i="3"/>
  <c r="AY300" i="3"/>
  <c r="AY280" i="3"/>
  <c r="AY584" i="3"/>
  <c r="AY562" i="3"/>
  <c r="AY530" i="3"/>
  <c r="AY498" i="3"/>
  <c r="AY490" i="3"/>
  <c r="AY482" i="3"/>
  <c r="AY474" i="3"/>
  <c r="AY466" i="3"/>
  <c r="AY458" i="3"/>
  <c r="AY450" i="3"/>
  <c r="AY442" i="3"/>
  <c r="AY434" i="3"/>
  <c r="AY416" i="3"/>
  <c r="AY403" i="3"/>
  <c r="AY387" i="3"/>
  <c r="AY371" i="3"/>
  <c r="AY355" i="3"/>
  <c r="AY339" i="3"/>
  <c r="AY323" i="3"/>
  <c r="AY307" i="3"/>
  <c r="AY291" i="3"/>
  <c r="AY275" i="3"/>
  <c r="AY259" i="3"/>
  <c r="AY243" i="3"/>
  <c r="AY227" i="3"/>
  <c r="AY211" i="3"/>
  <c r="AY195" i="3"/>
  <c r="AY517" i="3"/>
  <c r="AY414" i="3"/>
  <c r="AY394" i="3"/>
  <c r="AY378" i="3"/>
  <c r="AY362" i="3"/>
  <c r="AY346" i="3"/>
  <c r="AY330" i="3"/>
  <c r="AY314" i="3"/>
  <c r="AY298" i="3"/>
  <c r="AY282" i="3"/>
  <c r="AY266" i="3"/>
  <c r="AY250" i="3"/>
  <c r="AY234" i="3"/>
  <c r="AY555" i="3"/>
  <c r="AY401" i="3"/>
  <c r="AY369" i="3"/>
  <c r="AY337" i="3"/>
  <c r="AY305" i="3"/>
  <c r="AY273" i="3"/>
  <c r="AY205" i="3"/>
  <c r="AY187" i="3"/>
  <c r="AY171" i="3"/>
  <c r="AY155" i="3"/>
  <c r="AY139" i="3"/>
  <c r="AY123" i="3"/>
  <c r="AY107" i="3"/>
  <c r="AY91" i="3"/>
  <c r="AY75" i="3"/>
  <c r="AY59" i="3"/>
  <c r="AY43" i="3"/>
  <c r="AY27" i="3"/>
  <c r="AY427" i="3"/>
  <c r="AY582" i="3"/>
  <c r="AY573" i="3"/>
  <c r="AY556" i="3"/>
  <c r="AY532" i="3"/>
  <c r="AY512" i="3"/>
  <c r="AY583" i="3"/>
  <c r="AY561" i="3"/>
  <c r="AY521" i="3"/>
  <c r="AY489" i="3"/>
  <c r="AY465" i="3"/>
  <c r="AY445" i="3"/>
  <c r="AY425" i="3"/>
  <c r="AY567" i="3"/>
  <c r="AY550" i="3"/>
  <c r="AY527" i="3"/>
  <c r="AY503" i="3"/>
  <c r="AY484" i="3"/>
  <c r="AY464" i="3"/>
  <c r="AY440" i="3"/>
  <c r="AY525" i="3"/>
  <c r="AY404" i="3"/>
  <c r="AY380" i="3"/>
  <c r="AY360" i="3"/>
  <c r="AY340" i="3"/>
  <c r="AY316" i="3"/>
  <c r="AY296" i="3"/>
  <c r="AY276" i="3"/>
  <c r="AY577" i="3"/>
  <c r="AY547" i="3"/>
  <c r="AY515" i="3"/>
  <c r="AY495" i="3"/>
  <c r="AY487" i="3"/>
  <c r="AY479" i="3"/>
  <c r="AY471" i="3"/>
  <c r="AY463" i="3"/>
  <c r="AY455" i="3"/>
  <c r="AY447" i="3"/>
  <c r="AY439" i="3"/>
  <c r="AY431" i="3"/>
  <c r="AY415" i="3"/>
  <c r="AY399" i="3"/>
  <c r="AY383" i="3"/>
  <c r="AY367" i="3"/>
  <c r="AY351" i="3"/>
  <c r="AY335" i="3"/>
  <c r="AY319" i="3"/>
  <c r="AY303" i="3"/>
  <c r="AY287" i="3"/>
  <c r="AY271" i="3"/>
  <c r="AY255" i="3"/>
  <c r="AY239" i="3"/>
  <c r="AY223" i="3"/>
  <c r="AY207" i="3"/>
  <c r="AY565" i="3"/>
  <c r="AY501" i="3"/>
  <c r="AY406" i="3"/>
  <c r="AY390" i="3"/>
  <c r="AY374" i="3"/>
  <c r="AY358" i="3"/>
  <c r="AY342" i="3"/>
  <c r="AY326" i="3"/>
  <c r="AY310" i="3"/>
  <c r="AY294" i="3"/>
  <c r="AY278" i="3"/>
  <c r="AY262" i="3"/>
  <c r="AY246" i="3"/>
  <c r="AY230" i="3"/>
  <c r="AY268" i="3"/>
  <c r="AY312" i="3"/>
  <c r="AY356" i="3"/>
  <c r="AY396" i="3"/>
  <c r="AY436" i="3"/>
  <c r="AY480" i="3"/>
  <c r="AY519" i="3"/>
  <c r="AY566" i="3"/>
  <c r="AY441" i="3"/>
  <c r="AY481" i="3"/>
  <c r="AY553" i="3"/>
  <c r="AY508" i="3"/>
  <c r="AY548" i="3"/>
  <c r="AY578" i="3"/>
  <c r="AY407" i="3"/>
  <c r="AY435" i="3"/>
  <c r="AY451" i="3"/>
  <c r="AY467" i="3"/>
  <c r="AY483" i="3"/>
  <c r="AY499" i="3"/>
  <c r="AY563" i="3"/>
  <c r="AY284" i="3"/>
  <c r="AY328" i="3"/>
  <c r="AY372" i="3"/>
  <c r="AY418" i="3"/>
  <c r="AY452" i="3"/>
  <c r="AY496" i="3"/>
  <c r="AY535" i="3"/>
  <c r="AY413" i="3"/>
  <c r="AY457" i="3"/>
  <c r="AY497" i="3"/>
  <c r="AY571" i="3"/>
  <c r="AY524" i="3"/>
  <c r="AY564" i="3"/>
  <c r="AY272" i="3"/>
  <c r="AY288" i="3"/>
  <c r="AY304" i="3"/>
  <c r="AY320" i="3"/>
  <c r="AY336" i="3"/>
  <c r="AY352" i="3"/>
  <c r="AY368" i="3"/>
  <c r="AY384" i="3"/>
  <c r="AY400" i="3"/>
  <c r="AY426" i="3"/>
  <c r="AY557" i="3"/>
  <c r="AY444" i="3"/>
  <c r="AY460" i="3"/>
  <c r="AY476" i="3"/>
  <c r="AY492" i="3"/>
  <c r="AY510" i="3"/>
  <c r="AY526" i="3"/>
  <c r="AY542" i="3"/>
  <c r="AY558" i="3"/>
  <c r="D3" i="6"/>
  <c r="D12" i="6" s="1"/>
  <c r="AY421" i="3"/>
  <c r="AY437" i="3"/>
  <c r="AY453" i="3"/>
  <c r="AY469" i="3"/>
  <c r="AY485" i="3"/>
  <c r="AY505" i="3"/>
  <c r="AY537" i="3"/>
  <c r="AY569" i="3"/>
  <c r="AY579" i="3"/>
  <c r="AY504" i="3"/>
  <c r="AY520" i="3"/>
  <c r="AY536" i="3"/>
  <c r="AY552" i="3"/>
  <c r="AY568" i="3"/>
  <c r="AY581" i="3"/>
  <c r="T40" i="71"/>
  <c r="D40" i="71"/>
  <c r="C19" i="15"/>
  <c r="C20" i="15" s="1"/>
  <c r="C26" i="15" s="1"/>
  <c r="M18" i="9"/>
  <c r="B118" i="9" s="1"/>
  <c r="B14" i="74" s="1"/>
  <c r="B1" i="74" s="1"/>
  <c r="E27" i="6"/>
  <c r="D33" i="43"/>
  <c r="D1" i="43" s="1"/>
  <c r="K6" i="1"/>
  <c r="C34" i="34"/>
  <c r="E6" i="3"/>
  <c r="H29" i="33"/>
  <c r="J29" i="33"/>
  <c r="F29" i="33"/>
  <c r="W28" i="33"/>
  <c r="AC28" i="33"/>
  <c r="T97" i="33"/>
  <c r="E65" i="39"/>
  <c r="H7" i="33"/>
  <c r="AB7" i="33" s="1"/>
  <c r="H7" i="21"/>
  <c r="AB7" i="21" s="1"/>
  <c r="T48" i="21" s="1"/>
  <c r="G48" i="21" s="1"/>
  <c r="C53" i="15"/>
  <c r="Q73" i="67"/>
  <c r="C41" i="77"/>
  <c r="B2" i="77"/>
  <c r="B3" i="77" s="1"/>
  <c r="J7" i="21"/>
  <c r="AC7" i="21" s="1"/>
  <c r="V48" i="21" s="1"/>
  <c r="I48" i="21" s="1"/>
  <c r="J7" i="35"/>
  <c r="W7" i="35" s="1"/>
  <c r="F7" i="34"/>
  <c r="AA7" i="34" s="1"/>
  <c r="J7" i="36"/>
  <c r="W7" i="36" s="1"/>
  <c r="J7" i="34"/>
  <c r="AC7" i="34" s="1"/>
  <c r="V12" i="71"/>
  <c r="E11" i="71"/>
  <c r="E10" i="71" s="1"/>
  <c r="E9" i="71" s="1"/>
  <c r="E8" i="71" s="1"/>
  <c r="E7" i="71" s="1"/>
  <c r="E6" i="71" s="1"/>
  <c r="E5" i="71" s="1"/>
  <c r="F7" i="21"/>
  <c r="S7" i="21" s="1"/>
  <c r="H7" i="35"/>
  <c r="U7" i="35" s="1"/>
  <c r="S16" i="71"/>
  <c r="B15" i="71"/>
  <c r="B14" i="71" s="1"/>
  <c r="B13" i="71" s="1"/>
  <c r="B12" i="71" s="1"/>
  <c r="H7" i="36"/>
  <c r="U7" i="36" s="1"/>
  <c r="D21" i="71"/>
  <c r="C20" i="71"/>
  <c r="D17" i="12"/>
  <c r="C17" i="12" s="1"/>
  <c r="C14" i="12"/>
  <c r="C16" i="12" s="1"/>
  <c r="D20" i="12"/>
  <c r="C20" i="12" s="1"/>
  <c r="C18" i="12" s="1"/>
  <c r="D10" i="68"/>
  <c r="D10" i="11"/>
  <c r="C10" i="11" s="1"/>
  <c r="C20" i="11"/>
  <c r="D21" i="6"/>
  <c r="F7" i="37"/>
  <c r="F1" i="67"/>
  <c r="Q52" i="67"/>
  <c r="H7" i="37"/>
  <c r="D65" i="40"/>
  <c r="E63" i="40"/>
  <c r="J7" i="33"/>
  <c r="H7" i="34"/>
  <c r="Q57" i="67"/>
  <c r="Q66" i="67"/>
  <c r="Q74" i="67"/>
  <c r="Q61" i="67"/>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D69" i="39"/>
  <c r="E67" i="39"/>
  <c r="F7" i="36"/>
  <c r="J7" i="37"/>
  <c r="F7" i="35"/>
  <c r="F7" i="33"/>
  <c r="C34" i="69"/>
  <c r="M29" i="83"/>
  <c r="AE8" i="1"/>
  <c r="F7" i="67"/>
  <c r="F43" i="67"/>
  <c r="F7" i="83"/>
  <c r="D10" i="69"/>
  <c r="F43" i="83"/>
  <c r="AE7" i="1"/>
  <c r="M29" i="67"/>
  <c r="AE6" i="1"/>
  <c r="J17" i="15" l="1"/>
  <c r="C48" i="15"/>
  <c r="J24" i="15"/>
  <c r="F25" i="12"/>
  <c r="C26" i="12" s="1"/>
  <c r="D25" i="12" s="1"/>
  <c r="F24" i="67"/>
  <c r="C24" i="67" s="1"/>
  <c r="F22" i="68"/>
  <c r="C44" i="68" s="1"/>
  <c r="D41" i="68" s="1"/>
  <c r="F24" i="15"/>
  <c r="C24" i="15" s="1"/>
  <c r="J18" i="86"/>
  <c r="J5" i="86"/>
  <c r="J26" i="86" s="1"/>
  <c r="W7" i="21"/>
  <c r="W7" i="34"/>
  <c r="C48" i="86"/>
  <c r="S7" i="34"/>
  <c r="D20" i="6"/>
  <c r="F22" i="69"/>
  <c r="C26" i="69" s="1"/>
  <c r="D22" i="69" s="1"/>
  <c r="D26" i="6"/>
  <c r="L36" i="43"/>
  <c r="O36" i="43" s="1"/>
  <c r="F24" i="83"/>
  <c r="C24" i="83" s="1"/>
  <c r="F22" i="11"/>
  <c r="C23" i="11" s="1"/>
  <c r="W7" i="85"/>
  <c r="AC7" i="85"/>
  <c r="V48" i="85" s="1"/>
  <c r="I48" i="85" s="1"/>
  <c r="M19" i="84"/>
  <c r="C118" i="84" s="1"/>
  <c r="U7" i="21"/>
  <c r="R49" i="82"/>
  <c r="E48" i="82"/>
  <c r="G52" i="82"/>
  <c r="H52" i="82" s="1"/>
  <c r="G53" i="82"/>
  <c r="H53" i="82" s="1"/>
  <c r="I52" i="82"/>
  <c r="J52" i="82" s="1"/>
  <c r="I53" i="82"/>
  <c r="J53" i="82" s="1"/>
  <c r="AC7" i="36"/>
  <c r="V36" i="36" s="1"/>
  <c r="I36" i="36" s="1"/>
  <c r="I40" i="36" s="1"/>
  <c r="J40" i="36" s="1"/>
  <c r="AB7" i="85"/>
  <c r="T48" i="85" s="1"/>
  <c r="G48" i="85" s="1"/>
  <c r="U7" i="85"/>
  <c r="M19" i="81"/>
  <c r="C118" i="81" s="1"/>
  <c r="AA7" i="21"/>
  <c r="R48" i="21" s="1"/>
  <c r="R49" i="21" s="1"/>
  <c r="S7" i="85"/>
  <c r="AA7" i="85"/>
  <c r="R48" i="85" s="1"/>
  <c r="C38" i="86"/>
  <c r="F71" i="83"/>
  <c r="F31" i="83"/>
  <c r="F50" i="83"/>
  <c r="C6" i="83"/>
  <c r="M7" i="83"/>
  <c r="D23" i="6"/>
  <c r="D15" i="6"/>
  <c r="D14" i="6"/>
  <c r="D11" i="6"/>
  <c r="D5" i="6"/>
  <c r="D9" i="6"/>
  <c r="D29" i="6"/>
  <c r="D10" i="6"/>
  <c r="K16" i="1"/>
  <c r="D24" i="6"/>
  <c r="D6" i="6"/>
  <c r="D28" i="6"/>
  <c r="E61" i="40"/>
  <c r="D25" i="6"/>
  <c r="C18" i="4"/>
  <c r="D19" i="6"/>
  <c r="D22" i="6"/>
  <c r="D8" i="6"/>
  <c r="D13" i="6"/>
  <c r="AB7" i="36"/>
  <c r="T36" i="36" s="1"/>
  <c r="G36" i="36" s="1"/>
  <c r="G41" i="36" s="1"/>
  <c r="H41" i="36" s="1"/>
  <c r="F71" i="67"/>
  <c r="M7" i="67"/>
  <c r="F31" i="67"/>
  <c r="C6" i="67"/>
  <c r="F50" i="67"/>
  <c r="K26" i="6"/>
  <c r="M26" i="6" s="1"/>
  <c r="I26" i="6" s="1"/>
  <c r="E31" i="6"/>
  <c r="K19" i="6"/>
  <c r="K25" i="6"/>
  <c r="M25" i="6" s="1"/>
  <c r="I25" i="6" s="1"/>
  <c r="K24" i="6"/>
  <c r="M24" i="6" s="1"/>
  <c r="I24" i="6" s="1"/>
  <c r="K22" i="6"/>
  <c r="M22" i="6" s="1"/>
  <c r="I22" i="6" s="1"/>
  <c r="K20" i="6"/>
  <c r="K21" i="6"/>
  <c r="K23" i="6"/>
  <c r="M23" i="6" s="1"/>
  <c r="I23" i="6" s="1"/>
  <c r="J34" i="34"/>
  <c r="F34" i="34"/>
  <c r="H34" i="34"/>
  <c r="G16" i="1"/>
  <c r="H16" i="1"/>
  <c r="M6" i="1"/>
  <c r="M16" i="1" s="1"/>
  <c r="C34" i="11" s="1"/>
  <c r="Q16" i="1"/>
  <c r="AA29" i="33"/>
  <c r="S29" i="33"/>
  <c r="AB29" i="33"/>
  <c r="U29" i="33"/>
  <c r="P98" i="33"/>
  <c r="P97" i="33"/>
  <c r="P99" i="33"/>
  <c r="H28" i="33" s="1"/>
  <c r="H32" i="33"/>
  <c r="J32" i="33"/>
  <c r="F32" i="33"/>
  <c r="AC29" i="33"/>
  <c r="W29" i="33"/>
  <c r="U7" i="33"/>
  <c r="AC7" i="35"/>
  <c r="V38" i="35" s="1"/>
  <c r="I38" i="35" s="1"/>
  <c r="AB7" i="35"/>
  <c r="T38" i="35" s="1"/>
  <c r="G38" i="35" s="1"/>
  <c r="G42" i="35" s="1"/>
  <c r="H42" i="35" s="1"/>
  <c r="C19" i="71"/>
  <c r="D20" i="71"/>
  <c r="U20" i="71" s="1"/>
  <c r="T20" i="71"/>
  <c r="S12" i="71"/>
  <c r="B11" i="71"/>
  <c r="B10" i="71" s="1"/>
  <c r="B9" i="71" s="1"/>
  <c r="B8" i="71" s="1"/>
  <c r="B7" i="71" s="1"/>
  <c r="B6" i="71" s="1"/>
  <c r="B5" i="71" s="1"/>
  <c r="C35" i="69"/>
  <c r="C38" i="69"/>
  <c r="C10" i="69"/>
  <c r="C8" i="69" s="1"/>
  <c r="D19" i="69"/>
  <c r="D37" i="69" s="1"/>
  <c r="C37" i="69" s="1"/>
  <c r="C4" i="52"/>
  <c r="B45" i="72" s="1"/>
  <c r="A7" i="51"/>
  <c r="B7" i="72" s="1"/>
  <c r="A10" i="51"/>
  <c r="B9" i="72" s="1"/>
  <c r="C10" i="68"/>
  <c r="D19" i="68"/>
  <c r="C21" i="12"/>
  <c r="M19" i="9"/>
  <c r="C118" i="9"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48" i="21"/>
  <c r="E65" i="40"/>
  <c r="F63" i="40"/>
  <c r="S7" i="37"/>
  <c r="AA7" i="37"/>
  <c r="R42" i="37" s="1"/>
  <c r="S7" i="36"/>
  <c r="AA7" i="36"/>
  <c r="R36" i="36" s="1"/>
  <c r="F67" i="39"/>
  <c r="E69" i="39"/>
  <c r="AA7" i="33"/>
  <c r="S7" i="33"/>
  <c r="G40" i="43"/>
  <c r="I40" i="43" s="1"/>
  <c r="E40" i="43"/>
  <c r="E37" i="43"/>
  <c r="G37" i="43"/>
  <c r="I37" i="43" s="1"/>
  <c r="G42" i="43"/>
  <c r="I42" i="43" s="1"/>
  <c r="E42" i="43"/>
  <c r="U7" i="34"/>
  <c r="AB7" i="34"/>
  <c r="AB7" i="37"/>
  <c r="T42" i="37" s="1"/>
  <c r="G42" i="37" s="1"/>
  <c r="U7" i="37"/>
  <c r="I52" i="21"/>
  <c r="J52" i="21" s="1"/>
  <c r="F41" i="86"/>
  <c r="C16" i="67"/>
  <c r="F41" i="67"/>
  <c r="F41" i="83"/>
  <c r="C16" i="83"/>
  <c r="C33" i="83" l="1"/>
  <c r="C32" i="83"/>
  <c r="C66" i="15"/>
  <c r="C60" i="15"/>
  <c r="C59" i="15" s="1"/>
  <c r="C10" i="67"/>
  <c r="C5" i="67" s="1"/>
  <c r="C38" i="67" s="1"/>
  <c r="C33" i="67"/>
  <c r="C32" i="67"/>
  <c r="C66" i="86"/>
  <c r="C60" i="86"/>
  <c r="G40" i="36"/>
  <c r="H40" i="36" s="1"/>
  <c r="J24" i="86"/>
  <c r="F41" i="68"/>
  <c r="C23" i="68"/>
  <c r="C23" i="15"/>
  <c r="C29" i="15" s="1"/>
  <c r="C13" i="15" s="1"/>
  <c r="C37" i="15" s="1"/>
  <c r="C26" i="68"/>
  <c r="D22" i="68" s="1"/>
  <c r="F41" i="69"/>
  <c r="P36" i="43"/>
  <c r="C44" i="69"/>
  <c r="D41" i="69" s="1"/>
  <c r="M36" i="43"/>
  <c r="C24" i="69"/>
  <c r="L37" i="43"/>
  <c r="P37" i="43" s="1"/>
  <c r="Q36" i="43"/>
  <c r="N36" i="43"/>
  <c r="C26" i="11"/>
  <c r="D22" i="11" s="1"/>
  <c r="C25" i="11"/>
  <c r="C24" i="11"/>
  <c r="C44" i="11"/>
  <c r="D41" i="11" s="1"/>
  <c r="J29" i="86"/>
  <c r="F69" i="86"/>
  <c r="C48" i="82"/>
  <c r="C49" i="82"/>
  <c r="R49" i="85"/>
  <c r="E48" i="85"/>
  <c r="I53" i="85" s="1"/>
  <c r="J53" i="85" s="1"/>
  <c r="G53" i="85"/>
  <c r="H53" i="85" s="1"/>
  <c r="G52" i="85"/>
  <c r="H52" i="85" s="1"/>
  <c r="E53" i="82"/>
  <c r="F53" i="82" s="1"/>
  <c r="E52" i="82"/>
  <c r="F52" i="82" s="1"/>
  <c r="I52" i="85"/>
  <c r="J52" i="85" s="1"/>
  <c r="F69" i="83"/>
  <c r="M20" i="6"/>
  <c r="I20" i="6" s="1"/>
  <c r="L18" i="81" s="1"/>
  <c r="S7" i="1"/>
  <c r="E7" i="70" s="1"/>
  <c r="M21" i="6"/>
  <c r="I21" i="6" s="1"/>
  <c r="L18" i="84" s="1"/>
  <c r="S8" i="1"/>
  <c r="D30" i="6"/>
  <c r="C10" i="83"/>
  <c r="C5" i="83" s="1"/>
  <c r="C38" i="83" s="1"/>
  <c r="F59" i="83"/>
  <c r="C49" i="83"/>
  <c r="C61" i="83" s="1"/>
  <c r="D16" i="6"/>
  <c r="D27" i="6"/>
  <c r="J6" i="83"/>
  <c r="M17" i="83"/>
  <c r="C34" i="68"/>
  <c r="C35" i="68" s="1"/>
  <c r="L16" i="1"/>
  <c r="N16" i="1"/>
  <c r="F50" i="68" s="1"/>
  <c r="G43" i="35"/>
  <c r="H43" i="35" s="1"/>
  <c r="I42" i="35"/>
  <c r="J42" i="35" s="1"/>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S25" i="6"/>
  <c r="H25" i="6"/>
  <c r="R25" i="6" s="1"/>
  <c r="J6" i="67"/>
  <c r="M17" i="67"/>
  <c r="AA34" i="34"/>
  <c r="R49" i="34" s="1"/>
  <c r="E49" i="34" s="1"/>
  <c r="E53" i="34" s="1"/>
  <c r="F53" i="34" s="1"/>
  <c r="S34" i="34"/>
  <c r="H20" i="6"/>
  <c r="M19" i="6"/>
  <c r="K27" i="6"/>
  <c r="S6" i="1"/>
  <c r="C49" i="67"/>
  <c r="F59" i="67"/>
  <c r="U28" i="33"/>
  <c r="AB28" i="33"/>
  <c r="AA32" i="33"/>
  <c r="S32" i="33"/>
  <c r="W32" i="33"/>
  <c r="AC32" i="33"/>
  <c r="F28" i="33"/>
  <c r="F31" i="33"/>
  <c r="H31" i="33"/>
  <c r="J31" i="33"/>
  <c r="AB32" i="33"/>
  <c r="U32" i="33"/>
  <c r="D19" i="71"/>
  <c r="C18" i="71"/>
  <c r="F69" i="67"/>
  <c r="C33" i="69"/>
  <c r="C39" i="69" s="1"/>
  <c r="C43" i="69" s="1"/>
  <c r="C22" i="12"/>
  <c r="C35" i="11"/>
  <c r="C38" i="11"/>
  <c r="C19" i="68"/>
  <c r="D37" i="68"/>
  <c r="C37" i="68" s="1"/>
  <c r="G46" i="37"/>
  <c r="H46" i="37" s="1"/>
  <c r="G47" i="37"/>
  <c r="H47" i="37" s="1"/>
  <c r="I46" i="37"/>
  <c r="J46" i="37" s="1"/>
  <c r="E53" i="21"/>
  <c r="F53" i="21" s="1"/>
  <c r="E52" i="21"/>
  <c r="F52" i="21" s="1"/>
  <c r="C49" i="21"/>
  <c r="C48" i="21"/>
  <c r="E38" i="35"/>
  <c r="R39" i="35"/>
  <c r="I53" i="21"/>
  <c r="J53" i="21" s="1"/>
  <c r="F65" i="40"/>
  <c r="G63" i="40"/>
  <c r="C31" i="43"/>
  <c r="F69" i="39"/>
  <c r="G67" i="39"/>
  <c r="C7" i="69"/>
  <c r="C5" i="69" s="1"/>
  <c r="R43" i="37"/>
  <c r="E42" i="37"/>
  <c r="E36" i="36"/>
  <c r="R37" i="36"/>
  <c r="C30" i="43"/>
  <c r="C14" i="83"/>
  <c r="C17" i="83"/>
  <c r="C17" i="86"/>
  <c r="C14" i="67"/>
  <c r="C17" i="67"/>
  <c r="E6" i="76"/>
  <c r="C14" i="86"/>
  <c r="C56" i="15" l="1"/>
  <c r="C65" i="15" s="1"/>
  <c r="J59" i="15"/>
  <c r="J60" i="15" s="1"/>
  <c r="Q48" i="15" s="1"/>
  <c r="Q70" i="15"/>
  <c r="C36" i="15"/>
  <c r="C30" i="15" s="1"/>
  <c r="C39" i="15" s="1"/>
  <c r="Q69" i="15" s="1"/>
  <c r="C75" i="15"/>
  <c r="J14" i="15"/>
  <c r="J13" i="15" s="1"/>
  <c r="J23" i="15" s="1"/>
  <c r="Q49" i="15"/>
  <c r="C57" i="15"/>
  <c r="C64" i="15" s="1"/>
  <c r="N37" i="43"/>
  <c r="S20" i="6"/>
  <c r="O37" i="43"/>
  <c r="D31" i="6"/>
  <c r="I5" i="6" s="1"/>
  <c r="M37" i="43"/>
  <c r="Q37" i="43"/>
  <c r="H21" i="6"/>
  <c r="R21" i="6" s="1"/>
  <c r="R8" i="1" s="1"/>
  <c r="C22" i="11"/>
  <c r="C15" i="86"/>
  <c r="C18" i="86"/>
  <c r="E52" i="85"/>
  <c r="F52" i="85" s="1"/>
  <c r="E53" i="85"/>
  <c r="F53" i="85" s="1"/>
  <c r="R20" i="6"/>
  <c r="R7" i="1" s="1"/>
  <c r="L19" i="81"/>
  <c r="C49" i="85"/>
  <c r="C48" i="85"/>
  <c r="B3" i="82"/>
  <c r="B2" i="82"/>
  <c r="E8" i="70"/>
  <c r="AR7" i="1"/>
  <c r="T7" i="1"/>
  <c r="AQ7" i="1"/>
  <c r="AR8" i="1"/>
  <c r="T8" i="1"/>
  <c r="AQ8" i="1"/>
  <c r="C15" i="83"/>
  <c r="C18" i="83"/>
  <c r="J18" i="83"/>
  <c r="J19" i="83"/>
  <c r="J5" i="83"/>
  <c r="C48" i="83"/>
  <c r="C38" i="68"/>
  <c r="C33" i="68" s="1"/>
  <c r="C42" i="68" s="1"/>
  <c r="I54" i="34"/>
  <c r="J54" i="34" s="1"/>
  <c r="F50" i="69"/>
  <c r="I6" i="6"/>
  <c r="F50" i="11"/>
  <c r="C15" i="67"/>
  <c r="C18" i="67"/>
  <c r="G49" i="34"/>
  <c r="R50" i="34"/>
  <c r="C50" i="34" s="1"/>
  <c r="C30" i="12"/>
  <c r="C28" i="12" s="1"/>
  <c r="C61" i="67"/>
  <c r="C48" i="67"/>
  <c r="C29" i="68"/>
  <c r="D27" i="68" s="1"/>
  <c r="C47" i="68"/>
  <c r="D45" i="68" s="1"/>
  <c r="F45" i="68"/>
  <c r="U10" i="39"/>
  <c r="AB10" i="39"/>
  <c r="AQ6" i="1"/>
  <c r="S16" i="1"/>
  <c r="E6" i="70"/>
  <c r="T6" i="1"/>
  <c r="AR6" i="1"/>
  <c r="J18" i="67"/>
  <c r="J5" i="67"/>
  <c r="J19" i="67"/>
  <c r="C29" i="11"/>
  <c r="D27" i="11" s="1"/>
  <c r="C28" i="11"/>
  <c r="C27" i="11" s="1"/>
  <c r="C47" i="11"/>
  <c r="D45" i="11" s="1"/>
  <c r="AA10" i="40"/>
  <c r="S10" i="40"/>
  <c r="S10" i="39"/>
  <c r="AA10" i="39"/>
  <c r="AB10" i="40"/>
  <c r="U10" i="40"/>
  <c r="AC10" i="40"/>
  <c r="W10" i="40"/>
  <c r="I19" i="6"/>
  <c r="M27" i="6"/>
  <c r="AC10" i="39"/>
  <c r="W10" i="39"/>
  <c r="AB31" i="33"/>
  <c r="T48" i="33" s="1"/>
  <c r="G48" i="33" s="1"/>
  <c r="U31" i="33"/>
  <c r="S31" i="33"/>
  <c r="AA31" i="33"/>
  <c r="AA28" i="33"/>
  <c r="R48" i="33" s="1"/>
  <c r="S28" i="33"/>
  <c r="AC31" i="33"/>
  <c r="V48" i="33" s="1"/>
  <c r="I48" i="33" s="1"/>
  <c r="I52" i="33" s="1"/>
  <c r="J52" i="33" s="1"/>
  <c r="W31" i="33"/>
  <c r="D18" i="71"/>
  <c r="C17" i="71"/>
  <c r="C42" i="69"/>
  <c r="C41" i="69" s="1"/>
  <c r="C27" i="12"/>
  <c r="C25" i="12" s="1"/>
  <c r="C46" i="69"/>
  <c r="C45" i="69" s="1"/>
  <c r="C33" i="11"/>
  <c r="C42" i="11" s="1"/>
  <c r="C24" i="68"/>
  <c r="C20" i="68"/>
  <c r="C25" i="68"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L51" i="15"/>
  <c r="B6" i="76"/>
  <c r="M21" i="86"/>
  <c r="F35" i="86"/>
  <c r="C34" i="86" l="1"/>
  <c r="C31" i="86" s="1"/>
  <c r="C66" i="67"/>
  <c r="C60" i="67"/>
  <c r="C66" i="83"/>
  <c r="C60" i="83"/>
  <c r="Q68" i="15"/>
  <c r="C40" i="15"/>
  <c r="Q65" i="15" s="1"/>
  <c r="L46" i="15"/>
  <c r="J22" i="15"/>
  <c r="J16" i="15" s="1"/>
  <c r="J25" i="15" s="1"/>
  <c r="C58" i="15"/>
  <c r="C67" i="15" s="1"/>
  <c r="C68" i="15" s="1"/>
  <c r="C71" i="15" s="1"/>
  <c r="C80" i="15"/>
  <c r="C79" i="15" s="1"/>
  <c r="L19" i="84"/>
  <c r="C19" i="86"/>
  <c r="C20" i="86" s="1"/>
  <c r="F63" i="86"/>
  <c r="C62" i="86" s="1"/>
  <c r="C59" i="86" s="1"/>
  <c r="J20" i="86"/>
  <c r="J17" i="86" s="1"/>
  <c r="T16" i="1"/>
  <c r="E2" i="70"/>
  <c r="B2" i="85"/>
  <c r="B3" i="85"/>
  <c r="C19" i="83"/>
  <c r="C20" i="83" s="1"/>
  <c r="C26" i="83" s="1"/>
  <c r="J26" i="83"/>
  <c r="J29" i="83" s="1"/>
  <c r="J24" i="83"/>
  <c r="C31" i="11"/>
  <c r="Q67" i="15"/>
  <c r="L57" i="15"/>
  <c r="L60" i="15" s="1"/>
  <c r="Q66" i="15" s="1"/>
  <c r="C19" i="67"/>
  <c r="C20" i="67" s="1"/>
  <c r="C26" i="67" s="1"/>
  <c r="C49" i="34"/>
  <c r="C32" i="12"/>
  <c r="B2" i="12" s="1"/>
  <c r="B3" i="12" s="1"/>
  <c r="J26" i="67"/>
  <c r="J29" i="67" s="1"/>
  <c r="J24" i="67"/>
  <c r="G54" i="34"/>
  <c r="H54" i="34" s="1"/>
  <c r="E54" i="34"/>
  <c r="F54" i="34" s="1"/>
  <c r="G53" i="34"/>
  <c r="H53" i="34" s="1"/>
  <c r="S19" i="6"/>
  <c r="S27" i="6" s="1"/>
  <c r="I27" i="6"/>
  <c r="L18" i="9"/>
  <c r="H19" i="6"/>
  <c r="E48" i="33"/>
  <c r="R49" i="33"/>
  <c r="G52" i="33"/>
  <c r="H52" i="33" s="1"/>
  <c r="G53" i="33"/>
  <c r="H53" i="33" s="1"/>
  <c r="C39" i="11"/>
  <c r="C43" i="11" s="1"/>
  <c r="C41" i="11" s="1"/>
  <c r="C16" i="71"/>
  <c r="D17" i="71"/>
  <c r="C49" i="69"/>
  <c r="C51" i="69" s="1"/>
  <c r="C39" i="68"/>
  <c r="C43" i="68" s="1"/>
  <c r="C41" i="68" s="1"/>
  <c r="C28" i="68"/>
  <c r="C27" i="68" s="1"/>
  <c r="C22" i="68"/>
  <c r="C22" i="69"/>
  <c r="C28" i="69"/>
  <c r="C27" i="69" s="1"/>
  <c r="B2" i="76"/>
  <c r="B3" i="76" s="1"/>
  <c r="H65" i="40"/>
  <c r="I63" i="40"/>
  <c r="B3" i="43"/>
  <c r="H69" i="39"/>
  <c r="I67" i="39"/>
  <c r="B3" i="34"/>
  <c r="B2" i="34"/>
  <c r="C19" i="84"/>
  <c r="C20" i="84"/>
  <c r="C43" i="15" l="1"/>
  <c r="Q56" i="15"/>
  <c r="B2" i="15"/>
  <c r="B3" i="15" s="1"/>
  <c r="C83" i="15"/>
  <c r="C82" i="15" s="1"/>
  <c r="Q47" i="15"/>
  <c r="Q53" i="15" s="1"/>
  <c r="Q75" i="15"/>
  <c r="C46" i="15"/>
  <c r="C26" i="86"/>
  <c r="C23" i="86"/>
  <c r="C103" i="84"/>
  <c r="C21" i="84"/>
  <c r="C102" i="84"/>
  <c r="C23" i="83"/>
  <c r="C29" i="83" s="1"/>
  <c r="Q57" i="15"/>
  <c r="Q62" i="15" s="1"/>
  <c r="C23" i="67"/>
  <c r="C29" i="67" s="1"/>
  <c r="C57" i="67" s="1"/>
  <c r="C64" i="67" s="1"/>
  <c r="C46" i="11"/>
  <c r="C45" i="11" s="1"/>
  <c r="C49" i="11" s="1"/>
  <c r="C51" i="11" s="1"/>
  <c r="C52" i="11" s="1"/>
  <c r="B2" i="11" s="1"/>
  <c r="B3" i="11" s="1"/>
  <c r="R19" i="6"/>
  <c r="H27" i="6"/>
  <c r="L19" i="9"/>
  <c r="C49" i="33"/>
  <c r="B2" i="33" s="1"/>
  <c r="C48" i="33"/>
  <c r="I53" i="33"/>
  <c r="J53" i="33" s="1"/>
  <c r="E53" i="33"/>
  <c r="F53" i="33" s="1"/>
  <c r="E52" i="33"/>
  <c r="F52" i="33" s="1"/>
  <c r="T16" i="71"/>
  <c r="D16" i="71"/>
  <c r="C15" i="71"/>
  <c r="C46" i="68"/>
  <c r="C45" i="68" s="1"/>
  <c r="C49" i="68" s="1"/>
  <c r="C51" i="68" s="1"/>
  <c r="C31" i="68"/>
  <c r="C31" i="69"/>
  <c r="C52" i="69" s="1"/>
  <c r="B2" i="69" s="1"/>
  <c r="I65" i="40"/>
  <c r="J63" i="40"/>
  <c r="I69" i="39"/>
  <c r="J67" i="39"/>
  <c r="C19" i="81"/>
  <c r="B3" i="69"/>
  <c r="C19" i="9"/>
  <c r="C29" i="86" l="1"/>
  <c r="C36" i="86" s="1"/>
  <c r="C102" i="81"/>
  <c r="C21" i="81"/>
  <c r="J14" i="83"/>
  <c r="J59" i="83"/>
  <c r="J60" i="83" s="1"/>
  <c r="C36" i="83"/>
  <c r="Q49" i="83"/>
  <c r="C57" i="83"/>
  <c r="C64" i="83" s="1"/>
  <c r="C13" i="83"/>
  <c r="J14" i="67"/>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C20" i="81"/>
  <c r="M21" i="67"/>
  <c r="C20" i="9"/>
  <c r="M21" i="83"/>
  <c r="F35" i="67"/>
  <c r="F35" i="83"/>
  <c r="C34" i="83" l="1"/>
  <c r="C31" i="83" s="1"/>
  <c r="C34" i="67"/>
  <c r="C31" i="67" s="1"/>
  <c r="J59" i="86"/>
  <c r="J60" i="86" s="1"/>
  <c r="Q48" i="86" s="1"/>
  <c r="J14" i="86"/>
  <c r="C13" i="86"/>
  <c r="C57" i="86"/>
  <c r="C64" i="86" s="1"/>
  <c r="Q49" i="86"/>
  <c r="C103" i="81"/>
  <c r="Q48" i="83"/>
  <c r="L46" i="83"/>
  <c r="C56" i="83"/>
  <c r="C65" i="83" s="1"/>
  <c r="Q70" i="83"/>
  <c r="C37" i="83"/>
  <c r="C75" i="83"/>
  <c r="J22" i="83"/>
  <c r="J13" i="83"/>
  <c r="J23" i="83" s="1"/>
  <c r="F63" i="83"/>
  <c r="C62" i="83" s="1"/>
  <c r="C59" i="83" s="1"/>
  <c r="J20" i="83"/>
  <c r="J17" i="83" s="1"/>
  <c r="C56" i="67"/>
  <c r="C65" i="67" s="1"/>
  <c r="J13" i="67"/>
  <c r="J23" i="67" s="1"/>
  <c r="Q70" i="67"/>
  <c r="C37" i="67"/>
  <c r="C30" i="67" s="1"/>
  <c r="C39" i="67" s="1"/>
  <c r="Q69" i="67" s="1"/>
  <c r="L46" i="67"/>
  <c r="Q48" i="67"/>
  <c r="J20" i="67"/>
  <c r="J17" i="67" s="1"/>
  <c r="F63" i="67"/>
  <c r="C62" i="67" s="1"/>
  <c r="C59" i="67" s="1"/>
  <c r="R16" i="1"/>
  <c r="C103" i="9"/>
  <c r="D14" i="71"/>
  <c r="C13" i="71"/>
  <c r="C57" i="68"/>
  <c r="C56" i="68" s="1"/>
  <c r="K65" i="40"/>
  <c r="L63" i="40"/>
  <c r="K69" i="39"/>
  <c r="L67" i="39"/>
  <c r="C30" i="83" l="1"/>
  <c r="C39" i="83" s="1"/>
  <c r="C80" i="83" s="1"/>
  <c r="C79" i="83" s="1"/>
  <c r="C58" i="83"/>
  <c r="C67" i="83" s="1"/>
  <c r="C68" i="83" s="1"/>
  <c r="C71" i="83" s="1"/>
  <c r="L46" i="86"/>
  <c r="C37" i="86"/>
  <c r="C30" i="86" s="1"/>
  <c r="C39" i="86" s="1"/>
  <c r="C56" i="86"/>
  <c r="C65" i="86" s="1"/>
  <c r="C58" i="86" s="1"/>
  <c r="C67" i="86" s="1"/>
  <c r="C68" i="86" s="1"/>
  <c r="C71" i="86" s="1"/>
  <c r="C75" i="86"/>
  <c r="Q70" i="86"/>
  <c r="J22" i="86"/>
  <c r="J13" i="86"/>
  <c r="J23" i="86" s="1"/>
  <c r="C40" i="83"/>
  <c r="J16" i="83"/>
  <c r="J25" i="83" s="1"/>
  <c r="C58" i="67"/>
  <c r="C67" i="67" s="1"/>
  <c r="C68" i="67" s="1"/>
  <c r="C71" i="67" s="1"/>
  <c r="Q68" i="67"/>
  <c r="J16" i="67"/>
  <c r="J25" i="67" s="1"/>
  <c r="H40" i="67"/>
  <c r="C40" i="67"/>
  <c r="Q47" i="67" s="1"/>
  <c r="Q53" i="67" s="1"/>
  <c r="C80" i="67"/>
  <c r="C79" i="67" s="1"/>
  <c r="D13" i="71"/>
  <c r="C12" i="71"/>
  <c r="L65" i="40"/>
  <c r="M63" i="40"/>
  <c r="L69" i="39"/>
  <c r="M67" i="39"/>
  <c r="L51" i="83"/>
  <c r="L51" i="67"/>
  <c r="L51" i="86"/>
  <c r="Q69" i="83" l="1"/>
  <c r="Q68" i="83" s="1"/>
  <c r="H40" i="83"/>
  <c r="Q67" i="83"/>
  <c r="C80" i="86"/>
  <c r="C79" i="86" s="1"/>
  <c r="Q69" i="86"/>
  <c r="Q68" i="86" s="1"/>
  <c r="C40" i="86"/>
  <c r="C45" i="86" s="1"/>
  <c r="C46" i="86" s="1"/>
  <c r="H40" i="86"/>
  <c r="J16" i="86"/>
  <c r="J25" i="86" s="1"/>
  <c r="Q67" i="86"/>
  <c r="C45" i="83"/>
  <c r="C46" i="83" s="1"/>
  <c r="C43" i="83"/>
  <c r="D2" i="83"/>
  <c r="Q65" i="83"/>
  <c r="Q75" i="83" s="1"/>
  <c r="Q56" i="83"/>
  <c r="Q62" i="83" s="1"/>
  <c r="Q47" i="83"/>
  <c r="Q53" i="83" s="1"/>
  <c r="C83" i="83"/>
  <c r="C82" i="83" s="1"/>
  <c r="Q67" i="67"/>
  <c r="C83" i="67"/>
  <c r="C82" i="67" s="1"/>
  <c r="D2" i="67"/>
  <c r="B3" i="67" s="1"/>
  <c r="C43" i="67"/>
  <c r="Q56" i="67"/>
  <c r="Q62" i="67" s="1"/>
  <c r="C45" i="67"/>
  <c r="C46" i="67" s="1"/>
  <c r="Q65" i="67"/>
  <c r="Q75" i="67" s="1"/>
  <c r="T12" i="71"/>
  <c r="D12" i="71"/>
  <c r="U12" i="71" s="1"/>
  <c r="C11" i="71"/>
  <c r="M69" i="39"/>
  <c r="N67" i="39"/>
  <c r="M65" i="40"/>
  <c r="N63" i="40"/>
  <c r="D20" i="9"/>
  <c r="D2" i="86" l="1"/>
  <c r="B3" i="86" s="1"/>
  <c r="Q65" i="86"/>
  <c r="Q75" i="86" s="1"/>
  <c r="Q47" i="86"/>
  <c r="Q53" i="86" s="1"/>
  <c r="C43" i="86"/>
  <c r="Q56" i="86"/>
  <c r="Q62" i="86" s="1"/>
  <c r="C83" i="86"/>
  <c r="C82" i="86" s="1"/>
  <c r="B2" i="83"/>
  <c r="B3" i="83"/>
  <c r="B2" i="67"/>
  <c r="D103" i="9"/>
  <c r="G20" i="9"/>
  <c r="D11" i="71"/>
  <c r="C10" i="71"/>
  <c r="N65" i="40"/>
  <c r="O63" i="40"/>
  <c r="O65" i="40" s="1"/>
  <c r="N69" i="39"/>
  <c r="O67" i="39"/>
  <c r="O69" i="39" s="1"/>
  <c r="D35" i="81"/>
  <c r="D19" i="9"/>
  <c r="D34" i="84"/>
  <c r="D20" i="81"/>
  <c r="D35" i="9"/>
  <c r="D19" i="81"/>
  <c r="D34" i="81"/>
  <c r="D35" i="84"/>
  <c r="D34" i="9"/>
  <c r="AO6" i="1"/>
  <c r="AO7" i="1"/>
  <c r="D20" i="84"/>
  <c r="C32" i="9" l="1"/>
  <c r="I118" i="9" s="1"/>
  <c r="H118" i="9" s="1"/>
  <c r="D14" i="74" s="1"/>
  <c r="L25" i="84"/>
  <c r="B2" i="86"/>
  <c r="D103" i="84"/>
  <c r="G20" i="84"/>
  <c r="G20" i="81"/>
  <c r="D103" i="81"/>
  <c r="B7" i="70"/>
  <c r="D21" i="81"/>
  <c r="D102" i="81"/>
  <c r="D22" i="81"/>
  <c r="G19" i="81"/>
  <c r="B6" i="70"/>
  <c r="D22" i="9"/>
  <c r="G19" i="9"/>
  <c r="D102" i="9"/>
  <c r="D21" i="9"/>
  <c r="D10" i="71"/>
  <c r="C9" i="71"/>
  <c r="J7" i="39"/>
  <c r="F7" i="39"/>
  <c r="H7" i="39"/>
  <c r="F7" i="40"/>
  <c r="H7" i="40"/>
  <c r="J7" i="40"/>
  <c r="D19" i="84"/>
  <c r="AO8" i="1"/>
  <c r="H102" i="9" l="1"/>
  <c r="R24" i="31" s="1"/>
  <c r="I4" i="52"/>
  <c r="C105" i="9"/>
  <c r="C35" i="9"/>
  <c r="G118" i="9" s="1"/>
  <c r="E14" i="74"/>
  <c r="G21" i="9"/>
  <c r="M25" i="84"/>
  <c r="G21" i="81"/>
  <c r="M26" i="84"/>
  <c r="C32" i="81"/>
  <c r="C35" i="81" s="1"/>
  <c r="G118" i="81" s="1"/>
  <c r="F118" i="81" s="1"/>
  <c r="F119" i="81" s="1"/>
  <c r="L26" i="84"/>
  <c r="C32" i="84"/>
  <c r="I118" i="84" s="1"/>
  <c r="L27" i="84"/>
  <c r="B8" i="70"/>
  <c r="B2" i="70" s="1"/>
  <c r="B3" i="70" s="1"/>
  <c r="D102" i="84"/>
  <c r="D21" i="84"/>
  <c r="D22" i="84"/>
  <c r="G19" i="84"/>
  <c r="C8" i="71"/>
  <c r="D9" i="71"/>
  <c r="H4" i="52"/>
  <c r="H119" i="9"/>
  <c r="H5" i="52" s="1"/>
  <c r="C104" i="9"/>
  <c r="H101" i="9"/>
  <c r="D7" i="53"/>
  <c r="B21" i="72" s="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C34" i="9" l="1"/>
  <c r="C34" i="81"/>
  <c r="C35" i="84"/>
  <c r="G118" i="84" s="1"/>
  <c r="F118" i="84" s="1"/>
  <c r="F119" i="84" s="1"/>
  <c r="I118" i="81"/>
  <c r="H102" i="81" s="1"/>
  <c r="G21" i="84"/>
  <c r="M27" i="84"/>
  <c r="M28" i="84" s="1"/>
  <c r="H118" i="84"/>
  <c r="H102" i="84"/>
  <c r="C105" i="84"/>
  <c r="G4" i="52"/>
  <c r="B52" i="72" s="1"/>
  <c r="F118" i="9"/>
  <c r="E118" i="9"/>
  <c r="D8" i="71"/>
  <c r="C7" i="71"/>
  <c r="H107" i="9"/>
  <c r="M48" i="9"/>
  <c r="D5" i="53"/>
  <c r="D45" i="9"/>
  <c r="D59" i="9" s="1"/>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C34" i="84" l="1"/>
  <c r="E118" i="81"/>
  <c r="D118" i="81" s="1"/>
  <c r="D119" i="81" s="1"/>
  <c r="E118" i="84"/>
  <c r="D118" i="84" s="1"/>
  <c r="D119" i="84" s="1"/>
  <c r="H118" i="81"/>
  <c r="C104" i="81" s="1"/>
  <c r="C105" i="81"/>
  <c r="H119" i="84"/>
  <c r="C104" i="84"/>
  <c r="H101" i="84"/>
  <c r="M55" i="9"/>
  <c r="E4" i="52"/>
  <c r="B48" i="72" s="1"/>
  <c r="D118" i="9"/>
  <c r="F4" i="52"/>
  <c r="B51" i="72" s="1"/>
  <c r="F119" i="9"/>
  <c r="F5" i="52" s="1"/>
  <c r="B53" i="72" s="1"/>
  <c r="D7" i="71"/>
  <c r="C6" i="71"/>
  <c r="C64" i="9"/>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H119" i="81" l="1"/>
  <c r="H101" i="81"/>
  <c r="D45" i="81" s="1"/>
  <c r="C78" i="81" s="1"/>
  <c r="C73" i="81" s="1"/>
  <c r="M48" i="84"/>
  <c r="D45" i="84"/>
  <c r="H107" i="84"/>
  <c r="D4" i="52"/>
  <c r="B47" i="72" s="1"/>
  <c r="D119" i="9"/>
  <c r="D5" i="52" s="1"/>
  <c r="B49" i="72" s="1"/>
  <c r="D6" i="71"/>
  <c r="C5" i="71"/>
  <c r="C79" i="9"/>
  <c r="C80" i="9" s="1"/>
  <c r="E80" i="9" s="1"/>
  <c r="E81" i="9" s="1"/>
  <c r="R22" i="31"/>
  <c r="B20" i="31"/>
  <c r="B21" i="31"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C64" i="81" l="1"/>
  <c r="C63" i="81" s="1"/>
  <c r="C67" i="81" s="1"/>
  <c r="C68" i="81" s="1"/>
  <c r="D54" i="81" s="1"/>
  <c r="D48" i="81" s="1"/>
  <c r="M52" i="81" s="1"/>
  <c r="D52" i="81"/>
  <c r="H107" i="81"/>
  <c r="M49" i="81" s="1"/>
  <c r="L67" i="81" s="1"/>
  <c r="M67" i="81" s="1"/>
  <c r="C93" i="81"/>
  <c r="C86" i="81" s="1"/>
  <c r="D55" i="81"/>
  <c r="M53" i="81" s="1"/>
  <c r="C85" i="81"/>
  <c r="D59" i="81"/>
  <c r="M55" i="81" s="1"/>
  <c r="C72" i="81"/>
  <c r="C79" i="81" s="1"/>
  <c r="D53" i="81"/>
  <c r="M48" i="81"/>
  <c r="D122" i="84"/>
  <c r="D123" i="84" s="1"/>
  <c r="H108" i="84"/>
  <c r="M49" i="84"/>
  <c r="C93" i="84"/>
  <c r="C86" i="84" s="1"/>
  <c r="C85" i="84"/>
  <c r="D55" i="84"/>
  <c r="M53" i="84" s="1"/>
  <c r="C72" i="84"/>
  <c r="C64" i="84"/>
  <c r="C63" i="84" s="1"/>
  <c r="C67" i="84" s="1"/>
  <c r="C68" i="84" s="1"/>
  <c r="D54" i="84" s="1"/>
  <c r="D48" i="84" s="1"/>
  <c r="M52" i="84" s="1"/>
  <c r="C78" i="84"/>
  <c r="C73" i="84" s="1"/>
  <c r="D52" i="84"/>
  <c r="D59" i="84"/>
  <c r="M55" i="84" s="1"/>
  <c r="D53" i="84"/>
  <c r="D5" i="71"/>
  <c r="M24" i="43" s="1"/>
  <c r="C81" i="9"/>
  <c r="D58" i="9" s="1"/>
  <c r="D56" i="9" s="1"/>
  <c r="M54" i="9" s="1"/>
  <c r="N57" i="9" s="1"/>
  <c r="N59" i="9" s="1"/>
  <c r="C96" i="9"/>
  <c r="E96" i="9" s="1"/>
  <c r="E97" i="9" s="1"/>
  <c r="M69" i="9"/>
  <c r="N69" i="9" s="1"/>
  <c r="G14" i="74"/>
  <c r="B6" i="74" s="1"/>
  <c r="F14" i="74"/>
  <c r="B5" i="74"/>
  <c r="E5" i="74" s="1"/>
  <c r="F5" i="74" s="1"/>
  <c r="C95" i="81" l="1"/>
  <c r="C96" i="81" s="1"/>
  <c r="E96" i="81" s="1"/>
  <c r="E97" i="81" s="1"/>
  <c r="L65" i="81"/>
  <c r="M65" i="81" s="1"/>
  <c r="L66" i="81"/>
  <c r="M66" i="81" s="1"/>
  <c r="L68" i="81"/>
  <c r="M68" i="81" s="1"/>
  <c r="L64" i="81"/>
  <c r="M64" i="81" s="1"/>
  <c r="L63" i="81"/>
  <c r="M63" i="81" s="1"/>
  <c r="D122" i="81"/>
  <c r="D123" i="81" s="1"/>
  <c r="H108" i="81"/>
  <c r="C95" i="84"/>
  <c r="C96" i="84" s="1"/>
  <c r="E96" i="84" s="1"/>
  <c r="E97" i="84" s="1"/>
  <c r="C80" i="81"/>
  <c r="E80" i="81" s="1"/>
  <c r="E81" i="81" s="1"/>
  <c r="C79" i="84"/>
  <c r="L63" i="84"/>
  <c r="M63" i="84" s="1"/>
  <c r="L68" i="84"/>
  <c r="M68" i="84" s="1"/>
  <c r="L67" i="84"/>
  <c r="M67" i="84" s="1"/>
  <c r="L65" i="84"/>
  <c r="M65" i="84" s="1"/>
  <c r="L66" i="84"/>
  <c r="M66" i="84" s="1"/>
  <c r="L64" i="84"/>
  <c r="M64" i="84" s="1"/>
  <c r="N61" i="9"/>
  <c r="H112" i="9" s="1"/>
  <c r="D21" i="53" s="1"/>
  <c r="B39" i="72" s="1"/>
  <c r="C97" i="9"/>
  <c r="T24" i="31"/>
  <c r="T22" i="31" s="1"/>
  <c r="N58" i="9"/>
  <c r="N60" i="9"/>
  <c r="P57" i="9"/>
  <c r="H111" i="9"/>
  <c r="D19" i="53" s="1"/>
  <c r="D6" i="74"/>
  <c r="C6" i="74"/>
  <c r="D5" i="74"/>
  <c r="C5" i="74"/>
  <c r="C97" i="81" l="1"/>
  <c r="M69" i="81"/>
  <c r="N69" i="81" s="1"/>
  <c r="C81" i="81"/>
  <c r="D58" i="81" s="1"/>
  <c r="D56" i="81" s="1"/>
  <c r="M54" i="81" s="1"/>
  <c r="N57" i="81" s="1"/>
  <c r="C97" i="84"/>
  <c r="M69" i="84"/>
  <c r="N69" i="84" s="1"/>
  <c r="C80" i="84"/>
  <c r="E80" i="84" s="1"/>
  <c r="E81" i="84" s="1"/>
  <c r="U24" i="31"/>
  <c r="D126" i="9"/>
  <c r="D127" i="9" s="1"/>
  <c r="D13" i="52" s="1"/>
  <c r="B38" i="72"/>
  <c r="D20" i="53"/>
  <c r="B40" i="72" s="1"/>
  <c r="U22" i="31"/>
  <c r="B8" i="74"/>
  <c r="E8" i="74" s="1"/>
  <c r="F8" i="74" s="1"/>
  <c r="C81" i="84" l="1"/>
  <c r="D58" i="84" s="1"/>
  <c r="D56" i="84" s="1"/>
  <c r="M54" i="84" s="1"/>
  <c r="N57" i="84" s="1"/>
  <c r="P57" i="84" s="1"/>
  <c r="N58" i="81"/>
  <c r="P57" i="81"/>
  <c r="N59" i="81"/>
  <c r="D12" i="52"/>
  <c r="C8" i="74"/>
  <c r="D8" i="74"/>
  <c r="N59" i="84" l="1"/>
  <c r="N60" i="84" s="1"/>
  <c r="N58" i="84"/>
  <c r="N60" i="81"/>
  <c r="N61" i="81"/>
  <c r="N61" i="8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9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9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900-000003000000}">
      <text>
        <r>
          <rPr>
            <sz val="11"/>
            <rFont val="宋体"/>
            <family val="3"/>
            <charset val="134"/>
          </rPr>
          <t>需在下方列示计算过程</t>
        </r>
        <r>
          <rPr>
            <sz val="9"/>
            <rFont val="宋体"/>
            <family val="3"/>
            <charset val="134"/>
          </rPr>
          <t xml:space="preserve">
</t>
        </r>
      </text>
    </comment>
    <comment ref="H75" authorId="2" shapeId="0" xr:uid="{00000000-0006-0000-29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C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C00-000003000000}">
      <text>
        <r>
          <rPr>
            <sz val="11"/>
            <rFont val="宋体"/>
            <family val="3"/>
            <charset val="134"/>
          </rPr>
          <t>需在下方列示计算过程</t>
        </r>
        <r>
          <rPr>
            <sz val="9"/>
            <rFont val="宋体"/>
            <family val="3"/>
            <charset val="134"/>
          </rPr>
          <t xml:space="preserve">
</t>
        </r>
      </text>
    </comment>
    <comment ref="H75" authorId="2" shapeId="0" xr:uid="{00000000-0006-0000-2C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<sst xmlns="http://schemas.openxmlformats.org/spreadsheetml/2006/main" count="10359" uniqueCount="2879">
  <si>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</si>
  <si>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</si>
  <si>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</si>
  <si>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</si>
  <si>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</si>
  <si>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</si>
  <si>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</si>
  <si>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</si>
  <si>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</si>
  <si>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</si>
  <si>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</si>
  <si>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</si>
  <si>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</si>
  <si>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</si>
  <si>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</si>
  <si>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</si>
  <si>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</si>
  <si>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</si>
  <si>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</si>
  <si>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</si>
  <si>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</si>
  <si>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</si>
  <si>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</si>
  <si>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</si>
  <si>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</si>
  <si>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</si>
  <si>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</si>
  <si>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</si>
  <si>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</si>
  <si>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</si>
  <si>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</si>
  <si>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</si>
  <si>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</si>
  <si>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</si>
  <si>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</si>
  <si>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</si>
  <si>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</si>
  <si>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</si>
  <si>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</si>
  <si>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</si>
  <si>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</si>
  <si>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</si>
  <si>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</si>
  <si>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</si>
  <si>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</si>
  <si>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</si>
  <si>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</si>
  <si>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</si>
  <si>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</si>
  <si>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</si>
  <si>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</si>
  <si>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</si>
  <si>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</si>
  <si>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</si>
  <si>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</si>
  <si>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</si>
  <si>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</si>
  <si>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</si>
  <si>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</si>
  <si>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</si>
  <si>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</si>
  <si>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</si>
  <si>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</si>
  <si>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</si>
  <si>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</si>
  <si>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</si>
  <si>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</si>
  <si>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</si>
  <si>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</si>
  <si>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</si>
  <si>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</si>
  <si>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</si>
  <si>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</si>
  <si>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</si>
  <si>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</si>
  <si>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</si>
  <si>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</si>
  <si>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</si>
  <si>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</si>
  <si>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</si>
  <si>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</si>
  <si>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</si>
  <si>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</si>
  <si>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</si>
  <si>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</si>
  <si>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</si>
  <si>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</si>
  <si>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</si>
  <si>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</si>
  <si>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</si>
  <si>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</si>
  <si>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</si>
  <si>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</si>
  <si>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</si>
  <si>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</si>
  <si>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</si>
  <si>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</si>
  <si>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</si>
  <si>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</si>
  <si>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</si>
  <si>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</si>
  <si>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</si>
  <si>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</si>
  <si>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</si>
  <si>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</si>
  <si>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</si>
  <si>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</si>
  <si>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</si>
  <si>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</si>
  <si>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</si>
  <si>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</si>
  <si>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</si>
  <si>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</si>
  <si>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</si>
  <si>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</si>
  <si>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</si>
  <si>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</si>
  <si>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</si>
  <si>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</si>
  <si>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</si>
  <si>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</si>
  <si>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</si>
  <si>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</si>
  <si>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</si>
  <si>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</si>
  <si>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</si>
  <si>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</si>
  <si>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</si>
  <si>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</si>
  <si>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</si>
  <si>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</si>
  <si>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</si>
  <si>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</si>
  <si>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</si>
  <si>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</si>
  <si>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</si>
  <si>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</si>
  <si>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</si>
  <si>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</si>
  <si>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</si>
  <si>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</si>
  <si>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</si>
  <si>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</si>
  <si>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</si>
  <si>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</si>
  <si>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</si>
  <si>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</si>
  <si>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</si>
  <si>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</si>
  <si>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</si>
  <si>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</si>
  <si>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</si>
  <si>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</si>
  <si>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</si>
  <si>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</si>
  <si>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</si>
  <si>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</si>
  <si>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</si>
  <si>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</si>
  <si>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</si>
  <si>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</si>
  <si>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</si>
  <si>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</si>
  <si>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</si>
  <si>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</si>
  <si>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</si>
  <si>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</si>
  <si>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</si>
  <si>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</si>
  <si>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</si>
  <si>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</si>
  <si>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</si>
  <si>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</si>
  <si>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</si>
  <si>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</si>
  <si>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</si>
  <si>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</si>
  <si>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</si>
  <si>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</si>
  <si>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</si>
  <si>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</si>
  <si>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</si>
  <si>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</si>
  <si>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</si>
  <si>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</si>
  <si>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</si>
  <si>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</si>
  <si>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</si>
  <si>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</si>
  <si>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</si>
  <si>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</si>
  <si>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</si>
  <si>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</si>
  <si>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</si>
  <si>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</si>
  <si>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</si>
  <si>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</si>
  <si>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</si>
  <si>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</si>
  <si>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</si>
  <si>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</si>
  <si>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</si>
  <si>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</si>
  <si>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</si>
  <si>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</si>
  <si>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</si>
  <si>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</si>
  <si>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</si>
  <si>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</si>
  <si>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</si>
  <si>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</si>
  <si>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</si>
  <si>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</si>
  <si>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</si>
  <si>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</si>
  <si>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</si>
  <si>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</si>
  <si>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</si>
  <si>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</si>
  <si>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</si>
  <si>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</si>
  <si>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</si>
  <si>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</si>
  <si>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</si>
  <si>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</si>
  <si>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</si>
  <si>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</si>
  <si>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</si>
  <si>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</si>
  <si>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</si>
  <si>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</si>
  <si>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</si>
  <si>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</si>
  <si>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</si>
  <si>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</si>
  <si>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</si>
  <si>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</si>
  <si>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</si>
  <si>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</si>
  <si>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</si>
  <si>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</si>
  <si>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</si>
  <si>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</si>
  <si>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</si>
  <si>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</si>
  <si>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</si>
  <si>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</si>
  <si>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</si>
  <si>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</si>
  <si>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</si>
  <si>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</si>
  <si>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</si>
  <si>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</si>
  <si>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</si>
  <si>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</si>
  <si>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</si>
  <si>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</si>
  <si>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</si>
  <si>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</si>
  <si>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</si>
  <si>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</si>
  <si>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</si>
  <si>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</si>
  <si>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</si>
  <si>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</si>
  <si>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</si>
  <si>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</si>
  <si>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</si>
  <si>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</si>
  <si>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</si>
  <si>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</si>
  <si>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</si>
  <si>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</si>
  <si>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</si>
  <si>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</si>
  <si>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</si>
  <si>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</si>
  <si>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</si>
  <si>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</si>
  <si>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</si>
  <si>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</si>
  <si>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</si>
  <si>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</si>
  <si>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</si>
  <si>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</si>
  <si>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</si>
  <si>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</si>
  <si>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</si>
  <si>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</si>
  <si>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</si>
  <si>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</si>
  <si>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</si>
  <si>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</si>
  <si>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</si>
  <si>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</si>
  <si>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</si>
  <si>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</si>
  <si>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</si>
  <si>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</si>
  <si>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</si>
  <si>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</si>
  <si>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</si>
  <si>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</si>
  <si>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</si>
  <si>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</si>
  <si>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</si>
  <si>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</si>
  <si>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</si>
  <si>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</si>
  <si>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</si>
  <si>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</si>
  <si>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</si>
  <si>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</si>
  <si>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</si>
  <si>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</si>
  <si>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</si>
  <si>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</si>
  <si>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</si>
  <si>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</si>
  <si>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</si>
  <si>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</si>
  <si>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</si>
  <si>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</si>
  <si>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</si>
  <si>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</si>
  <si>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</si>
  <si>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</si>
  <si>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</si>
  <si>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</si>
  <si>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</si>
  <si>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</si>
  <si>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</si>
  <si>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</si>
  <si>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</si>
  <si>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</si>
  <si>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</si>
  <si>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</si>
  <si>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</si>
  <si>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</si>
  <si>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</si>
  <si>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</si>
  <si>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</si>
  <si>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</si>
  <si>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</si>
  <si>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</si>
  <si>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</si>
  <si>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</si>
  <si>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</si>
  <si>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</si>
  <si>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</si>
  <si>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</si>
  <si>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</si>
  <si>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</si>
  <si>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</si>
  <si>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</si>
  <si>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</si>
  <si>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</si>
  <si>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</si>
  <si>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</si>
  <si>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</si>
  <si>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</si>
  <si>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</si>
  <si>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</si>
  <si>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</si>
  <si>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</si>
  <si>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</si>
  <si>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</si>
  <si>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</si>
  <si>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</si>
  <si>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</si>
  <si>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</si>
  <si>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</si>
  <si>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</si>
  <si>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</si>
  <si>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</si>
  <si>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</si>
  <si>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</si>
  <si>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</si>
  <si>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</si>
  <si>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</si>
  <si>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</si>
  <si>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</si>
  <si>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</si>
  <si>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</si>
  <si>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</si>
  <si>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</si>
  <si>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</si>
  <si>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</si>
  <si>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</si>
  <si>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</si>
  <si>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</si>
  <si>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</si>
  <si>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</si>
  <si>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</si>
  <si>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</si>
  <si>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</si>
  <si>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</si>
  <si>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</si>
  <si>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</si>
  <si>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</si>
  <si>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</si>
  <si>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</si>
  <si>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</si>
  <si>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</si>
  <si>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</si>
  <si>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</si>
  <si>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</si>
  <si>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</si>
  <si>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</si>
  <si>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</si>
  <si>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</si>
  <si>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</si>
  <si>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</si>
  <si>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</si>
  <si>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</si>
  <si>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</si>
  <si>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</si>
  <si>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</si>
  <si>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</si>
  <si>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</si>
  <si>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</si>
  <si>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</si>
  <si>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</si>
  <si>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</si>
  <si>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</si>
  <si>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</si>
  <si>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</si>
  <si>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</si>
  <si>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</si>
  <si>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</si>
  <si>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</si>
  <si>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</si>
  <si>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</si>
  <si>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</si>
  <si>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</si>
  <si>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</si>
  <si>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</si>
  <si>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</si>
  <si>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</si>
  <si>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</si>
  <si>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</si>
  <si>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</si>
  <si>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</si>
  <si>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</si>
  <si>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</si>
  <si>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</si>
  <si>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</si>
  <si>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</si>
  <si>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</si>
  <si>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</si>
  <si>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</si>
  <si>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</si>
  <si>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</si>
  <si>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</si>
  <si>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</si>
  <si>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</si>
  <si>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</si>
  <si>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</si>
  <si>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</si>
  <si>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</si>
  <si>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</si>
  <si>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</si>
  <si>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</si>
  <si>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</si>
  <si>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</si>
  <si>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</si>
  <si>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</si>
  <si>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</si>
  <si>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</si>
  <si>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</si>
  <si>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</si>
  <si>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</si>
  <si>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</si>
  <si>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</si>
  <si>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</si>
  <si>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</si>
  <si>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</si>
  <si>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</si>
  <si>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</si>
  <si>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</si>
  <si>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</si>
  <si>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</si>
  <si>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</si>
  <si>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</si>
  <si>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</si>
  <si>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</si>
  <si>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</si>
  <si>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</si>
  <si>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</si>
  <si>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</si>
  <si>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</si>
  <si>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</si>
  <si>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</si>
  <si>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</si>
  <si>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</si>
  <si>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</si>
  <si>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</si>
  <si>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</si>
  <si>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</si>
  <si>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</si>
  <si>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</si>
  <si>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</si>
  <si>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</si>
  <si>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</si>
  <si>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</si>
  <si>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</si>
  <si>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</si>
  <si>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</si>
  <si>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</si>
  <si>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</si>
  <si>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</si>
  <si>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</si>
  <si>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</si>
  <si>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</si>
  <si>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</si>
  <si>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</si>
  <si>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</si>
  <si>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</si>
  <si>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</si>
  <si>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</si>
  <si>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</si>
  <si>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</si>
  <si>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</si>
  <si>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</si>
  <si>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</si>
  <si>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</si>
  <si>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</si>
  <si>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</si>
  <si>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</si>
  <si>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</si>
  <si>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</si>
  <si>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</si>
  <si>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</si>
  <si>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</si>
  <si>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</si>
  <si>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</si>
  <si>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</si>
  <si>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</si>
  <si>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</si>
  <si>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</si>
  <si>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</si>
  <si>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</si>
  <si>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</si>
  <si>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</si>
  <si>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</si>
  <si>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</si>
  <si>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</si>
  <si>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</si>
  <si>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</si>
  <si>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</si>
  <si>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</si>
  <si>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</si>
  <si>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</si>
  <si>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</si>
  <si>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</si>
  <si>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</si>
  <si>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</si>
  <si>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</si>
  <si>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</si>
  <si>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</si>
  <si>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</si>
  <si>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</si>
  <si>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</si>
  <si>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</si>
  <si>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</si>
  <si>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</si>
  <si>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</si>
  <si>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</si>
  <si>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</si>
  <si>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</si>
  <si>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</si>
  <si>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</si>
  <si>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</si>
  <si>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</si>
  <si>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</si>
  <si>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</si>
  <si>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</si>
  <si>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</si>
  <si>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</si>
  <si>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</si>
  <si>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</si>
  <si>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</si>
  <si>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</si>
  <si>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</si>
  <si>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</si>
  <si>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</si>
  <si>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</si>
  <si>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</si>
  <si>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</si>
  <si>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</si>
  <si>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</si>
  <si>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</si>
  <si>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</si>
  <si>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</si>
  <si>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</si>
  <si>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</si>
  <si>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</si>
  <si>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</si>
  <si>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</si>
  <si>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</si>
  <si>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</si>
  <si>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</si>
  <si>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</si>
  <si>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</si>
  <si>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</si>
  <si>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</si>
  <si>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</si>
  <si>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</si>
  <si>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</si>
  <si>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</si>
  <si>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</si>
  <si>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</si>
  <si>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</si>
  <si>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</si>
  <si>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</si>
  <si>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</si>
  <si>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</si>
  <si>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</si>
  <si>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</si>
  <si>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</si>
  <si>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</si>
  <si>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</si>
  <si>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</si>
  <si>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</si>
  <si>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</si>
  <si>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</si>
  <si>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</si>
  <si>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</si>
  <si>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</si>
  <si>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</si>
  <si>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</si>
  <si>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</si>
  <si>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</si>
  <si>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</si>
  <si>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</si>
  <si>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</si>
  <si>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</si>
  <si>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</si>
  <si>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</si>
  <si>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</si>
  <si>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</si>
  <si>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</si>
  <si>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</si>
  <si>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</si>
  <si>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</si>
  <si>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</si>
  <si>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</si>
  <si>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</si>
  <si>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</si>
  <si>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</si>
  <si>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</si>
  <si>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</si>
  <si>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</si>
  <si>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</si>
  <si>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</si>
  <si>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</si>
  <si>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</si>
  <si>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</si>
  <si>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</si>
  <si>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</si>
  <si>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</si>
  <si>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</si>
  <si>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</si>
  <si>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</si>
  <si>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</si>
  <si>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</si>
  <si>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</si>
  <si>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</si>
  <si>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</si>
  <si>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</si>
  <si>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</si>
  <si>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</si>
  <si>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</si>
  <si>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</si>
  <si>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</si>
  <si>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</si>
  <si>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</si>
  <si>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</si>
  <si>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</si>
  <si>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</si>
  <si>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</si>
  <si>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</si>
  <si>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</si>
  <si>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</si>
  <si>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</si>
  <si>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</si>
  <si>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</si>
  <si>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</si>
  <si>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</si>
  <si>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</si>
  <si>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</si>
  <si>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</si>
  <si>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</si>
  <si>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</si>
  <si>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</si>
  <si>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</si>
  <si>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</si>
  <si>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</si>
  <si>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</si>
  <si>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</si>
  <si>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</si>
  <si>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</si>
  <si>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</si>
  <si>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</si>
  <si>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</si>
  <si>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</si>
  <si>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</si>
  <si>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</si>
  <si>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</si>
  <si>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</si>
  <si>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</si>
  <si>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</si>
  <si>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</si>
  <si>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</si>
  <si>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</si>
  <si>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</si>
  <si>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</si>
  <si>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</si>
  <si>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</si>
  <si>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</si>
  <si>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</si>
  <si>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</si>
  <si>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</si>
  <si>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</si>
  <si>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</si>
  <si>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</si>
  <si>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</si>
  <si>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</si>
  <si>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</si>
  <si>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</si>
  <si>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</si>
  <si>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</si>
  <si>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</si>
  <si>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</si>
  <si>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</si>
  <si>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</si>
  <si>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</si>
  <si>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</si>
  <si>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</si>
  <si>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</si>
  <si>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</si>
  <si>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</si>
  <si>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</si>
  <si>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</si>
  <si>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</si>
  <si>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</si>
  <si>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</si>
  <si>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</si>
  <si>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</si>
  <si>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</si>
  <si>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</si>
  <si>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</si>
  <si>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</si>
  <si>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</si>
  <si>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</si>
  <si>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</si>
  <si>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</si>
  <si>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</si>
  <si>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</si>
  <si>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</si>
  <si>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</si>
  <si>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</si>
  <si>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</si>
  <si>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</si>
  <si>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</si>
  <si>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</si>
  <si>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</si>
  <si>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</si>
  <si>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</si>
  <si>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</si>
  <si>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</si>
  <si>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</si>
  <si>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</si>
  <si>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</si>
  <si>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</si>
  <si>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</si>
  <si>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</si>
  <si>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</si>
  <si>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</si>
  <si>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</si>
  <si>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</si>
  <si>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</si>
  <si>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</si>
  <si>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</si>
  <si>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</si>
  <si>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</si>
  <si>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</si>
  <si>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</si>
  <si>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</si>
  <si>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</si>
  <si>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</si>
  <si>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</si>
  <si>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</si>
  <si>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</si>
  <si>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</si>
  <si>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</si>
  <si>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</si>
  <si>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</si>
  <si>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</si>
  <si>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</si>
  <si>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</si>
  <si>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</si>
  <si>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</si>
  <si>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</si>
  <si>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</si>
  <si>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</si>
  <si>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</si>
  <si>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</si>
  <si>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</si>
  <si>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</si>
  <si>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</si>
  <si>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</si>
  <si>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</si>
  <si>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</si>
  <si>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</si>
  <si>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</si>
  <si>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</si>
  <si>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</si>
  <si>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</si>
  <si>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</si>
  <si>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</si>
  <si>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</si>
  <si>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</si>
  <si>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</si>
  <si>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</si>
  <si>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</si>
  <si>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</si>
  <si>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</si>
  <si>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</si>
  <si>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</si>
  <si>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</si>
  <si>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</si>
  <si>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</si>
  <si>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</si>
  <si>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</si>
  <si>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</si>
  <si>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</si>
  <si>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</si>
  <si>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</si>
  <si>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</si>
  <si>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</si>
  <si>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</si>
  <si>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</si>
  <si>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</si>
  <si>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</si>
  <si>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</si>
  <si>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</si>
  <si>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</si>
  <si>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</si>
  <si>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</si>
  <si>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</si>
  <si>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</si>
  <si>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</si>
  <si>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</si>
  <si>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</si>
  <si>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</si>
  <si>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</si>
  <si>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</si>
  <si>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</si>
  <si>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</si>
  <si>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</si>
  <si>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</si>
  <si>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</si>
  <si>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</si>
  <si>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</si>
  <si>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</si>
  <si>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</si>
  <si>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</si>
  <si>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</si>
  <si>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</si>
  <si>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</si>
  <si>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</si>
  <si>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</si>
  <si>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</si>
  <si>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</si>
  <si>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</si>
  <si>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</si>
  <si>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</si>
  <si>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</si>
  <si>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</si>
  <si>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</si>
  <si>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</si>
  <si>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</si>
  <si>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</si>
  <si>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</si>
  <si>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</si>
  <si>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</si>
  <si>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</si>
  <si>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</si>
  <si>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</si>
  <si>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</si>
  <si>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</si>
  <si>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</si>
  <si>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</si>
  <si>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</si>
  <si>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</si>
  <si>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</si>
  <si>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</si>
  <si>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</si>
  <si>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</si>
  <si>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</si>
  <si>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</si>
  <si>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</si>
  <si>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</si>
  <si>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</si>
  <si>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</si>
  <si>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</si>
  <si>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</si>
  <si>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</si>
  <si>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</si>
  <si>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</si>
  <si>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</si>
  <si>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</si>
  <si>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</si>
  <si>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</si>
  <si>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</si>
  <si>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</si>
  <si>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</si>
  <si>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</si>
  <si>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</si>
  <si>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</si>
  <si>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</si>
  <si>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</si>
  <si>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</si>
  <si>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</si>
  <si>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</si>
  <si>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</si>
  <si>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</si>
  <si>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</si>
  <si>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</si>
  <si>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</si>
  <si>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</si>
  <si>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</si>
  <si>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</si>
  <si>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</si>
  <si>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</si>
  <si>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</si>
  <si>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</si>
  <si>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</si>
  <si>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</si>
  <si>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</si>
  <si>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</si>
  <si>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</si>
  <si>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</si>
  <si>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</si>
  <si>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</si>
  <si>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</si>
  <si>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</si>
  <si>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</si>
  <si>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</si>
  <si>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</si>
  <si>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</si>
  <si>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</si>
  <si>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</si>
  <si>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</si>
  <si>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</si>
  <si>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</si>
  <si>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</si>
  <si>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</si>
  <si>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</si>
  <si>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</si>
  <si>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</si>
  <si>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</si>
  <si>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</si>
  <si>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</si>
  <si>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</si>
  <si>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</si>
  <si>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</si>
  <si>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</si>
  <si>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</si>
  <si>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</si>
  <si>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</si>
  <si>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</si>
  <si>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</si>
  <si>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</si>
  <si>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</si>
  <si>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</si>
  <si>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</si>
  <si>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</si>
  <si>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</si>
  <si>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</si>
  <si>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</si>
  <si>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</si>
  <si>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</si>
  <si>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</si>
  <si>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</si>
  <si>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</si>
  <si>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</si>
  <si>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</si>
  <si>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</si>
  <si>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</si>
  <si>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</si>
  <si>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</si>
  <si>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</si>
  <si>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</si>
  <si>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</si>
  <si>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</si>
  <si>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</si>
  <si>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</si>
  <si>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</si>
  <si>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</si>
  <si>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</si>
  <si>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</si>
  <si>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</si>
  <si>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</si>
  <si>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</si>
  <si>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</si>
  <si>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</si>
  <si>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</si>
  <si>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</si>
  <si>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</si>
  <si>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</si>
  <si>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</si>
  <si>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</si>
  <si>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</si>
  <si>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</si>
  <si>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</si>
  <si>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</si>
  <si>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</si>
  <si>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</si>
  <si>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</si>
  <si>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</si>
  <si>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</si>
  <si>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</si>
  <si>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</si>
  <si>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</si>
  <si>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</si>
  <si>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</si>
  <si>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</si>
  <si>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</si>
  <si>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</si>
  <si>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</si>
  <si>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</si>
  <si>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</si>
  <si>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</si>
  <si>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</si>
  <si>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</si>
  <si>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</si>
  <si>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</si>
  <si>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</si>
  <si>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</si>
  <si>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</si>
  <si>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</si>
  <si>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</si>
  <si>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</si>
  <si>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</si>
  <si>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</si>
  <si>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</si>
  <si>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</si>
  <si>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</si>
  <si>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</si>
  <si>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</si>
  <si>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</si>
  <si>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</si>
  <si>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</si>
  <si>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</si>
  <si>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</si>
  <si>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</si>
  <si>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</si>
  <si>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</si>
  <si>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</si>
  <si>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</si>
  <si>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</si>
  <si>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</si>
  <si>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</si>
  <si>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</si>
  <si>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</si>
  <si>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</si>
  <si>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</si>
  <si>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</si>
  <si>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</si>
  <si>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</si>
  <si>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</si>
  <si>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</si>
  <si>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</si>
  <si>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</si>
  <si>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</si>
  <si>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</si>
  <si>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</si>
  <si>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</si>
  <si>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</si>
  <si>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</si>
  <si>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</si>
  <si>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</si>
  <si>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</si>
  <si>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</si>
  <si>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</si>
  <si>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</si>
  <si>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</si>
  <si>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</si>
  <si>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</si>
  <si>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</si>
  <si>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</si>
  <si>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</si>
  <si>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</si>
  <si>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</si>
  <si>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</si>
  <si>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</si>
  <si>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</si>
  <si>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</si>
  <si>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</si>
  <si>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</si>
  <si>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</si>
  <si>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</si>
  <si>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</si>
  <si>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</si>
  <si>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</si>
  <si>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</si>
  <si>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</si>
  <si>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</si>
  <si>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</si>
  <si>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</si>
  <si>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</si>
  <si>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</si>
  <si>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</si>
  <si>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</si>
  <si>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</si>
  <si>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</si>
  <si>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</si>
  <si>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</si>
  <si>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</si>
  <si>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</si>
  <si>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</si>
  <si>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</si>
  <si>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</si>
  <si>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</si>
  <si>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</si>
  <si>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</si>
  <si>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</si>
  <si>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</si>
  <si>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</si>
  <si>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</si>
  <si>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</si>
  <si>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</si>
  <si>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</si>
  <si>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</si>
  <si>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</si>
  <si>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</si>
  <si>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</si>
  <si>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</si>
  <si>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</si>
  <si>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</si>
  <si>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</si>
  <si>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</si>
  <si>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</si>
  <si>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</si>
  <si>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</si>
  <si>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</si>
  <si>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</si>
  <si>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</si>
  <si>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</si>
  <si>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</si>
  <si>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</si>
  <si>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</si>
  <si>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</si>
  <si>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</si>
  <si>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</si>
  <si>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</si>
  <si>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</si>
  <si>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</si>
  <si>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</si>
  <si>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</si>
  <si>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</si>
  <si>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</si>
  <si>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</si>
  <si>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</si>
  <si>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</si>
  <si>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</si>
  <si>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</si>
  <si>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</si>
  <si>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</si>
  <si>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</si>
  <si>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</si>
  <si>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</si>
  <si>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</si>
  <si>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</si>
  <si>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</si>
  <si>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</si>
  <si>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</si>
  <si>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</si>
  <si>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</si>
  <si>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</si>
  <si>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</si>
  <si>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</si>
  <si>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</si>
  <si>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</si>
  <si>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</si>
  <si>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</si>
  <si>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</si>
  <si>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</si>
  <si>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</si>
  <si>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</si>
  <si>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</si>
  <si>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</si>
  <si>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</si>
  <si>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</si>
  <si>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</si>
  <si>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</si>
  <si>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</si>
  <si>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</si>
  <si>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</si>
  <si>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</si>
  <si>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</si>
  <si>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</si>
  <si>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</si>
  <si>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</si>
  <si>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</si>
  <si>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</si>
  <si>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</si>
  <si>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</si>
  <si>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</si>
  <si>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</si>
  <si>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</si>
  <si>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</si>
  <si>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</si>
  <si>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</si>
  <si>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</si>
  <si>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</si>
  <si>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</si>
  <si>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</si>
  <si>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</si>
  <si>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</si>
  <si>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</si>
  <si>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</si>
  <si>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</si>
  <si>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</si>
  <si>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</si>
  <si>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</si>
  <si>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</si>
  <si>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</si>
  <si>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</si>
  <si>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</si>
  <si>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</si>
  <si>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</si>
  <si>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</si>
  <si>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</si>
  <si>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</si>
  <si>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</si>
  <si>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</si>
  <si>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</si>
  <si>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</si>
  <si>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</si>
  <si>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</si>
  <si>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</si>
  <si>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</si>
  <si>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</si>
  <si>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</si>
  <si>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</si>
  <si>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</si>
  <si>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</si>
  <si>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</si>
  <si>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</si>
  <si>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</si>
  <si>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</si>
  <si>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</si>
  <si>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</si>
  <si>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</si>
  <si>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</si>
  <si>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</si>
  <si>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</si>
  <si>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</si>
  <si>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</si>
  <si>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</si>
  <si>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</si>
  <si>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</si>
  <si>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</si>
  <si>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</si>
  <si>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</si>
  <si>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</si>
  <si>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</si>
  <si>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</si>
  <si>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</si>
  <si>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</si>
  <si>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</si>
  <si>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</si>
  <si>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</si>
  <si>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</si>
  <si>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</si>
  <si>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</si>
  <si>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</si>
  <si>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</si>
  <si>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</si>
  <si>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</si>
  <si>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</si>
  <si>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</si>
  <si>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</si>
  <si>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</si>
  <si>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</si>
  <si>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</si>
  <si>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</si>
  <si>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</si>
  <si>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</si>
  <si>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</si>
  <si>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</si>
  <si>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</si>
  <si>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</si>
  <si>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</si>
  <si>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</si>
  <si>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</si>
  <si>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</si>
  <si>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</si>
  <si>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</si>
  <si>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</si>
  <si>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</si>
  <si>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</si>
  <si>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</si>
  <si>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</si>
  <si>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</si>
  <si>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</si>
  <si>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</si>
  <si>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</si>
  <si>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</si>
  <si>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</si>
  <si>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</si>
  <si>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</si>
  <si>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</si>
  <si>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</si>
  <si>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</si>
  <si>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</si>
  <si>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</si>
  <si>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</si>
  <si>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</si>
  <si>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</si>
  <si>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</si>
  <si>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</si>
  <si>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</si>
  <si>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</si>
  <si>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</si>
  <si>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</si>
  <si>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</si>
  <si>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</si>
  <si>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</si>
  <si>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</si>
  <si>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</si>
  <si>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</si>
  <si>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</si>
  <si>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</si>
  <si>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</si>
  <si>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</si>
  <si>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</si>
  <si>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</si>
  <si>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</si>
  <si>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</si>
  <si>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</si>
  <si>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</si>
  <si>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</si>
  <si>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</si>
  <si>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</si>
  <si>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</si>
  <si>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</si>
  <si>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</si>
  <si>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</si>
  <si>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</si>
  <si>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</si>
  <si>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</si>
  <si>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</si>
  <si>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</si>
  <si>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</si>
  <si>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</si>
  <si>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</si>
  <si>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</si>
  <si>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</si>
  <si>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</si>
  <si>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</si>
  <si>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</si>
  <si>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</si>
  <si>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</si>
  <si>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</si>
  <si>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</si>
  <si>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</si>
  <si>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</si>
  <si>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</si>
  <si>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</si>
  <si>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</si>
  <si>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</si>
  <si>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</si>
  <si>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</si>
  <si>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</si>
  <si>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</si>
  <si>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</si>
  <si>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</si>
  <si>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</si>
  <si>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</si>
  <si>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</si>
  <si>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</si>
  <si>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</si>
  <si>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</si>
  <si>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</si>
  <si>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</si>
  <si>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</si>
  <si>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</si>
  <si>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</si>
  <si>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</si>
  <si>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</si>
  <si>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</si>
  <si>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</si>
  <si>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</si>
  <si>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</si>
  <si>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</si>
  <si>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</si>
  <si>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</si>
  <si>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</si>
  <si>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</si>
  <si>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</si>
  <si>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</si>
  <si>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</si>
  <si>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</si>
  <si>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</si>
  <si>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</si>
  <si>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</si>
  <si>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</si>
  <si>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</si>
  <si>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</si>
  <si>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</si>
  <si>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</si>
  <si>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</si>
  <si>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</si>
  <si>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</si>
  <si>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</si>
  <si>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</si>
  <si>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</si>
  <si>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</si>
  <si>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</si>
  <si>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</si>
  <si>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</si>
  <si>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</si>
  <si>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</si>
  <si>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</si>
  <si>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</si>
  <si>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</si>
  <si>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</si>
  <si>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</si>
  <si>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</si>
  <si>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</si>
  <si>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</si>
  <si>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</si>
  <si>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</si>
  <si>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</si>
  <si>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</si>
  <si>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</si>
  <si>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</si>
  <si>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</si>
  <si>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</si>
  <si>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</si>
  <si>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</si>
  <si>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</si>
  <si>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</si>
  <si>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</si>
  <si>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</si>
  <si>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</si>
  <si>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</si>
  <si>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</si>
  <si>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</si>
  <si>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</si>
  <si>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</si>
  <si>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</si>
  <si>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</si>
  <si>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</si>
  <si>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</si>
  <si>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</si>
  <si>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</si>
  <si>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</si>
  <si>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</si>
  <si>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</si>
  <si>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</si>
  <si>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</si>
  <si>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</si>
  <si>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</si>
  <si>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</si>
  <si>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</si>
  <si>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</si>
  <si>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</si>
  <si>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</si>
  <si>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</si>
  <si>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</si>
  <si>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</si>
  <si>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</si>
  <si>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</si>
  <si>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</si>
  <si>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</si>
  <si>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</si>
  <si>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</si>
  <si>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</si>
  <si>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</si>
  <si>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</si>
  <si>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</si>
  <si>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</si>
  <si>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</si>
  <si>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</si>
  <si>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</si>
  <si>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</si>
  <si>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</si>
  <si>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</si>
  <si>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</si>
  <si>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</si>
  <si>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</si>
  <si>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</si>
  <si>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</si>
  <si>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</si>
  <si>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</si>
  <si>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</si>
  <si>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</si>
  <si>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</si>
  <si>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</si>
  <si>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</si>
  <si>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</si>
  <si>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</si>
  <si>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</si>
  <si>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</si>
  <si>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</si>
  <si>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</si>
  <si>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</si>
  <si>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</si>
  <si>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</si>
  <si>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</si>
  <si>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</si>
  <si>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</si>
  <si>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</si>
  <si>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</si>
  <si>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</si>
  <si>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</si>
  <si>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</si>
  <si>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</si>
  <si>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</si>
  <si>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</si>
  <si>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</si>
  <si>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</si>
  <si>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</si>
  <si>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</si>
  <si>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</si>
  <si>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</si>
  <si>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</si>
  <si>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</si>
  <si>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</si>
  <si>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</si>
  <si>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</si>
  <si>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</si>
  <si>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</si>
  <si>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</si>
  <si>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</si>
  <si>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</si>
  <si>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</si>
  <si>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</si>
  <si>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</si>
  <si>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</si>
  <si>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</si>
  <si>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</si>
  <si>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</si>
  <si>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</si>
  <si>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</si>
  <si>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</si>
  <si>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</si>
  <si>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</si>
  <si>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</si>
  <si>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</si>
  <si>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</si>
  <si>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</si>
  <si>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</si>
  <si>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</si>
  <si>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</si>
  <si>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</si>
  <si>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</si>
  <si>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</si>
  <si>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</si>
  <si>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</si>
  <si>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</si>
  <si>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</si>
  <si>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</si>
  <si>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</si>
  <si>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</si>
  <si>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</si>
  <si>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</si>
  <si>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</si>
  <si>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</si>
  <si>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</si>
  <si>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</si>
  <si>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</si>
  <si>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</si>
  <si>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</si>
  <si>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</si>
  <si>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</si>
  <si>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</si>
  <si>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</si>
  <si>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</si>
  <si>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</si>
  <si>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</si>
  <si>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</si>
  <si>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</si>
  <si>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</si>
  <si>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</si>
  <si>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</si>
  <si>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</si>
  <si>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</si>
  <si>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</si>
  <si>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</si>
  <si>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</si>
  <si>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</si>
  <si>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</si>
  <si>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</si>
  <si>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</si>
  <si>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</si>
  <si>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</si>
  <si>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</si>
  <si>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</si>
  <si>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</si>
  <si>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</si>
  <si>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</si>
  <si>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</si>
  <si>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</si>
  <si>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</si>
  <si>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</si>
  <si>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</si>
  <si>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</si>
  <si>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</si>
  <si>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</si>
  <si>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</si>
  <si>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</si>
  <si>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</si>
  <si>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</si>
  <si>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</si>
  <si>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</si>
  <si>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</si>
  <si>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</si>
  <si>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</si>
  <si>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</si>
  <si>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</si>
  <si>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</si>
  <si>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</si>
  <si>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</si>
  <si>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</si>
  <si>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</si>
  <si>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</si>
  <si>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</si>
  <si>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</si>
  <si>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</si>
  <si>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</si>
  <si>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</si>
  <si>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</si>
  <si>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</si>
  <si>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</si>
  <si>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</si>
  <si>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</si>
  <si>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</si>
  <si>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</si>
  <si>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</si>
  <si>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</si>
  <si>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</si>
  <si>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</si>
  <si>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</si>
  <si>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</si>
  <si>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</si>
  <si>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</si>
  <si>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</si>
  <si>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</si>
  <si>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</si>
  <si>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</si>
  <si>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</si>
  <si>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</si>
  <si>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</si>
  <si>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</si>
  <si>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</si>
  <si>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</si>
  <si>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</si>
  <si>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</si>
  <si>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</si>
  <si>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</si>
  <si>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</si>
  <si>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</si>
  <si>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</si>
  <si>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</si>
  <si>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</si>
  <si>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</si>
  <si>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</si>
  <si>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</si>
  <si>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</si>
  <si>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</si>
  <si>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</si>
  <si>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</si>
  <si>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</si>
  <si>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</si>
  <si>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</si>
  <si>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</si>
  <si>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</si>
  <si>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</si>
  <si>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</si>
  <si>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</si>
  <si>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</si>
  <si>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</si>
  <si>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</si>
  <si>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</si>
  <si>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</si>
  <si>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</si>
  <si>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</si>
  <si>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</si>
  <si>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</si>
  <si>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</si>
  <si>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</si>
  <si>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</si>
  <si>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</si>
  <si>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</si>
  <si>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</si>
  <si>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</si>
  <si>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</si>
  <si>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</si>
  <si>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</si>
  <si>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</si>
  <si>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</si>
  <si>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</si>
  <si>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</si>
  <si>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</si>
  <si>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</si>
  <si>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</si>
  <si>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</si>
  <si>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</si>
  <si>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</si>
  <si>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</si>
  <si>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</si>
  <si>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</si>
  <si>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</si>
  <si>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</si>
  <si>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</si>
  <si>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</si>
  <si>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</si>
  <si>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</si>
  <si>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</si>
  <si>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</si>
  <si>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</si>
  <si>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</si>
  <si>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</si>
  <si>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</si>
  <si>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</si>
  <si>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</si>
  <si>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</si>
  <si>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</si>
  <si>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</si>
  <si>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</si>
  <si>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</si>
  <si>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</si>
  <si>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</si>
  <si>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</si>
  <si>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</si>
  <si>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</si>
  <si>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</si>
  <si>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</si>
  <si>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</si>
  <si>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</si>
  <si>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</si>
  <si>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</si>
  <si>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</si>
  <si>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</si>
  <si>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</si>
  <si>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</si>
  <si>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</si>
  <si>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</si>
  <si>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</si>
  <si>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</si>
  <si>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</si>
  <si>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</si>
  <si>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</si>
  <si>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</si>
  <si>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</si>
  <si>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</si>
  <si>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</si>
  <si>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</si>
  <si>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</si>
  <si>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</si>
  <si>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</si>
  <si>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</si>
  <si>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</si>
  <si>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</si>
  <si>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</si>
  <si>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</si>
  <si>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</si>
  <si>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</si>
  <si>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</si>
  <si>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</si>
  <si>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</si>
  <si>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</si>
  <si>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</si>
  <si>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</si>
  <si>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</si>
  <si>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</si>
  <si>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</si>
  <si>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</si>
  <si>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</si>
  <si>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</si>
  <si>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</si>
  <si>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</si>
  <si>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</si>
  <si>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</si>
  <si>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</si>
  <si>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</si>
  <si>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</si>
  <si>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</si>
  <si>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</si>
  <si>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</si>
  <si>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</si>
  <si>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</si>
  <si>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</si>
  <si>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</si>
  <si>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</si>
  <si>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</si>
  <si>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</si>
  <si>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</si>
  <si>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</si>
  <si>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</si>
  <si>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</si>
  <si>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</si>
  <si>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</si>
  <si>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</si>
  <si>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</si>
  <si>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</si>
  <si>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</si>
  <si>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</si>
  <si>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</si>
  <si>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</si>
  <si>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</si>
  <si>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</si>
  <si>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</si>
  <si>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</si>
  <si>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</si>
  <si>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</si>
  <si>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</si>
  <si>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</si>
  <si>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</si>
  <si>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</si>
  <si>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</si>
  <si>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</si>
  <si>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</si>
  <si>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</si>
  <si>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</si>
  <si>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</si>
  <si>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</si>
  <si>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</si>
  <si>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</si>
  <si>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</si>
  <si>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</si>
  <si>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</si>
  <si>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</si>
  <si>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</si>
  <si>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</si>
  <si>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</si>
  <si>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</si>
  <si>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</si>
  <si>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</si>
  <si>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</si>
  <si>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</si>
  <si>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</si>
  <si>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</si>
  <si>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</si>
  <si>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</si>
  <si>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</si>
  <si>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</si>
  <si>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</si>
  <si>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</si>
  <si>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</si>
  <si>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</si>
  <si>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</si>
  <si>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</si>
  <si>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</si>
  <si>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</si>
  <si>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</si>
  <si>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</si>
  <si>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</si>
  <si>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</si>
  <si>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</si>
  <si>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</si>
  <si>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</si>
  <si>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</si>
  <si>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</si>
  <si>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</si>
  <si>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</si>
  <si>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</si>
  <si>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</si>
  <si>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</si>
  <si>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</si>
  <si>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</si>
  <si>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</si>
  <si>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</si>
  <si>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</si>
  <si>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</si>
  <si>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</si>
  <si>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</si>
  <si>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</si>
  <si>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</si>
  <si>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</si>
  <si>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</si>
  <si>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</si>
  <si>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</si>
  <si>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</si>
  <si>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</si>
  <si>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</si>
  <si>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</si>
  <si>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</si>
  <si>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</si>
  <si>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</si>
  <si>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</si>
  <si>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</si>
  <si>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</si>
  <si>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</si>
  <si>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</si>
  <si>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</si>
  <si>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</si>
  <si>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</si>
  <si>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</si>
  <si>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</si>
  <si>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</si>
  <si>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</si>
  <si>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</si>
  <si>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</si>
  <si>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</si>
  <si>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</si>
  <si>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</si>
  <si>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</si>
  <si>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</si>
  <si>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</si>
  <si>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</si>
  <si>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</si>
  <si>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</si>
  <si>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</si>
  <si>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</si>
  <si>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</si>
  <si>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</si>
  <si>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</si>
  <si>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</si>
  <si>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</si>
  <si>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</si>
  <si>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</si>
  <si>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</si>
  <si>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</si>
  <si>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</si>
  <si>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</si>
  <si>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</si>
  <si>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</si>
  <si>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</si>
  <si>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</si>
  <si>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</si>
  <si>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</si>
  <si>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</si>
  <si>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</si>
  <si>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</si>
  <si>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</si>
  <si>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</si>
  <si>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</si>
  <si>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</si>
  <si>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</si>
  <si>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</si>
  <si>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</si>
  <si>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</si>
  <si>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</si>
  <si>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</si>
  <si>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</si>
  <si>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</si>
  <si>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</si>
  <si>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</si>
  <si>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</si>
  <si>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</si>
  <si>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</si>
  <si>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</si>
  <si>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</si>
  <si>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</si>
  <si>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</si>
  <si>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</si>
  <si>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</si>
  <si>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</si>
  <si>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</si>
  <si>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</si>
  <si>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</si>
  <si>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</si>
  <si>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</si>
  <si>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</si>
  <si>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</si>
  <si>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</si>
  <si>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</si>
  <si>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</si>
  <si>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</si>
  <si>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</si>
  <si>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</si>
  <si>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</si>
  <si>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</si>
  <si>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</si>
  <si>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</si>
  <si>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</si>
  <si>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</si>
  <si>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</si>
  <si>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</si>
  <si>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</si>
  <si>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</si>
  <si>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</si>
  <si>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</si>
  <si>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</si>
  <si>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</si>
  <si>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</si>
  <si>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</si>
  <si>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</si>
  <si>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</si>
  <si>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</si>
  <si>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</si>
  <si>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</si>
  <si>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</si>
  <si>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</si>
  <si>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</si>
  <si>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</si>
  <si>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</si>
  <si>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</si>
  <si>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</si>
  <si>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</si>
  <si>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</si>
  <si>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</si>
  <si>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</si>
  <si>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</si>
  <si>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</si>
  <si>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</si>
  <si>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</si>
  <si>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</si>
  <si>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</si>
  <si>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</si>
  <si>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</si>
  <si>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</si>
  <si>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</si>
  <si>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</si>
  <si>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</si>
  <si>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</si>
  <si>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</si>
  <si>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</si>
  <si>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</si>
  <si>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</si>
  <si>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</si>
  <si>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</si>
  <si>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</si>
  <si>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</si>
  <si>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</si>
  <si>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</si>
  <si>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</si>
  <si>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</si>
  <si>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</si>
  <si>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</si>
  <si>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</si>
  <si>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</si>
  <si>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</si>
  <si>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</si>
  <si>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</si>
  <si>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</si>
  <si>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</si>
  <si>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</si>
  <si>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</si>
  <si>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</si>
  <si>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</si>
  <si>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</si>
  <si>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</si>
  <si>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</si>
  <si>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</si>
  <si>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</si>
  <si>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</si>
  <si>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</si>
  <si>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</si>
  <si>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</si>
  <si>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</si>
  <si>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</si>
  <si>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</si>
  <si>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</si>
  <si>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</si>
  <si>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</si>
  <si>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</si>
  <si>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</si>
  <si>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</si>
  <si>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</si>
  <si>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</si>
  <si>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</si>
  <si>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</si>
  <si>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</si>
  <si>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</si>
  <si>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</si>
  <si>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</si>
  <si>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</si>
  <si>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</si>
  <si>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</si>
  <si>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</si>
  <si>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</si>
  <si>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</si>
  <si>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</si>
  <si>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</si>
  <si>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</si>
  <si>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</si>
  <si>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</si>
  <si>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</si>
  <si>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</si>
  <si>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</si>
  <si>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</si>
  <si>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</si>
  <si>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</si>
  <si>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</si>
  <si>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</si>
  <si>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</si>
  <si>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</si>
  <si>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</si>
  <si>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</si>
  <si>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</si>
  <si>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</si>
  <si>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</si>
  <si>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</si>
  <si>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</si>
  <si>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</si>
  <si>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</si>
  <si>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</si>
  <si>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</si>
  <si>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</si>
  <si>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</si>
  <si>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</si>
  <si>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</si>
  <si>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</si>
  <si>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</si>
  <si>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</si>
  <si>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</si>
  <si>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</si>
  <si>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</si>
  <si>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</si>
  <si>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</si>
  <si>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</si>
  <si>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</si>
  <si>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</si>
  <si>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</si>
  <si>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</si>
  <si>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</si>
  <si>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</si>
  <si>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</si>
  <si>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</si>
  <si>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</si>
  <si>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</si>
  <si>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</si>
  <si>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</si>
  <si>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</si>
  <si>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</si>
  <si>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</si>
  <si>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</si>
  <si>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</si>
  <si>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</si>
  <si>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</si>
  <si>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</si>
  <si>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</si>
  <si>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</si>
  <si>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</si>
  <si>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</si>
  <si>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</si>
  <si>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</si>
  <si>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</si>
  <si>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</si>
  <si>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</si>
  <si>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</si>
  <si>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</si>
  <si>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</si>
  <si>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</si>
  <si>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</si>
  <si>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</si>
  <si>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</si>
  <si>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</si>
  <si>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</si>
  <si>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</si>
  <si>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</si>
  <si>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</si>
  <si>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</si>
  <si>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</si>
  <si>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</si>
  <si>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</si>
  <si>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</si>
  <si>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</si>
  <si>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</si>
  <si>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</si>
  <si>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</si>
  <si>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</si>
  <si>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</si>
  <si>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</si>
  <si>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</si>
  <si>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</si>
  <si>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</si>
  <si>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</si>
  <si>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</si>
  <si>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</si>
  <si>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</si>
  <si>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</si>
  <si>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</si>
  <si>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</si>
  <si>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</si>
  <si>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</si>
  <si>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</si>
  <si>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</si>
  <si>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</si>
  <si>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</si>
  <si>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</si>
  <si>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</si>
  <si>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</si>
  <si>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</si>
  <si>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</si>
  <si>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</si>
  <si>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</si>
  <si>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</si>
  <si>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</si>
  <si>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</si>
  <si>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</si>
  <si>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</si>
  <si>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</si>
  <si>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</si>
  <si>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</si>
  <si>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</si>
  <si>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</si>
  <si>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</si>
  <si>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</si>
  <si>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</si>
  <si>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</si>
  <si>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</si>
  <si>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</si>
  <si>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</si>
  <si>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</si>
  <si>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</si>
  <si>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</si>
  <si>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</si>
  <si>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</si>
  <si>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</si>
  <si>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</si>
  <si>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</si>
  <si>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</si>
  <si>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</si>
  <si>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</si>
  <si>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</si>
  <si>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</si>
  <si>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</si>
  <si>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</si>
  <si>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</si>
  <si>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</si>
  <si>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</si>
  <si>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</si>
  <si>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</si>
  <si>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</si>
  <si>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</si>
  <si>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</si>
  <si>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</si>
  <si>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</si>
  <si>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</si>
  <si>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</si>
  <si>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</si>
  <si>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</si>
  <si>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</si>
  <si>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</si>
  <si>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</si>
  <si>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</si>
  <si>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</si>
  <si>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</si>
  <si>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</si>
  <si>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</si>
  <si>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</si>
  <si>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</si>
  <si>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</si>
  <si>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</si>
  <si>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</si>
  <si>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</si>
  <si>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</si>
  <si>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</si>
  <si>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</si>
  <si>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</si>
  <si>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</si>
  <si>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</si>
  <si>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</si>
  <si>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</si>
  <si>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</si>
  <si>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</si>
  <si>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</si>
  <si>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</si>
  <si>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</si>
  <si>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</si>
  <si>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</si>
  <si>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</si>
  <si>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</si>
  <si>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</si>
  <si>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</si>
  <si>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</si>
  <si>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</si>
  <si>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</si>
  <si>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</si>
  <si>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</si>
  <si>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</si>
  <si>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</si>
  <si>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</si>
  <si>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</si>
  <si>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</si>
  <si>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</si>
  <si>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</si>
  <si>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</si>
  <si>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</si>
  <si>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</si>
  <si>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</si>
  <si>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</si>
  <si>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</si>
  <si>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</si>
  <si>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</si>
  <si>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</si>
  <si>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</si>
  <si>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</si>
  <si>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</si>
  <si>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</si>
  <si>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</si>
  <si>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</si>
  <si>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</si>
  <si>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</si>
  <si>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</si>
  <si>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</si>
  <si>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</si>
  <si>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</si>
  <si>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</si>
  <si>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</si>
  <si>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</si>
  <si>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</si>
  <si>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</si>
  <si>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</si>
  <si>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</si>
  <si>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</si>
  <si>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</si>
  <si>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</si>
  <si>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</si>
  <si>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</si>
  <si>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</si>
  <si>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</si>
  <si>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</si>
  <si>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</si>
  <si>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</si>
  <si>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</si>
  <si>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</si>
  <si>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</si>
  <si>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</si>
  <si>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</si>
  <si>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</si>
  <si>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</si>
  <si>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</si>
  <si>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</si>
  <si>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</si>
  <si>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</si>
  <si>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</si>
  <si>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</si>
  <si>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</si>
  <si>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</si>
  <si>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</si>
  <si>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</si>
  <si>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</si>
  <si>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</si>
  <si>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</si>
  <si>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</si>
  <si>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</si>
  <si>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</si>
  <si>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</si>
  <si>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</si>
  <si>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</si>
  <si>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</si>
  <si>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</si>
  <si>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</si>
  <si>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</si>
  <si>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</si>
  <si>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</si>
  <si>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</si>
  <si>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</si>
  <si>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</si>
  <si>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</si>
  <si>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</si>
  <si>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</si>
  <si>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</si>
  <si>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</si>
  <si>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</si>
  <si>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</si>
  <si>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</si>
  <si>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</si>
  <si>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</si>
  <si>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</si>
  <si>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</si>
  <si>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</si>
  <si>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</si>
  <si>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</si>
  <si>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</si>
  <si>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</si>
  <si>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</si>
  <si>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</si>
  <si>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</si>
  <si>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</si>
  <si>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</si>
  <si>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</si>
  <si>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</si>
  <si>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</si>
  <si>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</si>
  <si>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</si>
  <si>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</si>
  <si>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</si>
  <si>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</si>
  <si>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</si>
  <si>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</si>
  <si>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</si>
  <si>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</si>
  <si>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</si>
  <si>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</si>
  <si>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</si>
  <si>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</si>
  <si>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</si>
  <si>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</si>
  <si>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</si>
  <si>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</si>
  <si>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</si>
  <si>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</si>
  <si>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</si>
  <si>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</si>
  <si>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</si>
  <si>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</si>
  <si>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</si>
  <si>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</si>
  <si>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</si>
  <si>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</si>
  <si>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</si>
  <si>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</si>
  <si>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</si>
  <si>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</si>
  <si>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</si>
  <si>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</si>
  <si>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</si>
  <si>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</si>
  <si>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</si>
  <si>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</si>
  <si>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</si>
  <si>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</si>
  <si>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</si>
  <si>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</si>
  <si>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</si>
  <si>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</si>
  <si>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</si>
  <si>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</si>
  <si>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</si>
  <si>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</si>
  <si>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</si>
  <si>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</si>
  <si>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</si>
  <si>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</si>
  <si>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</si>
  <si>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</si>
  <si>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</si>
  <si>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</si>
  <si>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</si>
  <si>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</si>
  <si>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</si>
  <si>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</si>
  <si>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</si>
  <si>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</si>
  <si>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</si>
  <si>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</si>
  <si>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</si>
  <si>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</si>
  <si>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</si>
  <si>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</si>
  <si>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</si>
  <si>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</si>
  <si>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</si>
  <si>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</si>
  <si>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</si>
  <si>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</si>
  <si>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</si>
  <si>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</si>
  <si>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</si>
  <si>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</si>
  <si>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</si>
  <si>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</si>
  <si>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</si>
  <si>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</si>
  <si>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</si>
  <si>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</si>
  <si>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</si>
  <si>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</si>
  <si>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</si>
  <si>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</si>
  <si>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</si>
  <si>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</si>
  <si>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</si>
  <si>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</si>
  <si>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</si>
  <si>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</si>
  <si>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</si>
  <si>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</si>
  <si>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</si>
  <si>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</si>
  <si>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</si>
  <si>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</si>
  <si>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</si>
  <si>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</si>
  <si>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</si>
  <si>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</si>
  <si>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</si>
  <si>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</si>
  <si>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</si>
  <si>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</si>
  <si>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</si>
  <si>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</si>
  <si>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</si>
  <si>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</si>
  <si>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</si>
  <si>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</si>
  <si>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</si>
  <si>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</si>
  <si>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</si>
  <si>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</si>
  <si>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</si>
  <si>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</si>
  <si>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</si>
  <si>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</si>
  <si>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</si>
  <si>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</si>
  <si>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</si>
  <si>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</si>
  <si>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</si>
  <si>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</si>
  <si>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</si>
  <si>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</si>
  <si>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</si>
  <si>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</si>
  <si>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</si>
  <si>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</si>
  <si>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</si>
  <si>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</si>
  <si>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</si>
  <si>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</si>
  <si>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</si>
  <si>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</si>
  <si>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</si>
  <si>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</si>
  <si>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</si>
  <si>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</si>
  <si>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</si>
  <si>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</si>
  <si>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</si>
  <si>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</si>
  <si>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</si>
  <si>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</si>
  <si>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</si>
  <si>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</si>
  <si>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</si>
  <si>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</si>
  <si>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</si>
  <si>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</si>
  <si>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</si>
  <si>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</si>
  <si>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</si>
  <si>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</si>
  <si>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</si>
  <si>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</si>
  <si>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</si>
  <si>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</si>
  <si>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</si>
  <si>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</si>
  <si>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</si>
  <si>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</si>
  <si>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</si>
  <si>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</si>
  <si>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</si>
  <si>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</si>
  <si>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</si>
  <si>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</si>
  <si>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</si>
  <si>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</si>
  <si>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</si>
  <si>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</si>
  <si>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</si>
  <si>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</si>
  <si>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</si>
  <si>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</si>
  <si>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</si>
  <si>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</si>
  <si>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</si>
  <si>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</si>
  <si>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</si>
  <si>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</si>
  <si>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</si>
  <si>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</si>
  <si>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</si>
  <si>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</si>
  <si>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</si>
  <si>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</si>
  <si>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</si>
  <si>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</si>
  <si>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</si>
  <si>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</si>
  <si>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</si>
  <si>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</si>
  <si>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</si>
  <si>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</si>
  <si>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</si>
  <si>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</si>
  <si>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</si>
  <si>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</si>
  <si>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</si>
  <si>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</si>
  <si>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</si>
  <si>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</si>
  <si>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</si>
  <si>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</si>
  <si>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</si>
  <si>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</si>
  <si>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</si>
  <si>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</si>
  <si>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</si>
  <si>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</si>
  <si>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</si>
  <si>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</si>
  <si>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</si>
  <si>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</si>
  <si>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</si>
  <si>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</si>
  <si>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</si>
  <si>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</si>
  <si>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</si>
  <si>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</si>
  <si>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</si>
  <si>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</si>
  <si>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</si>
  <si>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</si>
  <si>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</si>
  <si>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</si>
  <si>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</si>
  <si>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</si>
  <si>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</si>
  <si>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</si>
  <si>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</si>
  <si>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</si>
  <si>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</si>
  <si>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</si>
  <si>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</si>
  <si>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</si>
  <si>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</si>
  <si>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</si>
  <si>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</si>
  <si>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</si>
  <si>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</si>
  <si>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</si>
  <si>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</si>
  <si>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</si>
  <si>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</si>
  <si>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</si>
  <si>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</si>
  <si>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</si>
  <si>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</si>
  <si>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</si>
  <si>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</si>
  <si>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</si>
  <si>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</si>
  <si>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</si>
  <si>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</si>
  <si>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</si>
  <si>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</si>
  <si>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</si>
  <si>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</si>
  <si>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</si>
  <si>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</si>
  <si>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</si>
  <si>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</si>
  <si>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</si>
  <si>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</si>
  <si>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</si>
  <si>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</si>
  <si>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</si>
  <si>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</si>
  <si>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</si>
  <si>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</si>
  <si>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</si>
  <si>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</si>
  <si>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</si>
  <si>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</si>
  <si>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</si>
  <si>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</si>
  <si>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</si>
  <si>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</si>
  <si>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</si>
  <si>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</si>
  <si>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</si>
  <si>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</si>
  <si>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</si>
  <si>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</si>
  <si>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</si>
  <si>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</si>
  <si>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</si>
  <si>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</si>
  <si>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</si>
  <si>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</si>
  <si>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</si>
  <si>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</si>
  <si>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</si>
  <si>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</si>
  <si>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</si>
  <si>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</si>
  <si>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</si>
  <si>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</si>
  <si>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</si>
  <si>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</si>
  <si>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</si>
  <si>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</si>
  <si>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</si>
  <si>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</si>
  <si>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</si>
  <si>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</si>
  <si>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</si>
  <si>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</si>
  <si>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</si>
  <si>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</si>
  <si>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</si>
  <si>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</si>
  <si>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</si>
  <si>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</si>
  <si>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</si>
  <si>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</si>
  <si>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</si>
  <si>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</si>
  <si>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</si>
  <si>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</si>
  <si>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</si>
  <si>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</si>
  <si>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</si>
  <si>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</si>
  <si>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</si>
  <si>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</si>
  <si>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</si>
  <si>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</si>
  <si>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</si>
  <si>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</si>
  <si>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</si>
  <si>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</si>
  <si>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</si>
  <si>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</si>
  <si>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</si>
  <si>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</si>
  <si>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</si>
  <si>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</si>
  <si>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</si>
  <si>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</si>
  <si>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</si>
  <si>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</si>
  <si>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</si>
  <si>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</si>
  <si>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</si>
  <si>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</si>
  <si>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</si>
  <si>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</si>
  <si>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</si>
  <si>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</si>
  <si>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</si>
  <si>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</si>
  <si>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</si>
  <si>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</si>
  <si>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</si>
  <si>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</si>
  <si>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</si>
  <si>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</si>
  <si>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</si>
  <si>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</si>
  <si>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</si>
  <si>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</si>
  <si>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</si>
  <si>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</si>
  <si>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</si>
  <si>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</si>
  <si>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</si>
  <si>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</si>
  <si>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</si>
  <si>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</si>
  <si>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</si>
  <si>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</si>
  <si>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</si>
  <si>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</si>
  <si>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</si>
  <si>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</si>
  <si>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</si>
  <si>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</si>
  <si>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</si>
  <si>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</si>
  <si>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</si>
  <si>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</si>
  <si>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</si>
  <si>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</si>
  <si>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</si>
  <si>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</si>
  <si>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</si>
  <si>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</si>
  <si>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</si>
  <si>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</si>
  <si>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</si>
  <si>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</si>
  <si>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</si>
  <si>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</si>
  <si>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</si>
  <si>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</si>
  <si>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</si>
  <si>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</si>
  <si>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</si>
  <si>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</si>
  <si>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</si>
  <si>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收益比率</t>
  </si>
  <si>
    <t>个人其他（无凭证）</t>
  </si>
  <si>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</si>
  <si>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</si>
  <si>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</si>
  <si>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</si>
  <si>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</si>
  <si>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</si>
  <si>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</si>
  <si>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</si>
  <si>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</si>
  <si>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</si>
  <si>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</si>
  <si>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</si>
  <si>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</si>
  <si>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</si>
  <si>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</si>
  <si>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商业街</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</si>
  <si>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</si>
  <si>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</si>
  <si>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</si>
  <si>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</si>
  <si>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</si>
  <si>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</si>
  <si>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</si>
  <si>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</si>
  <si>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</si>
  <si>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</si>
  <si>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</si>
  <si>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</si>
  <si>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</si>
  <si>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</si>
  <si>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</si>
  <si>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</si>
  <si>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</si>
  <si>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</si>
  <si>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</si>
  <si>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</si>
  <si>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</si>
  <si>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</si>
  <si>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</si>
  <si>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</si>
  <si>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</si>
  <si>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</si>
  <si>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</si>
  <si>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</si>
  <si>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t>配套商业</t>
  </si>
  <si>
    <t>砖混</t>
  </si>
  <si>
    <t>可餐饮</t>
  </si>
  <si>
    <t>较适宜</t>
  </si>
  <si>
    <t>比较法-商业</t>
  </si>
  <si>
    <t>天通苑北街道</t>
    <phoneticPr fontId="225" type="noConversion"/>
  </si>
  <si>
    <t>产证</t>
    <phoneticPr fontId="225" type="noConversion"/>
  </si>
  <si>
    <t>1层</t>
    <phoneticPr fontId="225" type="noConversion"/>
  </si>
  <si>
    <t>龙跃苑东二区</t>
    <phoneticPr fontId="225" type="noConversion"/>
  </si>
  <si>
    <t>龙回苑</t>
    <phoneticPr fontId="225" type="noConversion"/>
  </si>
  <si>
    <t>上北鑫座</t>
    <phoneticPr fontId="225" type="noConversion"/>
  </si>
  <si>
    <t>较差</t>
    <phoneticPr fontId="225" type="noConversion"/>
  </si>
  <si>
    <t>10-20</t>
    <phoneticPr fontId="96" type="noConversion"/>
  </si>
  <si>
    <t>20-30</t>
    <phoneticPr fontId="96" type="noConversion"/>
  </si>
  <si>
    <t>比较法-商业2</t>
  </si>
  <si>
    <t>比较法-商业2</t>
    <phoneticPr fontId="225" type="noConversion"/>
  </si>
  <si>
    <t>比较法-商业3</t>
    <phoneticPr fontId="225" type="noConversion"/>
  </si>
  <si>
    <t>收益法2</t>
  </si>
  <si>
    <t>收益法2</t>
    <phoneticPr fontId="225" type="noConversion"/>
  </si>
  <si>
    <t>收益法3</t>
  </si>
  <si>
    <t>收益法3</t>
    <phoneticPr fontId="225" type="noConversion"/>
  </si>
  <si>
    <t>不临街</t>
    <phoneticPr fontId="96" type="noConversion"/>
  </si>
  <si>
    <t>临区外</t>
  </si>
  <si>
    <t>临区外</t>
    <phoneticPr fontId="96" type="noConversion"/>
  </si>
  <si>
    <t>临区内</t>
  </si>
  <si>
    <t>临区内</t>
    <phoneticPr fontId="96" type="noConversion"/>
  </si>
  <si>
    <t>较好</t>
    <phoneticPr fontId="225" type="noConversion"/>
  </si>
  <si>
    <t>比较法-商业3</t>
  </si>
  <si>
    <t>一般</t>
    <phoneticPr fontId="225" type="noConversion"/>
  </si>
  <si>
    <t>不临街</t>
  </si>
  <si>
    <t>套内占比</t>
    <phoneticPr fontId="225" type="noConversion"/>
  </si>
  <si>
    <t>50-60%</t>
    <phoneticPr fontId="225" type="noConversion"/>
  </si>
  <si>
    <t>60-70%</t>
    <phoneticPr fontId="225" type="noConversion"/>
  </si>
  <si>
    <t>70-80%</t>
    <phoneticPr fontId="225" type="noConversion"/>
  </si>
  <si>
    <t>估值（万元）</t>
    <phoneticPr fontId="225" type="noConversion"/>
  </si>
  <si>
    <t>单价</t>
    <phoneticPr fontId="225" type="noConversion"/>
  </si>
  <si>
    <t>户号</t>
    <phoneticPr fontId="225" type="noConversion"/>
  </si>
  <si>
    <t>合计</t>
    <phoneticPr fontId="225" type="noConversion"/>
  </si>
  <si>
    <t>——</t>
    <phoneticPr fontId="225" type="noConversion"/>
  </si>
  <si>
    <t>企业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</si>
</sst>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3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0" fontId="117" fillId="7" borderId="0" xfId="0" applyFont="1" applyFill="1">
      <alignment vertical="center"/>
    </xf>
    <xf numFmtId="186" fontId="64" fillId="2" borderId="6" xfId="5" applyNumberFormat="1" applyFont="1" applyFill="1" applyBorder="1" applyAlignment="1">
      <alignment vertical="center" wrapText="1"/>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86" fontId="64" fillId="0" borderId="5" xfId="5" applyNumberFormat="1" applyFont="1" applyBorder="1" applyAlignment="1" applyProtection="1">
      <alignment horizontal="center" vertical="center"/>
      <protection locked="0"/>
    </xf>
    <xf numFmtId="186" fontId="72" fillId="0" borderId="8" xfId="5" applyNumberFormat="1" applyFont="1" applyBorder="1" applyAlignment="1" applyProtection="1">
      <alignment horizontal="center" vertical="center"/>
      <protection locked="0"/>
    </xf>
    <xf numFmtId="49" fontId="72" fillId="0" borderId="14" xfId="0" applyNumberFormat="1" applyFont="1" applyBorder="1" applyAlignment="1" applyProtection="1">
      <alignment horizontal="center" vertical="center" wrapText="1"/>
      <protection locked="0"/>
    </xf>
    <xf numFmtId="49" fontId="64" fillId="0" borderId="121" xfId="0" applyNumberFormat="1" applyFont="1" applyBorder="1" applyAlignment="1" applyProtection="1">
      <alignment horizontal="center" vertical="center" wrapText="1"/>
      <protection locked="0"/>
    </xf>
    <xf numFmtId="0" fontId="106" fillId="0" borderId="86" xfId="0" applyFont="1" applyBorder="1" applyAlignment="1" applyProtection="1">
      <alignment horizontal="center" vertical="center" wrapText="1"/>
      <protection locked="0"/>
    </xf>
    <xf numFmtId="0" fontId="72" fillId="23" borderId="13" xfId="0" applyFont="1" applyFill="1" applyBorder="1" applyAlignment="1">
      <alignment horizontal="center" vertical="center" wrapText="1"/>
    </xf>
    <xf numFmtId="0" fontId="104" fillId="0" borderId="13" xfId="0" applyFont="1" applyBorder="1" applyAlignment="1" applyProtection="1">
      <alignment horizontal="center" vertical="center" wrapText="1"/>
      <protection locked="0"/>
    </xf>
    <xf numFmtId="0" fontId="55" fillId="13" borderId="7" xfId="0" applyFont="1" applyFill="1" applyBorder="1" applyProtection="1">
      <alignment vertical="center"/>
      <protection locked="0"/>
    </xf>
    <xf numFmtId="0" fontId="68" fillId="13" borderId="7" xfId="0" applyFont="1" applyFill="1" applyBorder="1" applyProtection="1">
      <alignment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94"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10" fillId="0" borderId="0" xfId="0" applyFont="1" applyAlignment="1">
      <alignment horizontal="center" vertical="center"/>
    </xf>
    <xf numFmtId="0" fontId="89" fillId="0" borderId="121"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217">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331876</xdr:colOff>
      <xdr:row>14</xdr:row>
      <xdr:rowOff>9267</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685800" y="342900"/>
          <a:ext cx="11990476" cy="2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160" customWidth="1"/>
    <col min="2" max="2" width="81" style="3161" customWidth="1"/>
    <col min="3" max="16384" width="9" style="3162"/>
  </cols>
  <sheetData>
    <row r="1" spans="1:2" s="3158" customFormat="1">
      <c r="A1" s="3163" t="s">
        <v>0</v>
      </c>
      <c r="B1" s="3164" t="s">
        <v>1</v>
      </c>
    </row>
    <row r="2" spans="1:2" s="3159" customFormat="1">
      <c r="A2" s="3165" t="s">
        <v>2</v>
      </c>
      <c r="B2" s="3166" t="str">
        <f>'预评函-封皮'!B37:I37</f>
        <v>北京市房地产抵押价值预评估</v>
      </c>
    </row>
    <row r="3" spans="1:2">
      <c r="A3" s="3167" t="s">
        <v>3</v>
      </c>
      <c r="B3" s="3168">
        <f>'预评函-封皮'!B40</f>
        <v>0</v>
      </c>
    </row>
    <row r="4" spans="1:2">
      <c r="A4" s="3167" t="s">
        <v>4</v>
      </c>
      <c r="B4" s="3168" t="str">
        <f>'预评函-封皮'!B46</f>
        <v>（注册号：0)、（注册号：0)</v>
      </c>
    </row>
    <row r="5" spans="1:2" s="3158" customFormat="1">
      <c r="A5" s="3169" t="s">
        <v>5</v>
      </c>
      <c r="B5" s="3170" t="str">
        <f>'预评函-封皮'!B49</f>
        <v>康正预评字号</v>
      </c>
    </row>
    <row r="6" spans="1:2" s="3159" customFormat="1">
      <c r="A6" s="3165" t="s">
        <v>6</v>
      </c>
      <c r="B6" s="3166" t="str">
        <f>'预评函-1'!A4</f>
        <v>受贵公司委托，我公司对北京市房地产抵押价值进行了预评估。</v>
      </c>
    </row>
    <row r="7" spans="1:2">
      <c r="A7" s="3167" t="s">
        <v>7</v>
      </c>
      <c r="B7" s="3168" t="str">
        <f>'预评函-1'!A7</f>
        <v>估价对象为北京市房地产，为所有。根据《国有土地使用证》[]，估价对象（分摊）出让国有建设用地使用权面积为0平方米，建筑面积为885.63平方米。</v>
      </c>
    </row>
    <row r="8" spans="1:2">
      <c r="A8" s="3167" t="s">
        <v>8</v>
      </c>
      <c r="B8" s="3168" t="str">
        <f>'预评函-1'!A8</f>
        <v>估价对象简述。项目推广名，项目类型（用途），估价对象分布，各用途面积明细情况：XX用途建筑面积XX平方米，XX用途建筑面积XX平方米，……。复杂面积清单需设‘附表’列示：抵押物清单详见附表</v>
      </c>
    </row>
    <row r="9" spans="1:2">
      <c r="A9" s="3167" t="s">
        <v>9</v>
      </c>
      <c r="B9" s="3168" t="str">
        <f>'预评函-1'!A10</f>
        <v>估价对象为北京市房地产,属开发建设的办公项目，该项目尚在开发建设中。根据《国有土地使用证》[]，估价对象（分摊）出让国有建设用地使用权面积为0平方米，规划建筑面积为885.63平方米。</v>
      </c>
    </row>
    <row r="10" spans="1:2">
      <c r="A10" s="3167" t="s">
        <v>10</v>
      </c>
      <c r="B10" s="31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7" t="s">
        <v>11</v>
      </c>
      <c r="B11" s="316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7" t="s">
        <v>12</v>
      </c>
      <c r="B12" s="3168" t="str">
        <f>'预评函-1'!A15</f>
        <v>2025年7月1日（评估专业人员实地查勘之日）</v>
      </c>
    </row>
    <row r="13" spans="1:2">
      <c r="A13" s="3167" t="s">
        <v>13</v>
      </c>
      <c r="B13" s="3168" t="str">
        <f>'预评函-1'!A18</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4" spans="1:2">
      <c r="A14" s="3167" t="s">
        <v>14</v>
      </c>
      <c r="B14" s="3168"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7" t="s">
        <v>15</v>
      </c>
      <c r="B15" s="3168" t="str">
        <f>'预评函-1'!A20</f>
        <v>本次估价的“房地产抵押价值”是指估价对象在价值时点的“房地产价值”扣减估价师于价值时点所知悉的法定优先受偿款后的余额。</v>
      </c>
    </row>
    <row r="16" spans="1:2">
      <c r="A16" s="3167" t="s">
        <v>16</v>
      </c>
      <c r="B16" s="31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7" t="s">
        <v>17</v>
      </c>
      <c r="B17" s="3168" t="str">
        <f>'预评函-1'!A22</f>
        <v/>
      </c>
    </row>
    <row r="18" spans="1:2" s="3158" customFormat="1">
      <c r="A18" s="3169" t="s">
        <v>18</v>
      </c>
      <c r="B18" s="3170" t="str">
        <f>'预评函-1'!A24</f>
        <v>本次评估采用的主估价方法为比较法和收益法。</v>
      </c>
    </row>
    <row r="19" spans="1:2" s="3159" customFormat="1">
      <c r="A19" s="3165" t="s">
        <v>19</v>
      </c>
      <c r="B19" s="31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7" t="s">
        <v>20</v>
      </c>
      <c r="B20" s="3168">
        <f ca="1">'预评函-2'!D5</f>
        <v>1009</v>
      </c>
    </row>
    <row r="21" spans="1:2">
      <c r="A21" s="3167" t="s">
        <v>21</v>
      </c>
      <c r="B21" s="3168">
        <f ca="1">'预评函-2'!D7</f>
        <v>28410</v>
      </c>
    </row>
    <row r="22" spans="1:2">
      <c r="A22" s="3167" t="s">
        <v>22</v>
      </c>
      <c r="B22" s="3168" t="str">
        <f ca="1">'预评函-2'!D6</f>
        <v>壹仟零玖万元整</v>
      </c>
    </row>
    <row r="23" spans="1:2">
      <c r="A23" s="3167" t="s">
        <v>23</v>
      </c>
      <c r="B23" s="3168" t="str">
        <f>'预评函-2'!B8</f>
        <v>2.估价师知悉的法定优先受偿款</v>
      </c>
    </row>
    <row r="24" spans="1:2">
      <c r="A24" s="3167" t="s">
        <v>24</v>
      </c>
      <c r="B24" s="3168">
        <f>'预评函-2'!D8</f>
        <v>0</v>
      </c>
    </row>
    <row r="25" spans="1:2">
      <c r="A25" s="3167" t="s">
        <v>25</v>
      </c>
      <c r="B25" s="3168" t="str">
        <f>'预评函-2'!D9</f>
        <v>零元整</v>
      </c>
    </row>
    <row r="26" spans="1:2">
      <c r="A26" s="3167" t="s">
        <v>26</v>
      </c>
      <c r="B26" s="3168">
        <f>'预评函-2'!D10</f>
        <v>0</v>
      </c>
    </row>
    <row r="27" spans="1:2">
      <c r="A27" s="3167" t="s">
        <v>27</v>
      </c>
      <c r="B27" s="3168">
        <f>'预评函-2'!D11</f>
        <v>0</v>
      </c>
    </row>
    <row r="28" spans="1:2">
      <c r="A28" s="3167" t="s">
        <v>28</v>
      </c>
      <c r="B28" s="3168">
        <f>'预评函-2'!D12</f>
        <v>0</v>
      </c>
    </row>
    <row r="29" spans="1:2">
      <c r="A29" s="3167" t="s">
        <v>29</v>
      </c>
      <c r="B29" s="3168" t="str">
        <f>'预评函-2'!B13</f>
        <v>3.房地产抵押价值</v>
      </c>
    </row>
    <row r="30" spans="1:2">
      <c r="A30" s="3167" t="s">
        <v>30</v>
      </c>
      <c r="B30" s="3168">
        <f ca="1">'预评函-2'!D13</f>
        <v>1009</v>
      </c>
    </row>
    <row r="31" spans="1:2">
      <c r="A31" s="3167" t="s">
        <v>31</v>
      </c>
      <c r="B31" s="3168">
        <f ca="1">'预评函-2'!D15</f>
        <v>28410</v>
      </c>
    </row>
    <row r="32" spans="1:2">
      <c r="A32" s="3167" t="s">
        <v>32</v>
      </c>
      <c r="B32" s="3168" t="str">
        <f ca="1">'预评函-2'!D14</f>
        <v>壹仟零玖万元整</v>
      </c>
    </row>
    <row r="33" spans="1:2">
      <c r="A33" s="3167" t="s">
        <v>33</v>
      </c>
      <c r="B33" s="3168" t="str">
        <f>'预评函-2'!B16</f>
        <v>——</v>
      </c>
    </row>
    <row r="34" spans="1:2">
      <c r="A34" s="3167" t="s">
        <v>34</v>
      </c>
      <c r="B34" s="3168" t="str">
        <f>'预评函-2'!D16</f>
        <v>——</v>
      </c>
    </row>
    <row r="35" spans="1:2">
      <c r="A35" s="3167" t="s">
        <v>35</v>
      </c>
      <c r="B35" s="3168" t="str">
        <f>'预评函-2'!D18</f>
        <v>——</v>
      </c>
    </row>
    <row r="36" spans="1:2">
      <c r="A36" s="3167" t="s">
        <v>36</v>
      </c>
      <c r="B36" s="3168" t="e">
        <f>'预评函-2'!D17</f>
        <v>#VALUE!</v>
      </c>
    </row>
    <row r="37" spans="1:2">
      <c r="A37" s="3167" t="s">
        <v>37</v>
      </c>
      <c r="B37" s="3168" t="str">
        <f>'预评函-2'!B19</f>
        <v>——</v>
      </c>
    </row>
    <row r="38" spans="1:2">
      <c r="A38" s="3167" t="s">
        <v>38</v>
      </c>
      <c r="B38" s="3168" t="str">
        <f>'预评函-2'!D19</f>
        <v>——</v>
      </c>
    </row>
    <row r="39" spans="1:2">
      <c r="A39" s="3167" t="s">
        <v>39</v>
      </c>
      <c r="B39" s="3168" t="str">
        <f>'预评函-2'!D21</f>
        <v>——</v>
      </c>
    </row>
    <row r="40" spans="1:2">
      <c r="A40" s="3167" t="s">
        <v>40</v>
      </c>
      <c r="B40" s="3168" t="e">
        <f>'预评函-2'!D20</f>
        <v>#VALUE!</v>
      </c>
    </row>
    <row r="41" spans="1:2">
      <c r="A41" s="3167" t="s">
        <v>41</v>
      </c>
      <c r="B41" s="3168" t="str">
        <f>'预评函-3'!A4</f>
        <v>北京市房地产</v>
      </c>
    </row>
    <row r="42" spans="1:2" ht="31.2">
      <c r="A42" s="3167" t="s">
        <v>42</v>
      </c>
      <c r="B42" s="3168" t="str">
        <f>'预评函-3'!B2</f>
        <v>建筑面积</v>
      </c>
    </row>
    <row r="43" spans="1:2">
      <c r="A43" s="3167" t="s">
        <v>43</v>
      </c>
      <c r="B43" s="3168">
        <f>'预评函-3'!B4</f>
        <v>885.63</v>
      </c>
    </row>
    <row r="44" spans="1:2" ht="31.2">
      <c r="A44" s="3167" t="s">
        <v>44</v>
      </c>
      <c r="B44" s="3168" t="str">
        <f>'预评函-3'!C2</f>
        <v>(分摊)土地面积</v>
      </c>
    </row>
    <row r="45" spans="1:2">
      <c r="A45" s="3167" t="s">
        <v>45</v>
      </c>
      <c r="B45" s="3168">
        <f>'预评函-3'!C4</f>
        <v>0</v>
      </c>
    </row>
    <row r="46" spans="1:2">
      <c r="A46" s="3167" t="s">
        <v>46</v>
      </c>
      <c r="B46" s="3168" t="str">
        <f>'预评函-3'!D2</f>
        <v>出让国有建设用地使用权价值</v>
      </c>
    </row>
    <row r="47" spans="1:2">
      <c r="A47" s="3167" t="s">
        <v>47</v>
      </c>
      <c r="B47" s="3168">
        <f ca="1">'预评函-3'!D4</f>
        <v>730</v>
      </c>
    </row>
    <row r="48" spans="1:2">
      <c r="A48" s="3167" t="s">
        <v>48</v>
      </c>
      <c r="B48" s="3168">
        <f ca="1">'预评函-3'!E4</f>
        <v>20540</v>
      </c>
    </row>
    <row r="49" spans="1:2">
      <c r="A49" s="3167" t="s">
        <v>49</v>
      </c>
      <c r="B49" s="3168" t="str">
        <f ca="1">'预评函-3'!D5</f>
        <v>柒佰叁拾万元整</v>
      </c>
    </row>
    <row r="50" spans="1:2">
      <c r="A50" s="3167" t="s">
        <v>50</v>
      </c>
      <c r="B50" s="3168" t="str">
        <f>'预评函-3'!F2</f>
        <v>在建建筑物价值</v>
      </c>
    </row>
    <row r="51" spans="1:2">
      <c r="A51" s="3167" t="s">
        <v>51</v>
      </c>
      <c r="B51" s="3168">
        <f ca="1">'预评函-3'!F4</f>
        <v>280</v>
      </c>
    </row>
    <row r="52" spans="1:2">
      <c r="A52" s="3167" t="s">
        <v>52</v>
      </c>
      <c r="B52" s="3168">
        <f ca="1">'预评函-3'!G4</f>
        <v>7870</v>
      </c>
    </row>
    <row r="53" spans="1:2">
      <c r="A53" s="3167" t="s">
        <v>53</v>
      </c>
      <c r="B53" s="3168" t="str">
        <f ca="1">'预评函-3'!F5</f>
        <v>贰佰捌拾万元整</v>
      </c>
    </row>
    <row r="54" spans="1:2">
      <c r="A54" s="3167" t="s">
        <v>54</v>
      </c>
      <c r="B54" s="3168" t="str">
        <f>'预评函-3'!A8</f>
        <v>房地产抵押价值</v>
      </c>
    </row>
    <row r="55" spans="1:2">
      <c r="A55" s="3167" t="s">
        <v>55</v>
      </c>
      <c r="B55" s="3168" t="str">
        <f>'预评函-3'!A10</f>
        <v/>
      </c>
    </row>
    <row r="56" spans="1:2">
      <c r="A56" s="3167" t="s">
        <v>56</v>
      </c>
      <c r="B56" s="3168" t="str">
        <f>'预评函-3'!A12</f>
        <v/>
      </c>
    </row>
    <row r="57" spans="1:2" s="3158" customFormat="1">
      <c r="A57" s="3169" t="s">
        <v>57</v>
      </c>
      <c r="B57" s="3170" t="str">
        <f>'预评函-3'!A6</f>
        <v>估价师知悉的法定优先受偿款</v>
      </c>
    </row>
    <row r="58" spans="1:2" s="3159" customFormat="1">
      <c r="A58" s="3165" t="s">
        <v>58</v>
      </c>
      <c r="B58" s="3166" t="str">
        <f>'预评函-4'!A12</f>
        <v>2.本《评估意见函》仅供金融机构进行内部审核使用，不做其他目的之用。</v>
      </c>
    </row>
    <row r="59" spans="1:2">
      <c r="A59" s="3167" t="s">
        <v>59</v>
      </c>
      <c r="B59" s="3168" t="str">
        <f>'预评函-4'!A13</f>
        <v>3.抵押双方在办理抵押登记手续时，应使用本公司出具的正式《房地产评估报告》，特提醒报告使用者注意。</v>
      </c>
    </row>
    <row r="60" spans="1:2">
      <c r="A60" s="3167" t="s">
        <v>60</v>
      </c>
      <c r="B60" s="3168" t="str">
        <f>'预评函-4'!A14</f>
        <v>4.本次评估估价师所知悉的法定优先受偿款情况说明如下：</v>
      </c>
    </row>
    <row r="61" spans="1:2">
      <c r="A61" s="3167" t="s">
        <v>61</v>
      </c>
      <c r="B61" s="316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7" t="s">
        <v>62</v>
      </c>
      <c r="B62" s="3168" t="str">
        <f>'预评函-4'!A16</f>
        <v>（2）根据《工程款支付情况说明》，截至价值时点，估价对象不存在应付未付工程款项。（只要没有施工方盖章的，均“设定”进行表述）</v>
      </c>
    </row>
    <row r="63" spans="1:2">
      <c r="A63" s="3167" t="s">
        <v>63</v>
      </c>
      <c r="B63" s="31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7" t="s">
        <v>64</v>
      </c>
      <c r="B64" s="3168" t="str">
        <f>'预评函-4'!A18</f>
        <v>故，本次评估不存在估价师知悉的法定优先受偿款</v>
      </c>
    </row>
    <row r="65" spans="1:2">
      <c r="A65" s="3167" t="s">
        <v>65</v>
      </c>
      <c r="B65" s="31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7" t="s">
        <v>66</v>
      </c>
      <c r="B66" s="31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7" t="s">
        <v>67</v>
      </c>
      <c r="B67" s="31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7" t="s">
        <v>68</v>
      </c>
      <c r="B68" s="3168" t="str">
        <f>'预评函-4'!A22</f>
        <v>8.其他需特殊说明事项：无（注意调整序号）</v>
      </c>
    </row>
    <row r="69" spans="1:2" s="3158" customFormat="1">
      <c r="A69" s="3169" t="s">
        <v>69</v>
      </c>
      <c r="B69" s="3171">
        <f>'预评函-4'!C31</f>
        <v>42551</v>
      </c>
    </row>
    <row r="70" spans="1:2">
      <c r="A70" s="3172" t="s">
        <v>70</v>
      </c>
      <c r="B70" s="3173">
        <f>'预评函-4'!A4</f>
        <v>0</v>
      </c>
    </row>
    <row r="71" spans="1:2">
      <c r="A71" s="3167" t="s">
        <v>71</v>
      </c>
      <c r="B71" s="3168">
        <f>'预评函-4'!B4</f>
        <v>0</v>
      </c>
    </row>
    <row r="72" spans="1:2">
      <c r="A72" s="3167" t="s">
        <v>72</v>
      </c>
      <c r="B72" s="3174">
        <f>'预评函-4'!A5</f>
        <v>0</v>
      </c>
    </row>
    <row r="73" spans="1:2" s="3158" customFormat="1">
      <c r="A73" s="3169" t="s">
        <v>73</v>
      </c>
      <c r="B73" s="3170">
        <f>'预评函-4'!B5</f>
        <v>0</v>
      </c>
    </row>
    <row r="74" spans="1:2">
      <c r="A74" s="3160" t="s">
        <v>74</v>
      </c>
      <c r="B74" s="3161"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3" sqref="H23"/>
    </sheetView>
  </sheetViews>
  <sheetFormatPr defaultColWidth="9" defaultRowHeight="14.4"/>
  <cols>
    <col min="1" max="1" width="13.44140625" style="3051" customWidth="1"/>
    <col min="2" max="2" width="23.21875" style="262" customWidth="1"/>
    <col min="3" max="3" width="13" style="3052" customWidth="1"/>
    <col min="4" max="4" width="5.77734375" style="3053" customWidth="1"/>
    <col min="5" max="5" width="7.109375" style="3053" customWidth="1"/>
    <col min="6" max="6" width="10.6640625" style="3053" customWidth="1"/>
    <col min="7" max="7" width="7.44140625" style="3053" customWidth="1"/>
    <col min="8" max="8" width="11.88671875" style="3052" customWidth="1"/>
    <col min="9" max="9" width="11.6640625" style="3052" customWidth="1"/>
    <col min="10" max="10" width="9" style="3052" customWidth="1"/>
    <col min="11" max="19" width="9" style="3053" customWidth="1"/>
    <col min="20" max="23" width="9" style="3052" customWidth="1"/>
    <col min="24" max="24" width="21.109375" style="262" customWidth="1"/>
    <col min="25" max="16384" width="9" style="262"/>
  </cols>
  <sheetData>
    <row r="1" spans="1:23" s="3050" customFormat="1" ht="43.2">
      <c r="A1" s="3054" t="s">
        <v>206</v>
      </c>
      <c r="B1" s="3055" t="s">
        <v>207</v>
      </c>
      <c r="C1" s="3056" t="s">
        <v>208</v>
      </c>
      <c r="D1" s="3057" t="s">
        <v>209</v>
      </c>
      <c r="E1" s="3056" t="s">
        <v>210</v>
      </c>
      <c r="F1" s="3056" t="s">
        <v>211</v>
      </c>
      <c r="G1" s="3056" t="s">
        <v>212</v>
      </c>
      <c r="H1" s="3056" t="s">
        <v>213</v>
      </c>
      <c r="I1" s="3056" t="s">
        <v>214</v>
      </c>
      <c r="J1" s="3056" t="s">
        <v>215</v>
      </c>
      <c r="K1" s="3056" t="s">
        <v>216</v>
      </c>
      <c r="L1" s="3056" t="s">
        <v>217</v>
      </c>
      <c r="M1" s="3056" t="s">
        <v>218</v>
      </c>
      <c r="N1" s="3056" t="s">
        <v>219</v>
      </c>
      <c r="O1" s="3056" t="s">
        <v>220</v>
      </c>
      <c r="P1" s="3057" t="s">
        <v>221</v>
      </c>
      <c r="Q1" s="3057" t="s">
        <v>222</v>
      </c>
      <c r="R1" s="3056" t="s">
        <v>223</v>
      </c>
      <c r="S1" s="3056" t="s">
        <v>224</v>
      </c>
      <c r="T1" s="3057" t="s">
        <v>225</v>
      </c>
      <c r="U1" s="3056" t="s">
        <v>226</v>
      </c>
      <c r="V1" s="3056" t="s">
        <v>227</v>
      </c>
      <c r="W1" s="3056" t="s">
        <v>228</v>
      </c>
    </row>
    <row r="2" spans="1:23">
      <c r="A2" s="3058" t="s">
        <v>124</v>
      </c>
      <c r="B2" s="3058" t="s">
        <v>229</v>
      </c>
      <c r="C2" s="3059" t="s">
        <v>230</v>
      </c>
      <c r="D2" s="3053" t="s">
        <v>231</v>
      </c>
      <c r="E2" s="3053" t="s">
        <v>232</v>
      </c>
      <c r="F2" s="3053" t="s">
        <v>159</v>
      </c>
      <c r="G2" s="3053">
        <v>20</v>
      </c>
      <c r="H2" s="3053" t="s">
        <v>159</v>
      </c>
      <c r="I2" s="3053" t="s">
        <v>233</v>
      </c>
      <c r="J2" s="3053" t="s">
        <v>234</v>
      </c>
      <c r="K2" s="3053" t="s">
        <v>235</v>
      </c>
      <c r="L2" s="3053" t="s">
        <v>235</v>
      </c>
      <c r="M2" s="3053" t="s">
        <v>235</v>
      </c>
      <c r="N2" s="3053" t="s">
        <v>235</v>
      </c>
      <c r="O2" s="3053" t="s">
        <v>235</v>
      </c>
      <c r="P2" s="3053" t="s">
        <v>235</v>
      </c>
      <c r="Q2" s="3053" t="s">
        <v>235</v>
      </c>
      <c r="R2" s="3053" t="s">
        <v>236</v>
      </c>
      <c r="S2" s="3053" t="s">
        <v>235</v>
      </c>
      <c r="T2" s="3053" t="s">
        <v>237</v>
      </c>
      <c r="U2" s="3053" t="s">
        <v>235</v>
      </c>
      <c r="V2" s="3053" t="s">
        <v>238</v>
      </c>
      <c r="W2" s="3053" t="s">
        <v>235</v>
      </c>
    </row>
    <row r="3" spans="1:23">
      <c r="A3" s="3058" t="s">
        <v>239</v>
      </c>
      <c r="B3" s="3060" t="s">
        <v>240</v>
      </c>
      <c r="C3" s="3059" t="s">
        <v>241</v>
      </c>
      <c r="D3" s="3053" t="s">
        <v>242</v>
      </c>
      <c r="E3" s="3053" t="s">
        <v>124</v>
      </c>
      <c r="F3" s="3053" t="s">
        <v>160</v>
      </c>
      <c r="G3" s="3053">
        <v>40</v>
      </c>
      <c r="H3" s="3053" t="s">
        <v>160</v>
      </c>
      <c r="I3" s="3053" t="s">
        <v>243</v>
      </c>
      <c r="J3" s="3053" t="s">
        <v>244</v>
      </c>
      <c r="K3" s="3053" t="s">
        <v>245</v>
      </c>
      <c r="L3" s="3053" t="s">
        <v>245</v>
      </c>
      <c r="M3" s="3053" t="s">
        <v>245</v>
      </c>
      <c r="N3" s="3053" t="s">
        <v>245</v>
      </c>
      <c r="O3" s="3053" t="s">
        <v>245</v>
      </c>
      <c r="P3" s="3053" t="s">
        <v>245</v>
      </c>
      <c r="Q3" s="3053" t="s">
        <v>245</v>
      </c>
      <c r="R3" s="3053" t="s">
        <v>246</v>
      </c>
      <c r="S3" s="3053" t="s">
        <v>245</v>
      </c>
      <c r="T3" s="3053" t="s">
        <v>247</v>
      </c>
      <c r="U3" s="3053" t="s">
        <v>245</v>
      </c>
      <c r="V3" s="3053" t="s">
        <v>248</v>
      </c>
      <c r="W3" s="3053" t="s">
        <v>245</v>
      </c>
    </row>
    <row r="4" spans="1:23">
      <c r="A4" s="3058" t="s">
        <v>249</v>
      </c>
      <c r="B4" s="3058" t="s">
        <v>250</v>
      </c>
      <c r="C4" s="3059" t="s">
        <v>251</v>
      </c>
      <c r="D4" s="3053" t="s">
        <v>124</v>
      </c>
      <c r="E4" s="3053" t="s">
        <v>252</v>
      </c>
      <c r="F4" s="3053" t="s">
        <v>161</v>
      </c>
      <c r="G4" s="3053">
        <v>50</v>
      </c>
      <c r="H4" s="3053" t="s">
        <v>161</v>
      </c>
      <c r="I4" s="3053" t="s">
        <v>253</v>
      </c>
      <c r="K4" s="3053" t="s">
        <v>254</v>
      </c>
      <c r="L4" s="3053" t="s">
        <v>254</v>
      </c>
      <c r="M4" s="3053" t="s">
        <v>254</v>
      </c>
      <c r="N4" s="3053" t="s">
        <v>254</v>
      </c>
      <c r="O4" s="3053" t="s">
        <v>254</v>
      </c>
      <c r="P4" s="3053" t="s">
        <v>254</v>
      </c>
      <c r="Q4" s="3053" t="s">
        <v>254</v>
      </c>
      <c r="R4" s="3053" t="s">
        <v>255</v>
      </c>
      <c r="S4" s="3053" t="s">
        <v>254</v>
      </c>
      <c r="T4" s="3053" t="s">
        <v>256</v>
      </c>
      <c r="U4" s="3053" t="s">
        <v>254</v>
      </c>
      <c r="W4" s="3053" t="s">
        <v>254</v>
      </c>
    </row>
    <row r="5" spans="1:23">
      <c r="A5" s="3058" t="s">
        <v>257</v>
      </c>
      <c r="B5" s="3058" t="s">
        <v>258</v>
      </c>
      <c r="C5" s="3059" t="s">
        <v>259</v>
      </c>
      <c r="F5" s="3053" t="s">
        <v>162</v>
      </c>
      <c r="G5" s="3053">
        <v>70</v>
      </c>
      <c r="H5" s="3053" t="s">
        <v>260</v>
      </c>
      <c r="I5" s="3053" t="s">
        <v>261</v>
      </c>
      <c r="K5" s="3053" t="s">
        <v>262</v>
      </c>
      <c r="L5" s="3053" t="s">
        <v>262</v>
      </c>
      <c r="M5" s="3053" t="s">
        <v>262</v>
      </c>
      <c r="N5" s="3053" t="s">
        <v>262</v>
      </c>
      <c r="O5" s="3053" t="s">
        <v>262</v>
      </c>
      <c r="P5" s="3053" t="s">
        <v>262</v>
      </c>
      <c r="Q5" s="3053" t="s">
        <v>262</v>
      </c>
      <c r="R5" s="3053" t="s">
        <v>263</v>
      </c>
      <c r="S5" s="3053" t="s">
        <v>262</v>
      </c>
      <c r="T5" s="3053" t="s">
        <v>264</v>
      </c>
      <c r="U5" s="3053" t="s">
        <v>262</v>
      </c>
      <c r="W5" s="3053" t="s">
        <v>262</v>
      </c>
    </row>
    <row r="6" spans="1:23">
      <c r="A6" s="3058" t="s">
        <v>265</v>
      </c>
      <c r="B6" s="3060" t="s">
        <v>266</v>
      </c>
      <c r="C6" s="3061" t="s">
        <v>267</v>
      </c>
      <c r="F6" s="3053" t="s">
        <v>260</v>
      </c>
      <c r="H6" s="3053" t="s">
        <v>164</v>
      </c>
      <c r="I6" s="3053" t="s">
        <v>268</v>
      </c>
      <c r="K6" s="3053" t="s">
        <v>269</v>
      </c>
      <c r="L6" s="3053" t="s">
        <v>269</v>
      </c>
      <c r="M6" s="3053" t="s">
        <v>269</v>
      </c>
      <c r="N6" s="3053" t="s">
        <v>269</v>
      </c>
      <c r="O6" s="3053" t="s">
        <v>269</v>
      </c>
      <c r="P6" s="3053" t="s">
        <v>269</v>
      </c>
      <c r="Q6" s="3053" t="s">
        <v>269</v>
      </c>
      <c r="R6" s="3053" t="s">
        <v>270</v>
      </c>
      <c r="S6" s="3053" t="s">
        <v>269</v>
      </c>
      <c r="T6" s="3053"/>
      <c r="U6" s="3053" t="s">
        <v>269</v>
      </c>
      <c r="W6" s="3053" t="s">
        <v>269</v>
      </c>
    </row>
    <row r="7" spans="1:23">
      <c r="A7" s="3058" t="s">
        <v>271</v>
      </c>
      <c r="B7" s="3060" t="s">
        <v>272</v>
      </c>
      <c r="C7" s="3059" t="s">
        <v>273</v>
      </c>
      <c r="F7" s="3053" t="s">
        <v>274</v>
      </c>
      <c r="H7" s="3053" t="s">
        <v>162</v>
      </c>
      <c r="I7" s="3053" t="s">
        <v>275</v>
      </c>
    </row>
    <row r="8" spans="1:23">
      <c r="A8" s="3058" t="s">
        <v>276</v>
      </c>
      <c r="B8" s="3058" t="s">
        <v>277</v>
      </c>
      <c r="C8" s="3059" t="s">
        <v>278</v>
      </c>
      <c r="F8" s="3053" t="s">
        <v>279</v>
      </c>
      <c r="H8" s="3053" t="s">
        <v>280</v>
      </c>
      <c r="I8" s="3053" t="s">
        <v>281</v>
      </c>
    </row>
    <row r="9" spans="1:23">
      <c r="A9" s="3058" t="s">
        <v>282</v>
      </c>
      <c r="B9" s="3058" t="s">
        <v>283</v>
      </c>
      <c r="C9" s="3059" t="s">
        <v>284</v>
      </c>
      <c r="F9" s="3053" t="s">
        <v>164</v>
      </c>
      <c r="H9" s="3053"/>
      <c r="I9" s="3052" t="s">
        <v>285</v>
      </c>
    </row>
    <row r="10" spans="1:23">
      <c r="A10" s="3058" t="s">
        <v>286</v>
      </c>
      <c r="B10" s="3058" t="s">
        <v>287</v>
      </c>
      <c r="C10" s="3059" t="s">
        <v>288</v>
      </c>
      <c r="F10" s="3053" t="s">
        <v>280</v>
      </c>
      <c r="I10" s="3052" t="s">
        <v>289</v>
      </c>
    </row>
    <row r="11" spans="1:23">
      <c r="A11" s="3058" t="s">
        <v>290</v>
      </c>
      <c r="B11" s="3058" t="s">
        <v>291</v>
      </c>
      <c r="C11" s="3059" t="s">
        <v>292</v>
      </c>
      <c r="F11" s="3053" t="s">
        <v>124</v>
      </c>
      <c r="I11" s="3052" t="s">
        <v>293</v>
      </c>
    </row>
    <row r="12" spans="1:23">
      <c r="A12" s="3058" t="s">
        <v>294</v>
      </c>
      <c r="B12" s="3058" t="s">
        <v>295</v>
      </c>
      <c r="C12" s="3059" t="s">
        <v>296</v>
      </c>
      <c r="I12" s="3052" t="s">
        <v>297</v>
      </c>
    </row>
    <row r="13" spans="1:23">
      <c r="A13" s="3058" t="s">
        <v>298</v>
      </c>
      <c r="B13" s="3058" t="s">
        <v>299</v>
      </c>
      <c r="C13" s="3059" t="s">
        <v>300</v>
      </c>
      <c r="I13" s="3052" t="s">
        <v>301</v>
      </c>
    </row>
    <row r="14" spans="1:23">
      <c r="A14" s="3058" t="s">
        <v>302</v>
      </c>
      <c r="B14" s="3058" t="s">
        <v>303</v>
      </c>
      <c r="C14" s="3053" t="s">
        <v>124</v>
      </c>
      <c r="I14" s="3052" t="s">
        <v>304</v>
      </c>
    </row>
    <row r="15" spans="1:23">
      <c r="A15" s="3058" t="s">
        <v>305</v>
      </c>
      <c r="B15" s="3058" t="s">
        <v>306</v>
      </c>
      <c r="C15" s="3059"/>
      <c r="I15" s="3052" t="s">
        <v>307</v>
      </c>
    </row>
    <row r="16" spans="1:23">
      <c r="A16" s="3058" t="s">
        <v>308</v>
      </c>
      <c r="B16" s="3058" t="s">
        <v>309</v>
      </c>
      <c r="C16" s="3059"/>
    </row>
    <row r="17" spans="1:3">
      <c r="A17" s="3058" t="s">
        <v>310</v>
      </c>
      <c r="B17" s="3058" t="s">
        <v>311</v>
      </c>
      <c r="C17" s="3059"/>
    </row>
    <row r="18" spans="1:3">
      <c r="A18" s="3058" t="s">
        <v>312</v>
      </c>
      <c r="B18" s="3058" t="s">
        <v>313</v>
      </c>
      <c r="C18" s="3059"/>
    </row>
    <row r="19" spans="1:3">
      <c r="A19" s="3058" t="s">
        <v>314</v>
      </c>
      <c r="B19" s="3060" t="s">
        <v>2854</v>
      </c>
      <c r="C19" s="3059"/>
    </row>
    <row r="20" spans="1:3">
      <c r="A20" s="3058" t="s">
        <v>316</v>
      </c>
      <c r="B20" s="3058" t="s">
        <v>2857</v>
      </c>
      <c r="C20" s="3059"/>
    </row>
    <row r="21" spans="1:3">
      <c r="A21" s="3058" t="s">
        <v>260</v>
      </c>
      <c r="B21" s="3060" t="s">
        <v>2855</v>
      </c>
      <c r="C21" s="3059"/>
    </row>
    <row r="22" spans="1:3">
      <c r="A22" s="3058" t="s">
        <v>317</v>
      </c>
      <c r="B22" s="3058" t="s">
        <v>2859</v>
      </c>
      <c r="C22" s="3059"/>
    </row>
    <row r="23" spans="1:3">
      <c r="A23" s="3058" t="s">
        <v>318</v>
      </c>
      <c r="B23" s="3058" t="s">
        <v>315</v>
      </c>
      <c r="C23" s="3059"/>
    </row>
    <row r="24" spans="1:3">
      <c r="A24" s="3058" t="s">
        <v>319</v>
      </c>
      <c r="B24" s="3058" t="s">
        <v>315</v>
      </c>
      <c r="C24" s="3059"/>
    </row>
    <row r="25" spans="1:3">
      <c r="A25" s="3058" t="s">
        <v>320</v>
      </c>
      <c r="B25" s="3058" t="s">
        <v>315</v>
      </c>
      <c r="C25" s="3059"/>
    </row>
    <row r="26" spans="1:3">
      <c r="A26" s="3058" t="s">
        <v>321</v>
      </c>
      <c r="B26" s="3058" t="s">
        <v>315</v>
      </c>
      <c r="C26" s="3059"/>
    </row>
    <row r="27" spans="1:3">
      <c r="A27" s="3058" t="s">
        <v>315</v>
      </c>
      <c r="B27" s="3058" t="s">
        <v>315</v>
      </c>
      <c r="C27" s="3059"/>
    </row>
    <row r="28" spans="1:3">
      <c r="A28" s="3058" t="s">
        <v>315</v>
      </c>
      <c r="B28" s="3058" t="s">
        <v>315</v>
      </c>
      <c r="C28" s="3059"/>
    </row>
    <row r="29" spans="1:3">
      <c r="A29" s="3058" t="s">
        <v>315</v>
      </c>
      <c r="B29" s="3058" t="s">
        <v>315</v>
      </c>
      <c r="C29" s="3059"/>
    </row>
    <row r="30" spans="1:3">
      <c r="A30" s="3058" t="s">
        <v>315</v>
      </c>
      <c r="B30" s="3058" t="s">
        <v>315</v>
      </c>
      <c r="C30" s="3059"/>
    </row>
    <row r="31" spans="1:3">
      <c r="A31" s="3058" t="s">
        <v>315</v>
      </c>
      <c r="B31" s="3058" t="s">
        <v>315</v>
      </c>
      <c r="C31" s="3059"/>
    </row>
    <row r="32" spans="1:3">
      <c r="A32" s="3058" t="s">
        <v>315</v>
      </c>
      <c r="B32" s="3058" t="s">
        <v>315</v>
      </c>
      <c r="C32" s="3059"/>
    </row>
    <row r="33" spans="1:3">
      <c r="A33" s="3058" t="s">
        <v>315</v>
      </c>
      <c r="B33" s="3058" t="s">
        <v>315</v>
      </c>
      <c r="C33" s="3059"/>
    </row>
    <row r="34" spans="1:3">
      <c r="A34" s="3058" t="s">
        <v>315</v>
      </c>
      <c r="B34" s="3058" t="s">
        <v>315</v>
      </c>
      <c r="C34" s="3059"/>
    </row>
    <row r="35" spans="1:3">
      <c r="A35" s="3058" t="s">
        <v>315</v>
      </c>
      <c r="B35" s="3058" t="s">
        <v>315</v>
      </c>
      <c r="C35" s="3059"/>
    </row>
    <row r="36" spans="1:3">
      <c r="A36" s="3058" t="s">
        <v>315</v>
      </c>
      <c r="B36" s="3058" t="s">
        <v>315</v>
      </c>
      <c r="C36" s="3059"/>
    </row>
    <row r="37" spans="1:3">
      <c r="A37" s="3058" t="s">
        <v>315</v>
      </c>
      <c r="B37" s="3058" t="s">
        <v>315</v>
      </c>
      <c r="C37" s="3059"/>
    </row>
    <row r="38" spans="1:3">
      <c r="A38" s="3058" t="s">
        <v>315</v>
      </c>
      <c r="B38" s="3058" t="s">
        <v>315</v>
      </c>
      <c r="C38" s="3059"/>
    </row>
    <row r="39" spans="1:3">
      <c r="A39" s="3058" t="s">
        <v>315</v>
      </c>
      <c r="B39" s="3058" t="s">
        <v>315</v>
      </c>
      <c r="C39" s="3059"/>
    </row>
    <row r="40" spans="1:3">
      <c r="A40" s="3058" t="s">
        <v>315</v>
      </c>
      <c r="B40" s="3058" t="s">
        <v>315</v>
      </c>
      <c r="C40" s="3059"/>
    </row>
    <row r="41" spans="1:3">
      <c r="A41" s="3058" t="s">
        <v>315</v>
      </c>
      <c r="B41" s="3058" t="s">
        <v>315</v>
      </c>
      <c r="C41" s="3059"/>
    </row>
    <row r="42" spans="1:3">
      <c r="A42" s="3058" t="s">
        <v>315</v>
      </c>
      <c r="B42" s="3058" t="s">
        <v>315</v>
      </c>
      <c r="C42" s="3059"/>
    </row>
    <row r="43" spans="1:3">
      <c r="A43" s="3058" t="s">
        <v>315</v>
      </c>
      <c r="B43" s="3058" t="s">
        <v>315</v>
      </c>
      <c r="C43" s="3059"/>
    </row>
    <row r="44" spans="1:3">
      <c r="A44" s="3058" t="s">
        <v>315</v>
      </c>
      <c r="B44" s="3058" t="s">
        <v>315</v>
      </c>
      <c r="C44" s="3059"/>
    </row>
    <row r="45" spans="1:3">
      <c r="A45" s="3058" t="s">
        <v>315</v>
      </c>
      <c r="B45" s="3058" t="s">
        <v>315</v>
      </c>
      <c r="C45" s="3059"/>
    </row>
    <row r="46" spans="1:3">
      <c r="A46" s="3058" t="s">
        <v>315</v>
      </c>
      <c r="B46" s="3058" t="s">
        <v>315</v>
      </c>
      <c r="C46" s="3059"/>
    </row>
    <row r="47" spans="1:3">
      <c r="A47" s="3058" t="s">
        <v>315</v>
      </c>
      <c r="B47" s="3058" t="s">
        <v>315</v>
      </c>
      <c r="C47" s="3059"/>
    </row>
    <row r="48" spans="1:3">
      <c r="A48" s="3058" t="s">
        <v>315</v>
      </c>
      <c r="B48" s="3058" t="s">
        <v>315</v>
      </c>
      <c r="C48" s="3059"/>
    </row>
    <row r="49" spans="1:4">
      <c r="A49" s="3058" t="s">
        <v>315</v>
      </c>
      <c r="B49" s="3058" t="s">
        <v>315</v>
      </c>
      <c r="C49" s="3059"/>
    </row>
    <row r="50" spans="1:4">
      <c r="A50" s="3058" t="s">
        <v>315</v>
      </c>
      <c r="B50" s="3058" t="s">
        <v>315</v>
      </c>
      <c r="C50" s="3059"/>
    </row>
    <row r="51" spans="1:4">
      <c r="A51" s="3062" t="s">
        <v>322</v>
      </c>
      <c r="B51" s="30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2" t="s">
        <v>323</v>
      </c>
    </row>
    <row r="52" spans="1:4">
      <c r="A52" s="3062" t="s">
        <v>324</v>
      </c>
      <c r="B52" s="3062" t="s">
        <v>325</v>
      </c>
      <c r="C52" s="3052" t="s">
        <v>326</v>
      </c>
      <c r="D52" s="3052" t="s">
        <v>327</v>
      </c>
    </row>
    <row r="53" spans="1:4">
      <c r="A53" s="3238" t="s">
        <v>328</v>
      </c>
      <c r="B53" s="3062" t="s">
        <v>329</v>
      </c>
      <c r="C53" s="30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38"/>
      <c r="B54" s="3062" t="s">
        <v>330</v>
      </c>
      <c r="C54" s="3052" t="s">
        <v>331</v>
      </c>
    </row>
    <row r="55" spans="1:4">
      <c r="A55" s="3238"/>
      <c r="B55" s="3062" t="s">
        <v>332</v>
      </c>
      <c r="C55" s="3052" t="s">
        <v>333</v>
      </c>
    </row>
    <row r="56" spans="1:4">
      <c r="A56" s="3238"/>
      <c r="B56" s="3062" t="s">
        <v>334</v>
      </c>
      <c r="C56" s="3052" t="s">
        <v>335</v>
      </c>
    </row>
    <row r="57" spans="1:4">
      <c r="A57" s="3238"/>
      <c r="B57" s="3062" t="s">
        <v>336</v>
      </c>
      <c r="C57" s="3052" t="s">
        <v>337</v>
      </c>
    </row>
    <row r="58" spans="1:4">
      <c r="A58" s="3053"/>
      <c r="B58" s="3052"/>
    </row>
    <row r="59" spans="1:4">
      <c r="A59" s="3053"/>
      <c r="B59" s="3052"/>
    </row>
    <row r="60" spans="1:4">
      <c r="A60" s="3053"/>
      <c r="B60" s="3052"/>
    </row>
    <row r="61" spans="1:4">
      <c r="A61" s="3053"/>
      <c r="B61" s="3052"/>
    </row>
    <row r="62" spans="1:4">
      <c r="A62" s="3053"/>
      <c r="B62" s="3052"/>
    </row>
    <row r="63" spans="1:4">
      <c r="A63" s="3053"/>
      <c r="B63" s="3052"/>
    </row>
    <row r="64" spans="1:4">
      <c r="A64" s="3053"/>
      <c r="B64" s="3052"/>
    </row>
    <row r="65" spans="1:2">
      <c r="A65" s="3053"/>
      <c r="B65" s="3052"/>
    </row>
    <row r="66" spans="1:2">
      <c r="A66" s="3053"/>
      <c r="B66" s="3052"/>
    </row>
    <row r="67" spans="1:2">
      <c r="A67" s="3053"/>
      <c r="B67" s="3052"/>
    </row>
    <row r="68" spans="1:2">
      <c r="A68" s="3053"/>
      <c r="B68" s="3052"/>
    </row>
    <row r="69" spans="1:2">
      <c r="A69" s="3053"/>
      <c r="B69" s="3052"/>
    </row>
    <row r="70" spans="1:2">
      <c r="A70" s="3053"/>
      <c r="B70" s="3052"/>
    </row>
    <row r="71" spans="1:2">
      <c r="A71" s="3053"/>
      <c r="B71" s="3052"/>
    </row>
    <row r="72" spans="1:2">
      <c r="A72" s="3053"/>
      <c r="B72" s="3052"/>
    </row>
    <row r="73" spans="1:2">
      <c r="A73" s="3053"/>
      <c r="B73" s="3052"/>
    </row>
    <row r="74" spans="1:2">
      <c r="A74" s="3053"/>
      <c r="B74" s="3052"/>
    </row>
    <row r="75" spans="1:2">
      <c r="A75" s="3053"/>
      <c r="B75" s="3052"/>
    </row>
    <row r="76" spans="1:2">
      <c r="A76" s="3053"/>
      <c r="B76" s="3052"/>
    </row>
    <row r="77" spans="1:2">
      <c r="A77" s="3053"/>
      <c r="B77" s="3052"/>
    </row>
    <row r="78" spans="1:2">
      <c r="A78" s="3053"/>
      <c r="B78" s="3052"/>
    </row>
    <row r="79" spans="1:2">
      <c r="A79" s="3053"/>
      <c r="B79" s="3052"/>
    </row>
    <row r="80" spans="1:2">
      <c r="A80" s="3053"/>
      <c r="B80" s="3052"/>
    </row>
    <row r="81" spans="1:2">
      <c r="A81" s="3053"/>
      <c r="B81" s="3052"/>
    </row>
    <row r="82" spans="1:2">
      <c r="A82" s="3053"/>
      <c r="B82" s="3052"/>
    </row>
    <row r="83" spans="1:2">
      <c r="A83" s="3053"/>
      <c r="B83" s="3052"/>
    </row>
    <row r="84" spans="1:2">
      <c r="A84" s="3053"/>
      <c r="B84" s="3052"/>
    </row>
    <row r="85" spans="1:2">
      <c r="A85" s="3053"/>
      <c r="B85" s="3052"/>
    </row>
    <row r="86" spans="1:2">
      <c r="A86" s="3053"/>
      <c r="B86" s="3052"/>
    </row>
    <row r="87" spans="1:2">
      <c r="A87" s="3053"/>
      <c r="B87" s="3052"/>
    </row>
    <row r="88" spans="1:2">
      <c r="A88" s="3053"/>
      <c r="B88" s="3052"/>
    </row>
    <row r="89" spans="1:2">
      <c r="A89" s="3053"/>
      <c r="B89" s="3052"/>
    </row>
    <row r="90" spans="1:2">
      <c r="A90" s="3053"/>
      <c r="B90" s="3052"/>
    </row>
    <row r="91" spans="1:2">
      <c r="A91" s="3053"/>
      <c r="B91" s="3052"/>
    </row>
    <row r="92" spans="1:2">
      <c r="A92" s="3053"/>
      <c r="B92" s="3052"/>
    </row>
    <row r="93" spans="1:2">
      <c r="A93" s="3053"/>
      <c r="B93" s="3052"/>
    </row>
    <row r="94" spans="1:2">
      <c r="A94" s="3053"/>
      <c r="B94" s="3052"/>
    </row>
    <row r="95" spans="1:2">
      <c r="A95" s="3053"/>
      <c r="B95" s="3052"/>
    </row>
    <row r="96" spans="1:2">
      <c r="A96" s="3053"/>
      <c r="B96" s="3052"/>
    </row>
    <row r="97" spans="1:2">
      <c r="A97" s="3053"/>
      <c r="B97" s="3052"/>
    </row>
    <row r="98" spans="1:2">
      <c r="A98" s="3053"/>
      <c r="B98" s="3052"/>
    </row>
    <row r="99" spans="1:2">
      <c r="A99" s="3053"/>
      <c r="B99" s="3052"/>
    </row>
    <row r="100" spans="1:2">
      <c r="A100" s="3053"/>
      <c r="B100" s="3052"/>
    </row>
    <row r="101" spans="1:2">
      <c r="A101" s="3053"/>
      <c r="B101" s="3052"/>
    </row>
    <row r="102" spans="1:2">
      <c r="A102" s="3053"/>
      <c r="B102" s="3052"/>
    </row>
    <row r="103" spans="1:2">
      <c r="A103" s="3053"/>
      <c r="B103" s="3052"/>
    </row>
    <row r="104" spans="1:2">
      <c r="A104" s="3053"/>
      <c r="B104" s="3052"/>
    </row>
    <row r="105" spans="1:2">
      <c r="A105" s="3053"/>
      <c r="B105" s="3052"/>
    </row>
    <row r="106" spans="1:2">
      <c r="A106" s="3053"/>
      <c r="B106" s="3052"/>
    </row>
    <row r="107" spans="1:2">
      <c r="A107" s="3053"/>
      <c r="B107" s="3052"/>
    </row>
    <row r="108" spans="1:2">
      <c r="A108" s="3053"/>
      <c r="B108" s="3052"/>
    </row>
    <row r="109" spans="1:2">
      <c r="A109" s="3053"/>
      <c r="B109" s="3052"/>
    </row>
    <row r="110" spans="1:2">
      <c r="A110" s="3053"/>
      <c r="B110" s="3052"/>
    </row>
    <row r="111" spans="1:2">
      <c r="A111" s="3053"/>
      <c r="B111" s="3052"/>
    </row>
    <row r="112" spans="1:2">
      <c r="A112" s="3053"/>
      <c r="B112" s="3052"/>
    </row>
    <row r="113" spans="1:2">
      <c r="A113" s="3053"/>
      <c r="B113" s="3052"/>
    </row>
    <row r="114" spans="1:2">
      <c r="A114" s="3053"/>
      <c r="B114" s="3052"/>
    </row>
    <row r="115" spans="1:2">
      <c r="A115" s="3053"/>
      <c r="B115" s="3052"/>
    </row>
    <row r="116" spans="1:2">
      <c r="A116" s="3053"/>
      <c r="B116" s="3052"/>
    </row>
    <row r="117" spans="1:2">
      <c r="A117" s="3053"/>
      <c r="B117" s="3052"/>
    </row>
    <row r="118" spans="1:2">
      <c r="A118" s="3053"/>
      <c r="B118" s="3052"/>
    </row>
    <row r="119" spans="1:2">
      <c r="A119" s="3053"/>
      <c r="B119" s="3052"/>
    </row>
    <row r="120" spans="1:2">
      <c r="A120" s="3053"/>
      <c r="B120" s="3052"/>
    </row>
    <row r="121" spans="1:2">
      <c r="A121" s="3053"/>
      <c r="B121" s="3052"/>
    </row>
    <row r="122" spans="1:2">
      <c r="A122" s="3053"/>
      <c r="B122" s="3052"/>
    </row>
    <row r="123" spans="1:2">
      <c r="A123" s="3053"/>
      <c r="B123" s="3052"/>
    </row>
    <row r="124" spans="1:2">
      <c r="A124" s="3053"/>
      <c r="B124" s="3052"/>
    </row>
    <row r="125" spans="1:2">
      <c r="A125" s="3053"/>
      <c r="B125" s="3052"/>
    </row>
    <row r="126" spans="1:2">
      <c r="A126" s="3053"/>
      <c r="B126" s="3052"/>
    </row>
    <row r="127" spans="1:2">
      <c r="A127" s="3053"/>
      <c r="B127" s="305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zoomScale="80" zoomScaleNormal="80" workbookViewId="0">
      <selection activeCell="F54" sqref="F54"/>
    </sheetView>
  </sheetViews>
  <sheetFormatPr defaultColWidth="15.21875" defaultRowHeight="14.4"/>
  <cols>
    <col min="1" max="7" width="15.21875" style="2996"/>
    <col min="8" max="8" width="5.44140625" style="2996" customWidth="1"/>
    <col min="9" max="13" width="9.44140625" style="2997" customWidth="1"/>
    <col min="14" max="18" width="9.44140625" style="2996" customWidth="1"/>
    <col min="19" max="16384" width="15.21875" style="2996"/>
  </cols>
  <sheetData>
    <row r="1" spans="1:18">
      <c r="A1" s="2998" t="s">
        <v>338</v>
      </c>
      <c r="B1" s="2999"/>
      <c r="C1" s="2999"/>
      <c r="D1" s="2999"/>
      <c r="E1" s="2999"/>
      <c r="F1" s="3000"/>
      <c r="I1" s="3046" t="s">
        <v>339</v>
      </c>
      <c r="J1" s="74"/>
      <c r="K1" s="74"/>
      <c r="L1" s="74"/>
      <c r="M1" s="74"/>
      <c r="N1" s="298"/>
      <c r="O1" s="298"/>
      <c r="P1" s="298"/>
      <c r="Q1" s="298"/>
      <c r="R1" s="298"/>
    </row>
    <row r="2" spans="1:18">
      <c r="A2" s="3001"/>
      <c r="B2" s="3002"/>
      <c r="C2" s="3002"/>
      <c r="D2" s="3002"/>
      <c r="E2" s="3002"/>
      <c r="F2" s="3003"/>
      <c r="I2" s="3239" t="s">
        <v>340</v>
      </c>
      <c r="J2" s="3239"/>
      <c r="K2" s="3239"/>
      <c r="L2" s="3239"/>
      <c r="M2" s="3239"/>
      <c r="N2" s="3239"/>
      <c r="O2" s="3239"/>
      <c r="P2" s="3239"/>
      <c r="Q2" s="3239"/>
      <c r="R2" s="3239"/>
    </row>
    <row r="3" spans="1:18">
      <c r="A3" s="446" t="s">
        <v>341</v>
      </c>
      <c r="B3" s="3004">
        <f>项目基本情况!D3</f>
        <v>45839</v>
      </c>
      <c r="C3" s="447"/>
      <c r="D3" s="447"/>
      <c r="E3" s="447"/>
      <c r="F3" s="3003"/>
      <c r="I3" s="3018"/>
      <c r="J3" s="3018" t="s">
        <v>342</v>
      </c>
      <c r="K3" s="3018" t="s">
        <v>343</v>
      </c>
      <c r="L3" s="3018" t="s">
        <v>344</v>
      </c>
      <c r="M3" s="3018" t="s">
        <v>345</v>
      </c>
      <c r="N3" s="3047" t="s">
        <v>346</v>
      </c>
      <c r="O3" s="3047" t="s">
        <v>347</v>
      </c>
      <c r="P3" s="3047" t="s">
        <v>348</v>
      </c>
      <c r="Q3" s="3047" t="s">
        <v>349</v>
      </c>
      <c r="R3" s="3047" t="s">
        <v>350</v>
      </c>
    </row>
    <row r="4" spans="1:18">
      <c r="A4" s="446" t="s">
        <v>351</v>
      </c>
      <c r="B4" s="447" t="s">
        <v>352</v>
      </c>
      <c r="C4" s="447" t="s">
        <v>353</v>
      </c>
      <c r="D4" s="447" t="s">
        <v>354</v>
      </c>
      <c r="E4" s="447" t="s">
        <v>355</v>
      </c>
      <c r="F4" s="3003"/>
      <c r="I4" s="3018" t="s">
        <v>356</v>
      </c>
      <c r="J4" s="3018">
        <v>80</v>
      </c>
      <c r="K4" s="3018">
        <v>70</v>
      </c>
      <c r="L4" s="3018">
        <v>20</v>
      </c>
      <c r="M4" s="3018">
        <v>30</v>
      </c>
      <c r="N4" s="447">
        <v>45</v>
      </c>
      <c r="O4" s="447">
        <v>60</v>
      </c>
      <c r="P4" s="447">
        <v>50</v>
      </c>
      <c r="Q4" s="447">
        <v>20</v>
      </c>
      <c r="R4" s="447">
        <v>375</v>
      </c>
    </row>
    <row r="5" spans="1:18">
      <c r="A5" s="3005">
        <v>40</v>
      </c>
      <c r="B5" s="3004">
        <v>46375</v>
      </c>
      <c r="C5" s="447">
        <f>ROUNDDOWN(MIN((B5-B3)/365,A5),2)</f>
        <v>1.46</v>
      </c>
      <c r="D5" s="3006">
        <f>IF(ISERROR(ROUND(POWER(1+E5,A5-C5)*(POWER(1+E5,C5)-1)/(POWER(1+E5,A5)-1),3)),0,ROUND(POWER(1+E5,A5-C5)*(POWER(1+E5,C5)-1)/(POWER(1+E5,A5)-1),4))</f>
        <v>7.0300000000000001E-2</v>
      </c>
      <c r="E5" s="3007">
        <v>0.04</v>
      </c>
      <c r="F5" s="3003"/>
      <c r="I5" s="3018" t="s">
        <v>357</v>
      </c>
      <c r="J5" s="3018">
        <v>70</v>
      </c>
      <c r="K5" s="3018">
        <v>60</v>
      </c>
      <c r="L5" s="3018">
        <v>15</v>
      </c>
      <c r="M5" s="3018">
        <v>25</v>
      </c>
      <c r="N5" s="447">
        <v>40</v>
      </c>
      <c r="O5" s="447">
        <v>50</v>
      </c>
      <c r="P5" s="447">
        <v>40</v>
      </c>
      <c r="Q5" s="447">
        <v>15</v>
      </c>
      <c r="R5" s="447">
        <v>315</v>
      </c>
    </row>
    <row r="6" spans="1:18">
      <c r="A6" s="3005">
        <v>50</v>
      </c>
      <c r="B6" s="3004">
        <v>50028</v>
      </c>
      <c r="C6" s="447">
        <f>ROUNDDOWN(MIN((B6-B3)/365,A6),2)</f>
        <v>11.47</v>
      </c>
      <c r="D6" s="3006">
        <f>IF(ISERROR(ROUND(POWER(1+E6,A6-C6)*(POWER(1+E6,C6)-1)/(POWER(1+E6,A6)-1),3)),0,ROUND(POWER(1+E6,A6-C6)*(POWER(1+E6,C6)-1)/(POWER(1+E6,A6)-1),4))</f>
        <v>0.42159999999999997</v>
      </c>
      <c r="E6" s="3007">
        <v>0.04</v>
      </c>
      <c r="F6" s="3003"/>
      <c r="I6" s="3018" t="s">
        <v>358</v>
      </c>
      <c r="J6" s="3018">
        <v>60</v>
      </c>
      <c r="K6" s="3018">
        <v>50</v>
      </c>
      <c r="L6" s="3018">
        <v>10</v>
      </c>
      <c r="M6" s="3018">
        <v>20</v>
      </c>
      <c r="N6" s="447">
        <v>35</v>
      </c>
      <c r="O6" s="447">
        <v>40</v>
      </c>
      <c r="P6" s="447">
        <v>30</v>
      </c>
      <c r="Q6" s="447">
        <v>10</v>
      </c>
      <c r="R6" s="447">
        <v>255</v>
      </c>
    </row>
    <row r="7" spans="1:18">
      <c r="A7" s="3005">
        <v>70</v>
      </c>
      <c r="B7" s="3004">
        <v>57333</v>
      </c>
      <c r="C7" s="447">
        <f>ROUNDDOWN(MIN((B7-B3)/365,A7),2)</f>
        <v>31.49</v>
      </c>
      <c r="D7" s="3006">
        <f>IF(ISERROR(ROUND(POWER(1+E7,A7-C7)*(POWER(1+E7,C7)-1)/(POWER(1+E7,A7)-1),3)),0,ROUND(POWER(1+E7,A7-C7)*(POWER(1+E7,C7)-1)/(POWER(1+E7,A7)-1),4))</f>
        <v>0.75790000000000002</v>
      </c>
      <c r="E7" s="3007">
        <v>0.04</v>
      </c>
      <c r="F7" s="3003"/>
    </row>
    <row r="8" spans="1:18">
      <c r="A8" s="3001"/>
      <c r="B8" s="3002"/>
      <c r="C8" s="3002"/>
      <c r="D8" s="3002"/>
      <c r="E8" s="3002"/>
      <c r="F8" s="3003"/>
    </row>
    <row r="9" spans="1:18">
      <c r="A9" s="446" t="s">
        <v>359</v>
      </c>
      <c r="B9" s="447"/>
      <c r="C9" s="447"/>
      <c r="D9" s="447"/>
      <c r="E9" s="447"/>
      <c r="F9" s="489"/>
    </row>
    <row r="10" spans="1:18">
      <c r="A10" s="446" t="s">
        <v>360</v>
      </c>
      <c r="B10" s="447"/>
      <c r="C10" s="447"/>
      <c r="D10" s="447" t="s">
        <v>355</v>
      </c>
      <c r="E10" s="447"/>
      <c r="F10" s="489" t="s">
        <v>354</v>
      </c>
    </row>
    <row r="11" spans="1:18">
      <c r="A11" s="446" t="s">
        <v>361</v>
      </c>
      <c r="B11" s="3008">
        <v>70</v>
      </c>
      <c r="C11" s="447" t="s">
        <v>362</v>
      </c>
      <c r="D11" s="3008">
        <v>4.4999999999999998E-2</v>
      </c>
      <c r="E11" s="447" t="s">
        <v>363</v>
      </c>
      <c r="F11" s="3009">
        <f>ROUND(1-(1/(POWER(1+D11,B11))),4)</f>
        <v>0.95409999999999995</v>
      </c>
    </row>
    <row r="12" spans="1:18">
      <c r="A12" s="446" t="s">
        <v>364</v>
      </c>
      <c r="B12" s="3008">
        <v>40</v>
      </c>
      <c r="C12" s="447" t="s">
        <v>365</v>
      </c>
      <c r="D12" s="3008">
        <v>4.4999999999999998E-2</v>
      </c>
      <c r="E12" s="447" t="s">
        <v>366</v>
      </c>
      <c r="F12" s="3009">
        <f>ROUND(1-(1/(POWER(1+D12,B12))),4)</f>
        <v>0.82809999999999995</v>
      </c>
    </row>
    <row r="13" spans="1:18">
      <c r="A13" s="446" t="s">
        <v>367</v>
      </c>
      <c r="B13" s="447"/>
      <c r="C13" s="447"/>
      <c r="D13" s="3002"/>
      <c r="E13" s="3002"/>
      <c r="F13" s="3003"/>
    </row>
    <row r="14" spans="1:18">
      <c r="A14" s="446" t="s">
        <v>368</v>
      </c>
      <c r="B14" s="3008">
        <v>5000</v>
      </c>
      <c r="C14" s="3010"/>
      <c r="D14" s="3002"/>
      <c r="E14" s="3002"/>
      <c r="F14" s="3003"/>
    </row>
    <row r="15" spans="1:18">
      <c r="A15" s="446" t="s">
        <v>369</v>
      </c>
      <c r="B15" s="447">
        <f>ROUND(B14*F12/F11,2)</f>
        <v>4339.6899999999996</v>
      </c>
      <c r="C15" s="447">
        <f>ROUND(F12/F11,4)</f>
        <v>0.8679</v>
      </c>
      <c r="D15" s="3002"/>
      <c r="E15" s="3002"/>
      <c r="F15" s="3003"/>
    </row>
    <row r="16" spans="1:18">
      <c r="A16" s="446" t="s">
        <v>370</v>
      </c>
      <c r="B16" s="447"/>
      <c r="C16" s="447"/>
      <c r="D16" s="3002"/>
      <c r="E16" s="3002"/>
      <c r="F16" s="3003"/>
    </row>
    <row r="17" spans="1:14">
      <c r="A17" s="446" t="s">
        <v>369</v>
      </c>
      <c r="B17" s="3008">
        <v>4810</v>
      </c>
      <c r="C17" s="3010"/>
      <c r="D17" s="3002"/>
      <c r="E17" s="3002"/>
      <c r="F17" s="3003"/>
    </row>
    <row r="18" spans="1:14">
      <c r="A18" s="3011" t="s">
        <v>368</v>
      </c>
      <c r="B18" s="492">
        <f>ROUND(B17*F11/F12,2)</f>
        <v>5541.87</v>
      </c>
      <c r="C18" s="492">
        <f>ROUND(F11/F12,4)</f>
        <v>1.1521999999999999</v>
      </c>
      <c r="D18" s="3012"/>
      <c r="E18" s="3012"/>
      <c r="F18" s="3013"/>
    </row>
    <row r="20" spans="1:14" s="2995" customFormat="1">
      <c r="A20" s="3014" t="s">
        <v>371</v>
      </c>
      <c r="B20" s="3015"/>
      <c r="C20" s="3015"/>
      <c r="D20" s="3015"/>
      <c r="E20" s="3015"/>
      <c r="F20" s="3015"/>
      <c r="G20" s="3016"/>
      <c r="I20" s="3048" t="s">
        <v>372</v>
      </c>
      <c r="J20" s="3048" t="s">
        <v>373</v>
      </c>
      <c r="K20" s="3048"/>
      <c r="L20" s="3048"/>
      <c r="M20" s="3048"/>
    </row>
    <row r="21" spans="1:14">
      <c r="A21" s="3017"/>
      <c r="B21" s="3018" t="s">
        <v>374</v>
      </c>
      <c r="C21" s="3018" t="s">
        <v>353</v>
      </c>
      <c r="D21" s="3018" t="s">
        <v>375</v>
      </c>
      <c r="E21" s="3018" t="s">
        <v>354</v>
      </c>
      <c r="F21" s="3018" t="s">
        <v>376</v>
      </c>
      <c r="G21" s="3019" t="s">
        <v>377</v>
      </c>
      <c r="I21" s="2997">
        <v>5</v>
      </c>
      <c r="J21" s="2997">
        <v>54.2</v>
      </c>
    </row>
    <row r="22" spans="1:14">
      <c r="A22" s="3017" t="s">
        <v>378</v>
      </c>
      <c r="B22" s="3020">
        <v>70</v>
      </c>
      <c r="C22" s="3020">
        <v>30</v>
      </c>
      <c r="D22" s="3021">
        <v>0.04</v>
      </c>
      <c r="E22" s="3018">
        <f>ROUND(POWER(1+D22,B22-C22)*(POWER(1+D22,C22)-1)/(POWER(1+D22,B22)-1),3)</f>
        <v>0.73899999999999999</v>
      </c>
      <c r="F22" s="3021">
        <v>0.7</v>
      </c>
      <c r="G22" s="3019">
        <f>ROUND(100*(1-(1-E22)*F22),1)</f>
        <v>81.7</v>
      </c>
      <c r="I22" s="2997">
        <v>10</v>
      </c>
      <c r="J22" s="2997">
        <v>65.400000000000006</v>
      </c>
      <c r="K22" s="2997">
        <f>J22-J21</f>
        <v>11.200000000000003</v>
      </c>
    </row>
    <row r="23" spans="1:14">
      <c r="A23" s="3017" t="s">
        <v>379</v>
      </c>
      <c r="B23" s="3020">
        <v>70</v>
      </c>
      <c r="C23" s="3020">
        <v>40</v>
      </c>
      <c r="D23" s="3021">
        <v>0.04</v>
      </c>
      <c r="E23" s="3018">
        <f t="shared" ref="E23:E25" si="0">ROUND(POWER(1+D23,B23-C23)*(POWER(1+D23,C23)-1)/(POWER(1+D23,B23)-1),3)</f>
        <v>0.84599999999999997</v>
      </c>
      <c r="F23" s="3021">
        <f>F22</f>
        <v>0.7</v>
      </c>
      <c r="G23" s="3019">
        <f t="shared" ref="G23:G25" si="1">ROUND(100*(1-(1-E23)*F23),1)</f>
        <v>89.2</v>
      </c>
      <c r="I23" s="2997">
        <v>15</v>
      </c>
      <c r="J23" s="2997">
        <v>74.099999999999994</v>
      </c>
      <c r="K23" s="2997">
        <f t="shared" ref="K23:K30" si="2">J23-J22</f>
        <v>8.6999999999999886</v>
      </c>
      <c r="L23" s="2997" t="s">
        <v>380</v>
      </c>
      <c r="N23" s="3049" t="s">
        <v>381</v>
      </c>
    </row>
    <row r="24" spans="1:14">
      <c r="A24" s="3017" t="s">
        <v>382</v>
      </c>
      <c r="B24" s="3020">
        <v>70</v>
      </c>
      <c r="C24" s="3020">
        <v>50</v>
      </c>
      <c r="D24" s="3021">
        <v>0.04</v>
      </c>
      <c r="E24" s="3018">
        <f t="shared" si="0"/>
        <v>0.91800000000000004</v>
      </c>
      <c r="F24" s="3021">
        <f>F23</f>
        <v>0.7</v>
      </c>
      <c r="G24" s="3019">
        <f t="shared" si="1"/>
        <v>94.3</v>
      </c>
      <c r="I24" s="2997">
        <v>20</v>
      </c>
      <c r="J24" s="2997">
        <v>81</v>
      </c>
      <c r="K24" s="2997">
        <f t="shared" si="2"/>
        <v>6.9000000000000057</v>
      </c>
      <c r="L24" s="2997" t="s">
        <v>383</v>
      </c>
      <c r="N24" s="3049">
        <v>10</v>
      </c>
    </row>
    <row r="25" spans="1:14">
      <c r="A25" s="3017" t="s">
        <v>384</v>
      </c>
      <c r="B25" s="3020">
        <v>70</v>
      </c>
      <c r="C25" s="3020">
        <v>60</v>
      </c>
      <c r="D25" s="3021">
        <v>0.04</v>
      </c>
      <c r="E25" s="3018">
        <f t="shared" si="0"/>
        <v>0.96699999999999997</v>
      </c>
      <c r="F25" s="3021">
        <f>F24</f>
        <v>0.7</v>
      </c>
      <c r="G25" s="3019">
        <f t="shared" si="1"/>
        <v>97.7</v>
      </c>
      <c r="I25" s="2997">
        <v>25</v>
      </c>
      <c r="J25" s="2997">
        <v>86.3</v>
      </c>
      <c r="K25" s="2997">
        <f t="shared" si="2"/>
        <v>5.2999999999999972</v>
      </c>
      <c r="L25" s="2997" t="s">
        <v>385</v>
      </c>
      <c r="N25" s="3049">
        <v>8</v>
      </c>
    </row>
    <row r="26" spans="1:14">
      <c r="A26" s="73"/>
      <c r="B26" s="74"/>
      <c r="C26" s="74"/>
      <c r="D26" s="74"/>
      <c r="E26" s="74"/>
      <c r="F26" s="74"/>
      <c r="G26" s="3022"/>
      <c r="I26" s="2997">
        <v>30</v>
      </c>
      <c r="J26" s="2997">
        <v>90.5</v>
      </c>
      <c r="K26" s="2997">
        <f t="shared" si="2"/>
        <v>4.2000000000000028</v>
      </c>
      <c r="L26" s="2997" t="s">
        <v>386</v>
      </c>
      <c r="N26" s="3049">
        <v>5</v>
      </c>
    </row>
    <row r="27" spans="1:14">
      <c r="A27" s="73" t="s">
        <v>387</v>
      </c>
      <c r="B27" s="74"/>
      <c r="C27" s="74"/>
      <c r="D27" s="74"/>
      <c r="E27" s="74"/>
      <c r="F27" s="74"/>
      <c r="G27" s="3022"/>
      <c r="I27" s="2997">
        <v>35</v>
      </c>
      <c r="J27" s="2997">
        <v>93.8</v>
      </c>
      <c r="K27" s="2997">
        <f t="shared" si="2"/>
        <v>3.2999999999999972</v>
      </c>
      <c r="L27" s="2997" t="s">
        <v>388</v>
      </c>
      <c r="N27" s="3049">
        <v>3</v>
      </c>
    </row>
    <row r="28" spans="1:14">
      <c r="A28" s="73" t="s">
        <v>389</v>
      </c>
      <c r="B28" s="74"/>
      <c r="C28" s="74"/>
      <c r="D28" s="74"/>
      <c r="E28" s="74"/>
      <c r="F28" s="74"/>
      <c r="G28" s="3022"/>
      <c r="I28" s="2997">
        <v>40</v>
      </c>
      <c r="J28" s="2997">
        <v>96.4</v>
      </c>
      <c r="K28" s="2997">
        <f t="shared" si="2"/>
        <v>2.6000000000000085</v>
      </c>
      <c r="L28" s="2997" t="s">
        <v>390</v>
      </c>
      <c r="N28" s="3049">
        <v>2</v>
      </c>
    </row>
    <row r="29" spans="1:14">
      <c r="A29" s="73" t="s">
        <v>391</v>
      </c>
      <c r="B29" s="74"/>
      <c r="C29" s="74"/>
      <c r="D29" s="74"/>
      <c r="E29" s="74"/>
      <c r="F29" s="74"/>
      <c r="G29" s="3022"/>
      <c r="I29" s="2997">
        <v>45</v>
      </c>
      <c r="J29" s="2997">
        <v>98.4</v>
      </c>
      <c r="K29" s="2997">
        <f t="shared" si="2"/>
        <v>2</v>
      </c>
    </row>
    <row r="30" spans="1:14">
      <c r="A30" s="73" t="s">
        <v>392</v>
      </c>
      <c r="B30" s="74"/>
      <c r="C30" s="74"/>
      <c r="D30" s="74"/>
      <c r="E30" s="74"/>
      <c r="F30" s="74"/>
      <c r="G30" s="3022"/>
      <c r="I30" s="2997">
        <v>50</v>
      </c>
      <c r="J30" s="2997">
        <v>100</v>
      </c>
      <c r="K30" s="2997">
        <f t="shared" si="2"/>
        <v>1.5999999999999943</v>
      </c>
    </row>
    <row r="31" spans="1:14">
      <c r="A31" s="73" t="s">
        <v>393</v>
      </c>
      <c r="B31" s="74"/>
      <c r="C31" s="74"/>
      <c r="D31" s="74"/>
      <c r="E31" s="74"/>
      <c r="F31" s="74"/>
      <c r="G31" s="3022"/>
      <c r="I31" s="2997" t="s">
        <v>394</v>
      </c>
    </row>
    <row r="32" spans="1:14">
      <c r="A32" s="73" t="s">
        <v>395</v>
      </c>
      <c r="B32" s="74"/>
      <c r="C32" s="74"/>
      <c r="D32" s="74"/>
      <c r="E32" s="74"/>
      <c r="F32" s="74"/>
      <c r="G32" s="3022"/>
    </row>
    <row r="33" spans="1:14">
      <c r="A33" s="73" t="s">
        <v>396</v>
      </c>
      <c r="B33" s="74"/>
      <c r="C33" s="74"/>
      <c r="D33" s="74"/>
      <c r="E33" s="74"/>
      <c r="F33" s="74"/>
      <c r="G33" s="3022"/>
      <c r="I33" s="2997" t="s">
        <v>372</v>
      </c>
      <c r="J33" s="2997" t="s">
        <v>397</v>
      </c>
    </row>
    <row r="34" spans="1:14">
      <c r="A34" s="73" t="s">
        <v>398</v>
      </c>
      <c r="B34" s="74"/>
      <c r="C34" s="74"/>
      <c r="D34" s="74"/>
      <c r="E34" s="74"/>
      <c r="F34" s="74"/>
      <c r="G34" s="3022"/>
      <c r="I34" s="2997">
        <v>5</v>
      </c>
      <c r="J34" s="2997">
        <v>55.1</v>
      </c>
    </row>
    <row r="35" spans="1:14">
      <c r="A35" s="73" t="s">
        <v>399</v>
      </c>
      <c r="B35" s="74"/>
      <c r="C35" s="74"/>
      <c r="D35" s="74"/>
      <c r="E35" s="74"/>
      <c r="F35" s="74"/>
      <c r="G35" s="3022"/>
      <c r="I35" s="2997">
        <v>10</v>
      </c>
      <c r="J35" s="2997">
        <v>67</v>
      </c>
      <c r="K35" s="2997">
        <f>J35-J34</f>
        <v>11.899999999999999</v>
      </c>
    </row>
    <row r="36" spans="1:14">
      <c r="A36" s="73" t="s">
        <v>400</v>
      </c>
      <c r="B36" s="74"/>
      <c r="C36" s="74"/>
      <c r="D36" s="74"/>
      <c r="E36" s="74"/>
      <c r="F36" s="74"/>
      <c r="G36" s="3022"/>
      <c r="I36" s="2997">
        <v>15</v>
      </c>
      <c r="J36" s="2997">
        <v>76.3</v>
      </c>
      <c r="K36" s="2997">
        <f t="shared" ref="K36:K41" si="3">J36-J35</f>
        <v>9.2999999999999972</v>
      </c>
      <c r="L36" s="2997" t="s">
        <v>380</v>
      </c>
      <c r="N36" s="3049" t="s">
        <v>381</v>
      </c>
    </row>
    <row r="37" spans="1:14">
      <c r="A37" s="73" t="s">
        <v>401</v>
      </c>
      <c r="B37" s="74"/>
      <c r="C37" s="74"/>
      <c r="D37" s="74"/>
      <c r="E37" s="74"/>
      <c r="F37" s="74"/>
      <c r="G37" s="3022"/>
      <c r="I37" s="2997">
        <v>20</v>
      </c>
      <c r="J37" s="2997">
        <v>83.6</v>
      </c>
      <c r="K37" s="2997">
        <f t="shared" si="3"/>
        <v>7.2999999999999972</v>
      </c>
      <c r="L37" s="2997" t="s">
        <v>383</v>
      </c>
      <c r="N37" s="3049">
        <v>10</v>
      </c>
    </row>
    <row r="38" spans="1:14">
      <c r="A38" s="73" t="s">
        <v>402</v>
      </c>
      <c r="B38" s="74"/>
      <c r="C38" s="74"/>
      <c r="D38" s="74"/>
      <c r="E38" s="74"/>
      <c r="F38" s="74"/>
      <c r="G38" s="3022"/>
      <c r="I38" s="2997">
        <v>25</v>
      </c>
      <c r="J38" s="2997">
        <v>89.3</v>
      </c>
      <c r="K38" s="2997">
        <f t="shared" si="3"/>
        <v>5.7000000000000028</v>
      </c>
      <c r="L38" s="2997" t="s">
        <v>385</v>
      </c>
      <c r="N38" s="3049">
        <v>8</v>
      </c>
    </row>
    <row r="39" spans="1:14">
      <c r="A39" s="73"/>
      <c r="B39" s="74"/>
      <c r="C39" s="74"/>
      <c r="D39" s="74"/>
      <c r="E39" s="74"/>
      <c r="F39" s="74"/>
      <c r="G39" s="3022"/>
      <c r="I39" s="2997">
        <v>30</v>
      </c>
      <c r="J39" s="2997">
        <v>93.8</v>
      </c>
      <c r="K39" s="2997">
        <f t="shared" si="3"/>
        <v>4.5</v>
      </c>
      <c r="L39" s="2997" t="s">
        <v>386</v>
      </c>
      <c r="N39" s="3049">
        <v>6</v>
      </c>
    </row>
    <row r="40" spans="1:14">
      <c r="A40" s="3023" t="s">
        <v>403</v>
      </c>
      <c r="B40" s="3024"/>
      <c r="C40" s="3024"/>
      <c r="D40" s="3024"/>
      <c r="E40" s="3024"/>
      <c r="F40" s="3024"/>
      <c r="G40" s="3025"/>
      <c r="I40" s="2997">
        <v>35</v>
      </c>
      <c r="J40" s="2997">
        <v>97.2</v>
      </c>
      <c r="K40" s="2997">
        <f t="shared" si="3"/>
        <v>3.4000000000000057</v>
      </c>
      <c r="L40" s="2997" t="s">
        <v>388</v>
      </c>
      <c r="N40" s="3049">
        <v>3</v>
      </c>
    </row>
    <row r="41" spans="1:14">
      <c r="A41" s="3026" t="s">
        <v>404</v>
      </c>
      <c r="B41" s="3027" t="s">
        <v>405</v>
      </c>
      <c r="C41" s="3028" t="s">
        <v>406</v>
      </c>
      <c r="D41" s="3028" t="s">
        <v>407</v>
      </c>
      <c r="E41" s="3029"/>
      <c r="F41" s="3030"/>
      <c r="G41" s="3031"/>
      <c r="I41" s="2997">
        <v>40</v>
      </c>
      <c r="J41" s="2997">
        <v>100</v>
      </c>
      <c r="K41" s="2997">
        <f t="shared" si="3"/>
        <v>2.7999999999999972</v>
      </c>
    </row>
    <row r="42" spans="1:14">
      <c r="A42" s="3026" t="s">
        <v>408</v>
      </c>
      <c r="B42" s="3027" t="s">
        <v>409</v>
      </c>
      <c r="C42" s="3028" t="s">
        <v>409</v>
      </c>
      <c r="D42" s="3032" t="s">
        <v>410</v>
      </c>
      <c r="E42" s="3024" t="s">
        <v>411</v>
      </c>
      <c r="F42" s="3024"/>
      <c r="G42" s="3025"/>
    </row>
    <row r="43" spans="1:14">
      <c r="A43" s="3026" t="s">
        <v>412</v>
      </c>
      <c r="B43" s="3027" t="s">
        <v>413</v>
      </c>
      <c r="C43" s="3028" t="s">
        <v>414</v>
      </c>
      <c r="D43" s="3028" t="s">
        <v>415</v>
      </c>
      <c r="E43" s="3029" t="s">
        <v>416</v>
      </c>
      <c r="F43" s="3030"/>
      <c r="G43" s="3031"/>
      <c r="I43" s="2997" t="s">
        <v>372</v>
      </c>
      <c r="J43" s="2997" t="s">
        <v>417</v>
      </c>
    </row>
    <row r="44" spans="1:14">
      <c r="A44" s="3026" t="s">
        <v>418</v>
      </c>
      <c r="B44" s="3027" t="s">
        <v>419</v>
      </c>
      <c r="C44" s="3028" t="s">
        <v>420</v>
      </c>
      <c r="D44" s="3032">
        <v>0.5</v>
      </c>
      <c r="E44" s="3029" t="s">
        <v>421</v>
      </c>
      <c r="F44" s="3030"/>
      <c r="G44" s="3031"/>
      <c r="I44" s="2997">
        <v>30</v>
      </c>
      <c r="J44" s="2997">
        <v>81.7</v>
      </c>
    </row>
    <row r="45" spans="1:14">
      <c r="A45" s="3033" t="s">
        <v>422</v>
      </c>
      <c r="B45" s="3034" t="s">
        <v>409</v>
      </c>
      <c r="C45" s="3035" t="s">
        <v>409</v>
      </c>
      <c r="D45" s="3035" t="s">
        <v>423</v>
      </c>
      <c r="E45" s="3036" t="s">
        <v>424</v>
      </c>
      <c r="F45" s="3036"/>
      <c r="G45" s="3037"/>
      <c r="I45" s="2997">
        <v>40</v>
      </c>
      <c r="J45" s="2997">
        <v>89.2</v>
      </c>
      <c r="K45" s="2997">
        <f>J45-J44</f>
        <v>7.5</v>
      </c>
    </row>
    <row r="46" spans="1:14">
      <c r="I46" s="2997">
        <v>50</v>
      </c>
      <c r="J46" s="2997">
        <v>94.3</v>
      </c>
      <c r="K46" s="2997">
        <f t="shared" ref="K46:K47" si="4">J46-J45</f>
        <v>5.0999999999999943</v>
      </c>
    </row>
    <row r="47" spans="1:14">
      <c r="I47" s="2997">
        <v>60</v>
      </c>
      <c r="J47" s="2997">
        <v>97.7</v>
      </c>
      <c r="K47" s="2997">
        <f t="shared" si="4"/>
        <v>3.4000000000000057</v>
      </c>
    </row>
    <row r="49" spans="1:4">
      <c r="A49" s="2998" t="s">
        <v>425</v>
      </c>
    </row>
    <row r="50" spans="1:4">
      <c r="A50" s="3038" t="s">
        <v>426</v>
      </c>
      <c r="B50" s="3038" t="s">
        <v>427</v>
      </c>
      <c r="C50" s="3038" t="s">
        <v>428</v>
      </c>
      <c r="D50" s="3038" t="s">
        <v>429</v>
      </c>
    </row>
    <row r="51" spans="1:4">
      <c r="A51" s="3038" t="s">
        <v>430</v>
      </c>
      <c r="B51" s="3010">
        <f>B52+B53</f>
        <v>15000</v>
      </c>
      <c r="C51" s="3039">
        <f>D51/B51</f>
        <v>2666.6666666666665</v>
      </c>
      <c r="D51" s="3010">
        <f>D52+D53</f>
        <v>40000000</v>
      </c>
    </row>
    <row r="52" spans="1:4">
      <c r="A52" s="3040" t="s">
        <v>431</v>
      </c>
      <c r="B52" s="3041">
        <v>10000</v>
      </c>
      <c r="C52" s="3041">
        <v>1500</v>
      </c>
      <c r="D52" s="3042">
        <f>C52*B52</f>
        <v>15000000</v>
      </c>
    </row>
    <row r="53" spans="1:4">
      <c r="A53" s="3040" t="s">
        <v>432</v>
      </c>
      <c r="B53" s="3041">
        <v>5000</v>
      </c>
      <c r="C53" s="3041">
        <v>5000</v>
      </c>
      <c r="D53" s="3042">
        <f>C53*B53</f>
        <v>25000000</v>
      </c>
    </row>
    <row r="54" spans="1:4">
      <c r="A54" s="3038" t="s">
        <v>433</v>
      </c>
      <c r="B54" s="3010">
        <f>B51</f>
        <v>15000</v>
      </c>
      <c r="C54" s="3008">
        <v>700</v>
      </c>
      <c r="D54" s="3010">
        <f t="shared" ref="D54:D55" si="5">C54*B54</f>
        <v>10500000</v>
      </c>
    </row>
    <row r="55" spans="1:4">
      <c r="A55" s="3038" t="s">
        <v>434</v>
      </c>
      <c r="B55" s="3010">
        <f>B51</f>
        <v>15000</v>
      </c>
      <c r="C55" s="3008">
        <v>1500</v>
      </c>
      <c r="D55" s="3010">
        <f t="shared" si="5"/>
        <v>22500000</v>
      </c>
    </row>
    <row r="56" spans="1:4">
      <c r="A56" s="3038" t="s">
        <v>435</v>
      </c>
      <c r="B56" s="3010">
        <f>B51</f>
        <v>15000</v>
      </c>
      <c r="C56" s="3043">
        <f>C51+C54+C55</f>
        <v>4866.6666666666661</v>
      </c>
      <c r="D56" s="3010">
        <f>D51+D54+D55</f>
        <v>73000000</v>
      </c>
    </row>
    <row r="58" spans="1:4">
      <c r="A58" s="3038" t="s">
        <v>436</v>
      </c>
      <c r="B58" s="3044">
        <v>0.05</v>
      </c>
      <c r="C58" s="3010">
        <f>C56*(1+B58)</f>
        <v>5110</v>
      </c>
      <c r="D58" s="3010">
        <f>D56*B58</f>
        <v>3650000</v>
      </c>
    </row>
    <row r="60" spans="1:4">
      <c r="A60" s="3038" t="s">
        <v>437</v>
      </c>
      <c r="B60" s="3008">
        <v>3500</v>
      </c>
      <c r="C60" s="3008">
        <f>C53</f>
        <v>5000</v>
      </c>
      <c r="D60" s="3010">
        <f>C60*B60</f>
        <v>17500000</v>
      </c>
    </row>
    <row r="62" spans="1:4">
      <c r="A62" s="3038" t="s">
        <v>350</v>
      </c>
      <c r="B62" s="3008">
        <f>B51</f>
        <v>15000</v>
      </c>
      <c r="C62" s="3045">
        <f>D62/B62</f>
        <v>6276.666666666667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workbookViewId="0">
      <selection activeCell="B4" sqref="B4"/>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797" customWidth="1"/>
    <col min="10" max="10" width="10" style="2732" customWidth="1"/>
    <col min="11" max="11" width="10" style="2879" customWidth="1"/>
    <col min="12" max="13" width="10" style="2880" customWidth="1"/>
    <col min="14" max="14" width="10" style="2732" customWidth="1"/>
    <col min="15" max="15" width="10" style="1414" customWidth="1"/>
    <col min="16" max="17" width="10" style="2732"/>
    <col min="18" max="18" width="10" style="2732" customWidth="1"/>
    <col min="19" max="30" width="10" style="2732"/>
    <col min="31" max="16384" width="10" style="2561"/>
  </cols>
  <sheetData>
    <row r="1" spans="1:30">
      <c r="A1" s="2881" t="s">
        <v>438</v>
      </c>
      <c r="B1" s="3252" t="str">
        <f>IF(B10="北京市","北京市",C10)&amp;F10&amp;IF(结果表110!G1="在建","出让国有建设用地使用权及在建建筑物",IF(结果表110!G1="土地","出让国有建设用地使用权",))&amp;B9&amp;"预评估"</f>
        <v>北京市房地产抵押价值预评估</v>
      </c>
      <c r="C1" s="3253"/>
      <c r="D1" s="3253"/>
      <c r="E1" s="3253"/>
      <c r="F1" s="3253"/>
      <c r="G1" s="3253"/>
      <c r="H1" s="3253"/>
      <c r="I1" s="3254"/>
      <c r="J1" s="2522"/>
      <c r="K1" s="2962"/>
      <c r="L1" s="2972"/>
      <c r="M1" s="2972"/>
      <c r="N1" s="2882"/>
      <c r="O1" s="2238"/>
      <c r="P1" s="2882"/>
      <c r="Q1" s="2882"/>
      <c r="R1" s="2882"/>
      <c r="S1" s="2114" t="str">
        <f>IF(B10="北京市","北京市",C10)&amp;F10&amp;IF(结果表110!G1="在建","出让国有建设用地使用权及在建建筑物房地产抵押价值",IF(结果表110!G1="土地","出让国有建设用地使用权抵押价值",B9))</f>
        <v>北京市房地产抵押价值</v>
      </c>
      <c r="T1" s="2561"/>
      <c r="U1" s="2561"/>
      <c r="V1" s="2561"/>
      <c r="W1" s="2561"/>
      <c r="X1" s="2561"/>
      <c r="Y1" s="2561"/>
      <c r="Z1" s="2561"/>
      <c r="AA1" s="2561"/>
      <c r="AB1" s="2561"/>
    </row>
    <row r="2" spans="1:30">
      <c r="A2" s="2882" t="s">
        <v>439</v>
      </c>
      <c r="B2" s="1416"/>
      <c r="D2" s="2883"/>
      <c r="E2" s="2884"/>
      <c r="F2" s="2884"/>
      <c r="G2" s="2658"/>
      <c r="H2" s="2658"/>
      <c r="I2" s="2658"/>
      <c r="J2" s="2522"/>
      <c r="K2" s="2962"/>
      <c r="L2" s="2972"/>
      <c r="M2" s="2972"/>
      <c r="N2" s="2882"/>
      <c r="O2" s="2238"/>
      <c r="P2" s="2882"/>
      <c r="Q2" s="2882"/>
      <c r="R2" s="2882"/>
      <c r="S2" s="2114" t="str">
        <f>IF(B10="北京市","北京市",C10)&amp;F10&amp;IF(结果表110!G1="在建","出让国有建设用地使用权及在建建筑物房地产",IF(结果表110!G1="土地","出让国有建设用地使用权","房地产"))</f>
        <v>北京市房地产</v>
      </c>
      <c r="T2" s="2561"/>
      <c r="U2" s="2561"/>
      <c r="V2" s="2561"/>
      <c r="W2" s="2561"/>
      <c r="X2" s="2561"/>
      <c r="Y2" s="2561"/>
      <c r="Z2" s="2561"/>
      <c r="AA2" s="2561"/>
      <c r="AB2" s="2561"/>
    </row>
    <row r="3" spans="1:30">
      <c r="A3" s="1855" t="s">
        <v>440</v>
      </c>
      <c r="B3" s="2885">
        <v>45839</v>
      </c>
      <c r="C3" s="2886" t="s">
        <v>441</v>
      </c>
      <c r="D3" s="2885">
        <f>B3</f>
        <v>45839</v>
      </c>
      <c r="E3" s="2658"/>
      <c r="F3" s="2658"/>
      <c r="G3" s="2658"/>
      <c r="H3" s="2658"/>
      <c r="I3" s="2658"/>
      <c r="J3" s="2522"/>
      <c r="K3" s="2962"/>
      <c r="L3" s="2972"/>
      <c r="M3" s="2972"/>
      <c r="N3" s="2882"/>
      <c r="O3" s="2238"/>
      <c r="P3" s="2882"/>
      <c r="Q3" s="2882"/>
      <c r="R3" s="2882"/>
      <c r="S3" s="2114"/>
      <c r="T3" s="2561"/>
      <c r="U3" s="2561"/>
      <c r="V3" s="2561"/>
      <c r="W3" s="2561"/>
      <c r="X3" s="2561"/>
      <c r="Y3" s="2561"/>
      <c r="Z3" s="2561"/>
      <c r="AA3" s="2561"/>
      <c r="AB3" s="2561"/>
    </row>
    <row r="4" spans="1:30">
      <c r="A4" s="1877" t="s">
        <v>442</v>
      </c>
      <c r="B4" s="2887"/>
      <c r="C4" s="2888">
        <f>SUMIF(注册房地产估价师,B4,估价师及机构信息!B3:B24)</f>
        <v>0</v>
      </c>
      <c r="D4" s="2887"/>
      <c r="E4" s="2888">
        <f>SUMIF(注册房地产估价师,D4,估价师及机构信息!B3:B24)</f>
        <v>0</v>
      </c>
      <c r="F4" s="2887"/>
      <c r="G4" s="2888">
        <f>SUMIF(注册房地产估价师,F4,估价师及机构信息!B3:B24)</f>
        <v>0</v>
      </c>
      <c r="H4" s="2887"/>
      <c r="I4" s="2888">
        <f>SUMIF(注册房地产估价师,H4,估价师及机构信息!B3:B24)</f>
        <v>0</v>
      </c>
      <c r="J4" s="2522"/>
      <c r="K4" s="2222" t="str">
        <f>CONCATENATE(B4,"（注册号：",C4,")、",D4,"（注册号：",E4,")")</f>
        <v>（注册号：0)、（注册号：0)</v>
      </c>
      <c r="L4" s="2972"/>
      <c r="M4" s="2972"/>
      <c r="N4" s="2882"/>
      <c r="O4" s="2238"/>
      <c r="P4" s="2882"/>
      <c r="Q4" s="2882"/>
      <c r="R4" s="2882"/>
      <c r="S4" s="2114"/>
      <c r="T4" s="2561"/>
      <c r="U4" s="2561"/>
      <c r="V4" s="2561"/>
      <c r="W4" s="2561"/>
      <c r="X4" s="2561"/>
      <c r="Y4" s="2561"/>
      <c r="Z4" s="2561"/>
      <c r="AA4" s="2561"/>
      <c r="AB4" s="2561"/>
    </row>
    <row r="5" spans="1:30">
      <c r="A5" s="2889" t="s">
        <v>443</v>
      </c>
      <c r="B5" s="2890"/>
      <c r="C5" s="2891"/>
      <c r="D5" s="2892"/>
      <c r="E5" s="2658"/>
      <c r="F5" s="2658"/>
      <c r="G5" s="2658"/>
      <c r="H5" s="2658"/>
      <c r="I5" s="2658"/>
      <c r="J5" s="2522"/>
      <c r="K5" s="2222" t="str">
        <f>IF(F4="——","",IF(H4="——",F4&amp;"（注册号："&amp;G4&amp;")",CONCATENATE(F4,"（注册号：",G4,")、",H4,"（注册号：",I4,")")))</f>
        <v>（注册号：0)、（注册号：0)</v>
      </c>
      <c r="L5" s="2972"/>
      <c r="M5" s="2972"/>
      <c r="N5" s="2882"/>
      <c r="O5" s="2238"/>
      <c r="P5" s="2882"/>
      <c r="Q5" s="2882"/>
      <c r="R5" s="2882"/>
      <c r="S5" s="2561"/>
      <c r="T5" s="2561"/>
      <c r="U5" s="2561"/>
      <c r="V5" s="2561"/>
      <c r="W5" s="2561"/>
      <c r="X5" s="2561"/>
      <c r="Y5" s="2561"/>
      <c r="Z5" s="2561"/>
      <c r="AA5" s="2561"/>
      <c r="AB5" s="2561"/>
    </row>
    <row r="6" spans="1:30">
      <c r="A6" s="2893" t="s">
        <v>444</v>
      </c>
      <c r="B6" s="2894"/>
      <c r="C6" s="2895"/>
      <c r="D6" s="2896"/>
      <c r="E6" s="2884"/>
      <c r="F6" s="2658"/>
      <c r="G6" s="2658"/>
      <c r="H6" s="2658"/>
      <c r="I6" s="2658"/>
      <c r="J6" s="2522"/>
      <c r="K6" s="2973" t="str">
        <f>IF(COUNTIF(B6,"*上海银行*"),"上海银行","")</f>
        <v/>
      </c>
      <c r="L6" s="2974"/>
      <c r="M6" s="2974"/>
      <c r="N6" s="2522"/>
      <c r="O6" s="2239"/>
      <c r="P6" s="2522"/>
      <c r="Q6" s="2522"/>
      <c r="R6" s="2522"/>
    </row>
    <row r="7" spans="1:30">
      <c r="A7" s="2893" t="s">
        <v>445</v>
      </c>
      <c r="B7" s="2897"/>
      <c r="C7" s="2895"/>
      <c r="D7" s="2896"/>
      <c r="E7" s="2884"/>
      <c r="F7" s="2658"/>
      <c r="G7" s="2658"/>
      <c r="H7" s="2658"/>
      <c r="I7" s="2658"/>
      <c r="J7" s="2522"/>
      <c r="K7" s="2975"/>
      <c r="L7" s="2974"/>
      <c r="M7" s="2974"/>
      <c r="N7" s="2522"/>
      <c r="O7" s="2239"/>
      <c r="P7" s="2522"/>
      <c r="Q7" s="2522"/>
      <c r="R7" s="2522"/>
    </row>
    <row r="8" spans="1:30">
      <c r="A8" s="2898" t="s">
        <v>446</v>
      </c>
      <c r="B8" s="2899" t="s">
        <v>325</v>
      </c>
      <c r="C8" s="2900"/>
      <c r="D8" s="3267" t="s">
        <v>447</v>
      </c>
      <c r="E8" s="2901" t="s">
        <v>330</v>
      </c>
      <c r="F8" s="2902"/>
      <c r="G8" s="2658"/>
      <c r="H8" s="2658"/>
      <c r="I8" s="2658"/>
      <c r="J8" s="2522"/>
      <c r="K8" s="2976"/>
      <c r="L8" s="2974"/>
      <c r="M8" s="2974"/>
      <c r="N8" s="2522"/>
      <c r="O8" s="2239"/>
      <c r="P8" s="2522"/>
      <c r="Q8" s="2522"/>
      <c r="R8" s="2522"/>
    </row>
    <row r="9" spans="1:30">
      <c r="A9" s="2903" t="s">
        <v>448</v>
      </c>
      <c r="B9" s="2904" t="s">
        <v>330</v>
      </c>
      <c r="C9" s="2905"/>
      <c r="D9" s="3268"/>
      <c r="E9" s="2904" t="s">
        <v>124</v>
      </c>
      <c r="F9" s="2906"/>
      <c r="G9" s="2907"/>
      <c r="H9" s="2907"/>
      <c r="I9" s="2907"/>
      <c r="J9" s="2522"/>
      <c r="K9" s="2975"/>
      <c r="L9" s="2974"/>
      <c r="M9" s="2974"/>
      <c r="N9" s="2522"/>
      <c r="O9" s="2239"/>
      <c r="P9" s="2522"/>
      <c r="Q9" s="2522"/>
      <c r="R9" s="2522"/>
    </row>
    <row r="10" spans="1:30">
      <c r="A10" s="2908" t="s">
        <v>449</v>
      </c>
      <c r="B10" s="2909" t="s">
        <v>450</v>
      </c>
      <c r="C10" s="2910"/>
      <c r="D10" s="2892"/>
      <c r="E10" s="2911" t="s">
        <v>451</v>
      </c>
      <c r="F10" s="3175"/>
      <c r="G10" s="2912"/>
      <c r="H10" s="2913"/>
      <c r="I10" s="2977"/>
      <c r="J10" s="2522"/>
      <c r="K10" s="2975"/>
      <c r="L10" s="2974"/>
      <c r="M10" s="2974"/>
      <c r="N10" s="2522"/>
      <c r="O10" s="2239"/>
      <c r="P10" s="2522"/>
      <c r="Q10" s="2522"/>
      <c r="R10" s="2522"/>
    </row>
    <row r="11" spans="1:30">
      <c r="A11" s="2914" t="s">
        <v>452</v>
      </c>
      <c r="B11" s="2915" t="s">
        <v>2878</v>
      </c>
      <c r="C11" s="2916"/>
      <c r="D11" s="2917"/>
      <c r="E11" s="2882"/>
      <c r="F11" s="2882"/>
      <c r="G11" s="2882"/>
      <c r="H11" s="2882"/>
      <c r="I11" s="2882"/>
      <c r="J11" s="2978"/>
      <c r="K11" s="2974"/>
      <c r="L11" s="2974"/>
      <c r="M11" s="2974"/>
      <c r="N11" s="2522"/>
      <c r="O11" s="2239"/>
      <c r="P11" s="2522"/>
      <c r="Q11" s="2522"/>
      <c r="R11" s="2522"/>
    </row>
    <row r="12" spans="1:30">
      <c r="A12" s="2918" t="s">
        <v>453</v>
      </c>
      <c r="B12" s="1896" t="s">
        <v>454</v>
      </c>
      <c r="C12" s="2919" t="s">
        <v>455</v>
      </c>
      <c r="D12" s="2919" t="s">
        <v>456</v>
      </c>
      <c r="E12" s="2919" t="s">
        <v>457</v>
      </c>
      <c r="F12" s="2919" t="s">
        <v>458</v>
      </c>
      <c r="G12" s="2919" t="s">
        <v>459</v>
      </c>
      <c r="H12" s="2919" t="s">
        <v>460</v>
      </c>
      <c r="I12" s="2963" t="s">
        <v>280</v>
      </c>
      <c r="J12" s="2979"/>
      <c r="K12" s="2974"/>
      <c r="L12" s="2974"/>
      <c r="M12" s="2522"/>
      <c r="N12" s="2239"/>
      <c r="O12" s="2522"/>
      <c r="P12" s="2522"/>
      <c r="Q12" s="2522"/>
      <c r="AD12" s="2561"/>
    </row>
    <row r="13" spans="1:30">
      <c r="A13" s="2920" t="s">
        <v>461</v>
      </c>
      <c r="B13" s="2921" t="s">
        <v>462</v>
      </c>
      <c r="C13" s="2922"/>
      <c r="D13" s="2922">
        <v>55985</v>
      </c>
      <c r="E13" s="2923" t="s">
        <v>2845</v>
      </c>
      <c r="F13" s="2923"/>
      <c r="G13" s="2922"/>
      <c r="H13" s="2922"/>
      <c r="I13" s="2922"/>
      <c r="J13" s="2979"/>
      <c r="K13" s="2974"/>
      <c r="L13" s="2974"/>
      <c r="M13" s="2522"/>
      <c r="N13" s="2239"/>
      <c r="O13" s="2522"/>
      <c r="P13" s="2522"/>
      <c r="Q13" s="2522"/>
      <c r="AD13" s="2561"/>
    </row>
    <row r="14" spans="1:30">
      <c r="A14" s="1882"/>
      <c r="B14" s="2921" t="s">
        <v>463</v>
      </c>
      <c r="C14" s="2924"/>
      <c r="D14" s="2924">
        <v>40</v>
      </c>
      <c r="E14" s="2924"/>
      <c r="F14" s="2924"/>
      <c r="G14" s="2924"/>
      <c r="H14" s="2924"/>
      <c r="I14" s="2924"/>
      <c r="J14" s="2980"/>
      <c r="K14" s="2974"/>
      <c r="L14" s="2974"/>
      <c r="M14" s="2522"/>
      <c r="N14" s="2239"/>
      <c r="O14" s="2522"/>
      <c r="P14" s="2522"/>
      <c r="Q14" s="2522"/>
      <c r="AD14" s="2561"/>
    </row>
    <row r="15" spans="1:30">
      <c r="A15" s="1889"/>
      <c r="B15" s="2925" t="s">
        <v>464</v>
      </c>
      <c r="C15" s="2926" t="str">
        <f>IF(A13="出让",IF(C13="","",ROUNDDOWN(MIN((C13-$D$3)/365,C14),2)),C14)</f>
        <v/>
      </c>
      <c r="D15" s="2926">
        <f>IF(A13="出让",IF(D13="","",ROUNDDOWN(MIN((D13-$D$3)/365,D14),2)),D14)</f>
        <v>27.79</v>
      </c>
      <c r="E15" s="2926" t="e">
        <f>IF(A13="出让",IF(E13="","",ROUNDDOWN(MIN((E13-$D$3)/365,E14),2)),E14)</f>
        <v>#VALUE!</v>
      </c>
      <c r="F15" s="2926" t="str">
        <f>IF(A13="出让",IF(F13="","",ROUNDDOWN(MIN((F13-$D$3)/365,F14),2)),F14)</f>
        <v/>
      </c>
      <c r="G15" s="2926" t="str">
        <f>IF(A13="出让",IF(G13="","",ROUNDDOWN(MIN((G13-$D$3)/365,G14),2)),G14)</f>
        <v/>
      </c>
      <c r="H15" s="2926" t="str">
        <f>IF(A13="出让",IF(H13="","",ROUNDDOWN(MIN((H13-$D$3)/365,H14),2)),H14)</f>
        <v/>
      </c>
      <c r="I15" s="2926" t="str">
        <f>IF(A13="出让",IF(I13="","",ROUNDDOWN(MIN((I13-$D$3)/365,I14),2)),I14)</f>
        <v/>
      </c>
      <c r="J15" s="2981"/>
      <c r="K15" s="2239"/>
      <c r="L15" s="2239"/>
      <c r="M15" s="2522"/>
      <c r="N15" s="2239"/>
      <c r="O15" s="2522"/>
      <c r="P15" s="2522"/>
      <c r="Q15" s="2522"/>
      <c r="AD15" s="2561"/>
    </row>
    <row r="16" spans="1:30">
      <c r="A16" s="2911" t="s">
        <v>465</v>
      </c>
      <c r="B16" s="3255" t="s">
        <v>466</v>
      </c>
      <c r="C16" s="3256"/>
      <c r="D16" s="3257"/>
      <c r="E16" s="2927" t="s">
        <v>467</v>
      </c>
      <c r="F16" s="3258"/>
      <c r="G16" s="3259"/>
      <c r="H16" s="3259"/>
      <c r="I16" s="3260"/>
      <c r="J16" s="2522"/>
      <c r="K16" s="2982"/>
      <c r="L16" s="2239"/>
      <c r="M16" s="2239"/>
      <c r="N16" s="2522"/>
      <c r="O16" s="2239"/>
      <c r="P16" s="2522"/>
      <c r="Q16" s="2522"/>
      <c r="R16" s="2522"/>
    </row>
    <row r="17" spans="1:28">
      <c r="A17" s="1866" t="s">
        <v>468</v>
      </c>
      <c r="B17" s="1855" t="s">
        <v>469</v>
      </c>
      <c r="C17" s="1472">
        <f>'数据-汇总表'!E3</f>
        <v>885.63</v>
      </c>
      <c r="D17" s="1908" t="s">
        <v>470</v>
      </c>
      <c r="E17" s="3261" t="s">
        <v>471</v>
      </c>
      <c r="F17" s="3262"/>
      <c r="G17" s="3262"/>
      <c r="H17" s="3262"/>
      <c r="I17" s="3263"/>
      <c r="J17" s="2522"/>
      <c r="K17" s="2983"/>
      <c r="L17" s="2239"/>
      <c r="M17" s="2239"/>
      <c r="N17" s="2522"/>
      <c r="O17" s="2239"/>
      <c r="P17" s="2522"/>
      <c r="Q17" s="2522"/>
      <c r="R17" s="2522"/>
      <c r="S17" s="2522"/>
      <c r="T17" s="2522"/>
      <c r="U17" s="2522"/>
      <c r="V17" s="2522"/>
    </row>
    <row r="18" spans="1:28" ht="24">
      <c r="A18" s="2928" t="s">
        <v>472</v>
      </c>
      <c r="B18" s="1877" t="s">
        <v>473</v>
      </c>
      <c r="C18" s="2929">
        <f>'数据-汇总表'!D3</f>
        <v>0</v>
      </c>
      <c r="D18" s="1901" t="s">
        <v>470</v>
      </c>
      <c r="E18" s="3264" t="s">
        <v>474</v>
      </c>
      <c r="F18" s="3265"/>
      <c r="G18" s="3265"/>
      <c r="H18" s="3265"/>
      <c r="I18" s="3266"/>
      <c r="J18" s="2522"/>
      <c r="K18" s="2983"/>
      <c r="L18" s="2239"/>
      <c r="M18" s="2239"/>
      <c r="N18" s="2522"/>
      <c r="O18" s="2239"/>
      <c r="P18" s="2522"/>
      <c r="Q18" s="2522"/>
      <c r="R18" s="2522"/>
      <c r="S18" s="2522"/>
      <c r="T18" s="2522"/>
      <c r="U18" s="2522"/>
      <c r="V18" s="2522"/>
    </row>
    <row r="19" spans="1:28" ht="36">
      <c r="A19" s="1918" t="s">
        <v>475</v>
      </c>
      <c r="B19" s="1859" t="s">
        <v>476</v>
      </c>
      <c r="C19" s="2930" t="s">
        <v>477</v>
      </c>
      <c r="D19" s="2931" t="s">
        <v>478</v>
      </c>
      <c r="E19" s="2932"/>
      <c r="F19" s="2933" t="str">
        <f>IF(AND(C19="是",E19="否"),"是否提供他项权证或相关说明","")</f>
        <v/>
      </c>
      <c r="G19" s="2934"/>
      <c r="H19" s="2658"/>
      <c r="I19" s="2658"/>
      <c r="J19" s="2522"/>
      <c r="K19" s="2975"/>
      <c r="L19" s="2974"/>
      <c r="M19" s="2974"/>
      <c r="N19" s="2522"/>
      <c r="O19" s="2239"/>
      <c r="P19" s="2522"/>
      <c r="Q19" s="2522"/>
      <c r="R19" s="2522"/>
      <c r="S19" s="2522"/>
      <c r="T19" s="2522"/>
      <c r="U19" s="2522"/>
      <c r="V19" s="2522"/>
    </row>
    <row r="20" spans="1:28">
      <c r="A20" s="2935" t="s">
        <v>479</v>
      </c>
      <c r="B20" s="3242" t="s">
        <v>480</v>
      </c>
      <c r="C20" s="3243"/>
      <c r="D20" s="3244" t="s">
        <v>481</v>
      </c>
      <c r="E20" s="3245"/>
      <c r="F20" s="2936" t="s">
        <v>482</v>
      </c>
      <c r="G20" s="2658"/>
      <c r="H20" s="2658"/>
      <c r="I20" s="2658"/>
      <c r="J20" s="2522"/>
      <c r="K20" s="3240"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2"/>
      <c r="N20" s="2882"/>
      <c r="O20" s="2238"/>
      <c r="P20" s="2882"/>
      <c r="Q20" s="2882"/>
      <c r="R20" s="2882"/>
      <c r="S20" s="2882"/>
      <c r="T20" s="2882"/>
      <c r="U20" s="2882"/>
      <c r="V20" s="2882"/>
      <c r="W20" s="2561"/>
      <c r="X20" s="2561"/>
      <c r="Y20" s="2561"/>
      <c r="Z20" s="2561"/>
      <c r="AA20" s="2561"/>
      <c r="AB20" s="2561"/>
    </row>
    <row r="21" spans="1:28" ht="36">
      <c r="A21" s="2935"/>
      <c r="B21" s="2937" t="s">
        <v>484</v>
      </c>
      <c r="C21" s="2548" t="s">
        <v>485</v>
      </c>
      <c r="D21" s="2938" t="s">
        <v>486</v>
      </c>
      <c r="E21" s="2939" t="s">
        <v>485</v>
      </c>
      <c r="F21" s="2940"/>
      <c r="G21" s="2658"/>
      <c r="H21" s="2658"/>
      <c r="I21" s="2658"/>
      <c r="J21" s="2522"/>
      <c r="K21" s="3240"/>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2"/>
      <c r="O21" s="2238"/>
      <c r="P21" s="2882"/>
      <c r="Q21" s="2882"/>
      <c r="R21" s="2882"/>
      <c r="S21" s="2882"/>
      <c r="T21" s="2882"/>
      <c r="U21" s="2882"/>
      <c r="V21" s="2882"/>
      <c r="W21" s="2561"/>
      <c r="X21" s="2561"/>
      <c r="Y21" s="2561"/>
      <c r="Z21" s="2561"/>
      <c r="AA21" s="2561"/>
      <c r="AB21" s="2561"/>
    </row>
    <row r="22" spans="1:28" ht="36">
      <c r="A22" s="2935"/>
      <c r="B22" s="2941" t="s">
        <v>487</v>
      </c>
      <c r="C22" s="2548" t="s">
        <v>488</v>
      </c>
      <c r="D22" s="2658"/>
      <c r="E22" s="2658"/>
      <c r="F22" s="2658"/>
      <c r="G22" s="2658"/>
      <c r="H22" s="2658"/>
      <c r="I22" s="2658"/>
      <c r="J22" s="2522"/>
      <c r="K22" s="3240"/>
      <c r="L22" s="1998" t="str">
        <f>IF(E19="否","",IF(结果表110!D36="同一抵押权人同一抵押物续贷","由于本次评估为同一抵押权人的续贷房地产抵押估价，故未将已抵押担保的债权数额（"&amp;C26&amp;"）作为法定优先受偿款予以扣减。",IF(结果表110!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2"/>
      <c r="O22" s="2238"/>
      <c r="P22" s="2882"/>
      <c r="Q22" s="2882"/>
      <c r="R22" s="2882"/>
      <c r="S22" s="2882"/>
      <c r="T22" s="2882"/>
      <c r="U22" s="2882"/>
      <c r="V22" s="2882"/>
      <c r="W22" s="2561"/>
      <c r="X22" s="2561"/>
      <c r="Y22" s="2561"/>
      <c r="Z22" s="2561"/>
      <c r="AA22" s="2561"/>
      <c r="AB22" s="2561"/>
    </row>
    <row r="23" spans="1:28">
      <c r="A23" s="2942" t="s">
        <v>489</v>
      </c>
      <c r="B23" s="2545" t="s">
        <v>490</v>
      </c>
      <c r="C23" s="2943"/>
      <c r="D23" s="2944" t="s">
        <v>490</v>
      </c>
      <c r="E23" s="2945"/>
      <c r="F23" s="2658"/>
      <c r="G23" s="2658"/>
      <c r="H23" s="2658"/>
      <c r="I23" s="2658"/>
      <c r="J23" s="2522"/>
      <c r="K23" s="2973"/>
      <c r="L23" s="1458"/>
      <c r="M23" s="2974"/>
      <c r="N23" s="2522"/>
      <c r="O23" s="2239"/>
      <c r="P23" s="2522"/>
      <c r="Q23" s="2522"/>
      <c r="R23" s="2522"/>
      <c r="S23" s="2522"/>
      <c r="T23" s="2522"/>
      <c r="U23" s="2522"/>
      <c r="V23" s="2522"/>
    </row>
    <row r="24" spans="1:28">
      <c r="A24" s="2942"/>
      <c r="B24" s="2545" t="s">
        <v>491</v>
      </c>
      <c r="C24" s="2521"/>
      <c r="D24" s="2942" t="s">
        <v>491</v>
      </c>
      <c r="E24" s="2946"/>
      <c r="F24" s="2658"/>
      <c r="G24" s="2658"/>
      <c r="H24" s="2658"/>
      <c r="I24" s="2658"/>
      <c r="J24" s="2522"/>
      <c r="K24" s="2973"/>
      <c r="L24" s="1458"/>
      <c r="M24" s="2974"/>
      <c r="N24" s="2522"/>
      <c r="O24" s="2239"/>
      <c r="P24" s="2522"/>
      <c r="Q24" s="2522"/>
      <c r="R24" s="2522"/>
      <c r="S24" s="2522"/>
      <c r="T24" s="2522"/>
      <c r="U24" s="2522"/>
      <c r="V24" s="2522"/>
    </row>
    <row r="25" spans="1:28">
      <c r="A25" s="2942"/>
      <c r="B25" s="2545" t="s">
        <v>492</v>
      </c>
      <c r="C25" s="2521"/>
      <c r="D25" s="2942" t="s">
        <v>492</v>
      </c>
      <c r="E25" s="2946"/>
      <c r="F25" s="2658"/>
      <c r="G25" s="2658"/>
      <c r="H25" s="2658"/>
      <c r="I25" s="2658"/>
      <c r="J25" s="2522"/>
      <c r="K25" s="2975"/>
      <c r="L25" s="2974"/>
      <c r="M25" s="2974"/>
      <c r="N25" s="2522"/>
      <c r="O25" s="2239"/>
      <c r="P25" s="2522"/>
      <c r="Q25" s="2522"/>
      <c r="R25" s="2522"/>
      <c r="S25" s="2522"/>
      <c r="T25" s="2522"/>
      <c r="U25" s="2522"/>
      <c r="V25" s="2522"/>
    </row>
    <row r="26" spans="1:28">
      <c r="A26" s="2947"/>
      <c r="B26" s="2948" t="s">
        <v>493</v>
      </c>
      <c r="C26" s="2949"/>
      <c r="D26" s="2947" t="s">
        <v>493</v>
      </c>
      <c r="E26" s="2950"/>
      <c r="F26" s="2907"/>
      <c r="G26" s="2907"/>
      <c r="H26" s="2907"/>
      <c r="I26" s="2907"/>
      <c r="J26" s="2522"/>
      <c r="K26" s="2975"/>
      <c r="L26" s="2974"/>
      <c r="M26" s="2974"/>
      <c r="N26" s="2522"/>
      <c r="O26" s="2239"/>
      <c r="P26" s="2522"/>
      <c r="Q26" s="2522"/>
      <c r="R26" s="2522"/>
      <c r="S26" s="2522"/>
      <c r="T26" s="2522"/>
      <c r="U26" s="2522"/>
      <c r="V26" s="2522"/>
    </row>
    <row r="27" spans="1:28">
      <c r="A27" s="3248" t="s">
        <v>494</v>
      </c>
      <c r="B27" s="1889" t="s">
        <v>495</v>
      </c>
      <c r="C27" s="2951" t="s">
        <v>496</v>
      </c>
      <c r="D27" s="2952"/>
      <c r="E27" s="2658"/>
      <c r="F27" s="2658"/>
      <c r="G27" s="2658"/>
      <c r="H27" s="2658"/>
      <c r="I27" s="2658"/>
      <c r="J27" s="2522"/>
      <c r="K27" s="2982"/>
      <c r="L27" s="2239"/>
      <c r="M27" s="2239"/>
      <c r="N27" s="2522"/>
      <c r="O27" s="2239"/>
      <c r="P27" s="2522"/>
      <c r="Q27" s="2522"/>
      <c r="R27" s="2522"/>
      <c r="S27" s="2522"/>
      <c r="T27" s="2522"/>
      <c r="U27" s="2522"/>
      <c r="V27" s="2522"/>
    </row>
    <row r="28" spans="1:28">
      <c r="A28" s="3248"/>
      <c r="B28" s="1855" t="s">
        <v>497</v>
      </c>
      <c r="C28" s="2953"/>
      <c r="D28" s="2954"/>
      <c r="E28" s="2658"/>
      <c r="F28" s="2658"/>
      <c r="G28" s="2658"/>
      <c r="H28" s="2658"/>
      <c r="I28" s="2658"/>
      <c r="J28" s="2522"/>
      <c r="K28" s="2975"/>
      <c r="L28" s="2974"/>
      <c r="M28" s="2974"/>
      <c r="N28" s="2522"/>
      <c r="O28" s="2239"/>
      <c r="P28" s="2522"/>
      <c r="Q28" s="2522"/>
      <c r="R28" s="2522"/>
      <c r="S28" s="2522"/>
      <c r="T28" s="2522"/>
      <c r="U28" s="2522"/>
      <c r="V28" s="2522"/>
    </row>
    <row r="29" spans="1:28">
      <c r="A29" s="3248"/>
      <c r="B29" s="1855" t="s">
        <v>498</v>
      </c>
      <c r="C29" s="2955"/>
      <c r="D29" s="2956"/>
      <c r="E29" s="2658"/>
      <c r="F29" s="2658"/>
      <c r="G29" s="2658"/>
      <c r="H29" s="2658"/>
      <c r="I29" s="2658"/>
      <c r="J29" s="2522"/>
      <c r="K29" s="2975"/>
      <c r="L29" s="2974"/>
      <c r="M29" s="2974"/>
      <c r="N29" s="2522"/>
      <c r="O29" s="2239"/>
      <c r="P29" s="2522"/>
      <c r="Q29" s="2522"/>
      <c r="R29" s="2522"/>
      <c r="S29" s="2522"/>
      <c r="T29" s="2522"/>
      <c r="U29" s="2522"/>
      <c r="V29" s="2522"/>
    </row>
    <row r="30" spans="1:28">
      <c r="A30" s="3249"/>
      <c r="B30" s="1855" t="s">
        <v>499</v>
      </c>
      <c r="C30" s="3246"/>
      <c r="D30" s="3247"/>
      <c r="E30" s="2658"/>
      <c r="F30" s="2658"/>
      <c r="G30" s="2658"/>
      <c r="H30" s="2658"/>
      <c r="I30" s="2658"/>
      <c r="J30" s="2522"/>
      <c r="K30" s="2975"/>
      <c r="L30" s="2974"/>
      <c r="M30" s="2974"/>
      <c r="N30" s="2522"/>
      <c r="O30" s="2239"/>
      <c r="P30" s="2522"/>
      <c r="Q30" s="2522"/>
      <c r="R30" s="2522"/>
      <c r="S30" s="2522"/>
      <c r="T30" s="2522"/>
      <c r="U30" s="2522"/>
      <c r="V30" s="2522"/>
    </row>
    <row r="31" spans="1:28">
      <c r="A31" s="3250" t="s">
        <v>500</v>
      </c>
      <c r="B31" s="2957" t="s">
        <v>501</v>
      </c>
      <c r="C31" s="2005" t="str">
        <f>IF(B31="现房","成新及维护状况正常否",IF(B31="在建","工程状态是否正常",IF(B31="土地","是否闲置","-")))</f>
        <v>成新及维护状况正常否</v>
      </c>
      <c r="D31" s="2249"/>
      <c r="E31" s="2958"/>
      <c r="F31" s="2658"/>
      <c r="G31" s="2658"/>
      <c r="H31" s="2658"/>
      <c r="I31" s="2658"/>
      <c r="J31" s="2522"/>
      <c r="K31" s="2973"/>
      <c r="L31" s="2974"/>
      <c r="M31" s="2974"/>
      <c r="N31" s="2522"/>
      <c r="O31" s="2239"/>
      <c r="P31" s="2522"/>
      <c r="Q31" s="2522"/>
      <c r="R31" s="2522"/>
      <c r="S31" s="2522"/>
      <c r="T31" s="2522"/>
      <c r="U31" s="2522"/>
      <c r="V31" s="2522"/>
    </row>
    <row r="32" spans="1:28">
      <c r="A32" s="3251"/>
      <c r="B32" s="2957"/>
      <c r="C32" s="2005" t="str">
        <f>IF(B32="现房","成新及维护状况是否正常",IF(B32="在建","工程状态是否正常",IF(B32="土地","是否闲置","-")))</f>
        <v>-</v>
      </c>
      <c r="D32" s="2249"/>
      <c r="E32" s="2958"/>
      <c r="F32" s="2658"/>
      <c r="G32" s="2658"/>
      <c r="H32" s="2658"/>
      <c r="I32" s="2658"/>
      <c r="J32" s="2522"/>
      <c r="K32" s="2975"/>
      <c r="L32" s="2974"/>
      <c r="M32" s="2974"/>
      <c r="N32" s="2522"/>
      <c r="O32" s="2239"/>
      <c r="P32" s="2522"/>
      <c r="Q32" s="2522"/>
      <c r="R32" s="2522"/>
      <c r="S32" s="2522"/>
      <c r="T32" s="2522"/>
      <c r="U32" s="2522"/>
      <c r="V32" s="2522"/>
    </row>
    <row r="33" spans="1:30">
      <c r="A33" s="3251"/>
      <c r="B33" s="2959"/>
      <c r="C33" s="2218" t="str">
        <f>IF(B33="现房","成新及维护状况是否正常",IF(B33="在建","工程状态是否正常",IF(B33="土地","是否闲置","-")))</f>
        <v>-</v>
      </c>
      <c r="D33" s="1864"/>
      <c r="E33" s="2960"/>
      <c r="F33" s="2658"/>
      <c r="G33" s="2658"/>
      <c r="H33" s="2658"/>
      <c r="I33" s="2658"/>
      <c r="J33" s="2522"/>
      <c r="K33" s="2975"/>
      <c r="L33" s="2974"/>
      <c r="M33" s="2974"/>
      <c r="N33" s="2522"/>
      <c r="O33" s="2239"/>
      <c r="P33" s="2522"/>
      <c r="Q33" s="2522"/>
      <c r="R33" s="2522"/>
      <c r="S33" s="2522"/>
      <c r="T33" s="2522"/>
      <c r="U33" s="2522"/>
      <c r="V33" s="2522"/>
    </row>
    <row r="34" spans="1:30">
      <c r="A34" s="1855" t="s">
        <v>502</v>
      </c>
      <c r="B34" s="535"/>
      <c r="C34" s="535"/>
      <c r="D34" s="535"/>
      <c r="E34" s="535"/>
      <c r="F34" s="535"/>
      <c r="G34" s="535"/>
      <c r="H34" s="535"/>
      <c r="I34" s="2658"/>
      <c r="J34" s="2522"/>
      <c r="K34" s="1472">
        <f>COUNTIF(B34:H34,"——")</f>
        <v>0</v>
      </c>
      <c r="L34" s="1896" t="s">
        <v>503</v>
      </c>
      <c r="M34" s="1896" t="s">
        <v>504</v>
      </c>
      <c r="N34" s="1896" t="s">
        <v>505</v>
      </c>
      <c r="O34" s="1896" t="s">
        <v>506</v>
      </c>
      <c r="P34" s="1896" t="s">
        <v>507</v>
      </c>
      <c r="Q34" s="1896" t="s">
        <v>508</v>
      </c>
      <c r="R34" s="1896" t="s">
        <v>509</v>
      </c>
      <c r="S34" s="3241" t="s">
        <v>510</v>
      </c>
      <c r="T34" s="1896" t="str">
        <f>NUMBERSTRING(7-K34,1)&amp;"通"</f>
        <v>七通</v>
      </c>
      <c r="U34" s="2522"/>
      <c r="V34" s="2522"/>
    </row>
    <row r="35" spans="1:30">
      <c r="A35" s="2961"/>
      <c r="B35" s="3241" t="s">
        <v>511</v>
      </c>
      <c r="C35" s="3241"/>
      <c r="D35" s="3241"/>
      <c r="E35" s="3241"/>
      <c r="F35" s="1472">
        <f>C10</f>
        <v>0</v>
      </c>
      <c r="G35" s="2658"/>
      <c r="H35" s="2658"/>
      <c r="I35" s="2658"/>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41"/>
      <c r="T35" s="1418" t="str">
        <f>IF(T34="一通",L35,IF(T34="二通",M35,IF(T34="三通",N35,IF(T34="四通",O35,IF(T34="五通",P35,IF(T34="六通",Q35,R35))))))</f>
        <v>、、、、、、</v>
      </c>
      <c r="U35" s="2522"/>
      <c r="V35" s="2522"/>
    </row>
    <row r="36" spans="1:30">
      <c r="A36" s="2962"/>
      <c r="B36" s="1472" t="s">
        <v>456</v>
      </c>
      <c r="C36" s="1472" t="s">
        <v>457</v>
      </c>
      <c r="D36" s="1472" t="s">
        <v>455</v>
      </c>
      <c r="E36" s="1472" t="s">
        <v>460</v>
      </c>
      <c r="F36" s="2963" t="s">
        <v>280</v>
      </c>
      <c r="G36" s="2658"/>
      <c r="H36" s="2658"/>
      <c r="I36" s="2658"/>
      <c r="J36" s="2522"/>
      <c r="K36" s="2975"/>
      <c r="L36" s="2974"/>
      <c r="M36" s="2974"/>
      <c r="N36" s="2522"/>
      <c r="O36" s="2239"/>
      <c r="P36" s="2522"/>
      <c r="Q36" s="2522"/>
      <c r="R36" s="2522"/>
      <c r="S36" s="2522"/>
      <c r="T36" s="2522"/>
      <c r="U36" s="2522"/>
      <c r="V36" s="2522"/>
    </row>
    <row r="37" spans="1:30">
      <c r="A37" s="2964" t="s">
        <v>512</v>
      </c>
      <c r="B37" s="2965"/>
      <c r="C37" s="2965"/>
      <c r="D37" s="2965"/>
      <c r="E37" s="2965"/>
      <c r="F37" s="2965"/>
      <c r="G37" s="2658"/>
      <c r="H37" s="2658"/>
      <c r="I37" s="2658"/>
      <c r="J37" s="2522"/>
      <c r="K37" s="2975"/>
      <c r="L37" s="2974"/>
      <c r="M37" s="2974"/>
      <c r="N37" s="2522"/>
      <c r="O37" s="2239"/>
      <c r="P37" s="2522"/>
      <c r="Q37" s="2522"/>
      <c r="R37" s="2522"/>
      <c r="S37" s="2522"/>
      <c r="T37" s="2522"/>
      <c r="U37" s="2522"/>
      <c r="V37" s="2522"/>
    </row>
    <row r="38" spans="1:30">
      <c r="A38" s="2966" t="s">
        <v>513</v>
      </c>
      <c r="B38" s="2967"/>
      <c r="C38" s="2967"/>
      <c r="D38" s="2967"/>
      <c r="E38" s="2967"/>
      <c r="F38" s="2967"/>
      <c r="G38" s="2907"/>
      <c r="H38" s="2907"/>
      <c r="I38" s="2907"/>
      <c r="J38" s="2522"/>
      <c r="K38" s="2975"/>
      <c r="L38" s="2974"/>
      <c r="M38" s="2974"/>
      <c r="N38" s="2522"/>
      <c r="O38" s="2239"/>
      <c r="P38" s="2522"/>
      <c r="Q38" s="2522"/>
      <c r="R38" s="2522"/>
      <c r="S38" s="2522"/>
      <c r="T38" s="2522"/>
      <c r="U38" s="2522"/>
      <c r="V38" s="2522"/>
    </row>
    <row r="39" spans="1:30" s="2878" customFormat="1">
      <c r="A39" s="2968" t="s">
        <v>515</v>
      </c>
      <c r="B39" s="2969"/>
      <c r="C39" s="2969"/>
      <c r="D39" s="2969"/>
      <c r="E39" s="2969"/>
      <c r="F39" s="2969"/>
      <c r="G39" s="2969"/>
      <c r="H39" s="2969"/>
      <c r="I39" s="2969"/>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2"/>
      <c r="B40" s="2882"/>
      <c r="C40" s="2882"/>
      <c r="D40" s="2882"/>
      <c r="E40" s="2882"/>
      <c r="F40" s="2882"/>
      <c r="G40" s="2882"/>
      <c r="H40" s="2882"/>
      <c r="I40" s="2238"/>
      <c r="J40" s="2522"/>
      <c r="K40" s="2973"/>
      <c r="L40" s="2239"/>
      <c r="M40" s="2239"/>
      <c r="N40" s="2522"/>
      <c r="O40" s="2239"/>
      <c r="P40" s="2522"/>
      <c r="Q40" s="2522"/>
      <c r="R40" s="2522"/>
      <c r="S40" s="2522"/>
      <c r="T40" s="2522"/>
      <c r="U40" s="2522"/>
      <c r="V40" s="2522"/>
    </row>
    <row r="41" spans="1:30">
      <c r="A41" s="2970" t="s">
        <v>516</v>
      </c>
      <c r="B41" s="2125"/>
      <c r="C41" s="2249"/>
      <c r="D41" s="2882"/>
      <c r="E41" s="2882"/>
      <c r="F41" s="2882"/>
      <c r="G41" s="2882"/>
      <c r="H41" s="2882"/>
      <c r="I41" s="2238"/>
      <c r="J41" s="2522"/>
      <c r="K41" s="2975"/>
      <c r="L41" s="2974"/>
      <c r="M41" s="2974"/>
      <c r="N41" s="2522"/>
      <c r="O41" s="2239"/>
      <c r="P41" s="2522"/>
      <c r="Q41" s="2522"/>
      <c r="R41" s="2522"/>
      <c r="S41" s="2522"/>
      <c r="T41" s="2522"/>
      <c r="U41" s="2522"/>
      <c r="V41" s="2522"/>
    </row>
    <row r="42" spans="1:30" ht="25.2">
      <c r="A42" s="1896" t="s">
        <v>517</v>
      </c>
      <c r="B42" s="1472" t="s">
        <v>518</v>
      </c>
      <c r="C42" s="1472" t="s">
        <v>519</v>
      </c>
      <c r="D42" s="1472" t="s">
        <v>520</v>
      </c>
      <c r="E42" s="1472" t="s">
        <v>521</v>
      </c>
      <c r="F42" s="1472" t="s">
        <v>522</v>
      </c>
      <c r="G42" s="1472" t="s">
        <v>523</v>
      </c>
      <c r="H42" s="1472" t="s">
        <v>524</v>
      </c>
      <c r="I42" s="1472" t="s">
        <v>525</v>
      </c>
      <c r="J42" s="2987" t="s">
        <v>526</v>
      </c>
      <c r="K42" s="2988" t="s">
        <v>527</v>
      </c>
      <c r="L42" s="2988" t="s">
        <v>528</v>
      </c>
      <c r="M42" s="2988" t="s">
        <v>529</v>
      </c>
      <c r="N42" s="2989" t="s">
        <v>530</v>
      </c>
      <c r="O42" s="2989" t="s">
        <v>531</v>
      </c>
      <c r="P42" s="2989" t="s">
        <v>532</v>
      </c>
      <c r="Q42" s="2994" t="s">
        <v>533</v>
      </c>
      <c r="R42" s="2994" t="s">
        <v>534</v>
      </c>
      <c r="S42" s="2522"/>
      <c r="T42" s="2522"/>
      <c r="U42" s="2522"/>
      <c r="V42" s="2522"/>
    </row>
    <row r="43" spans="1:30" s="2732" customFormat="1">
      <c r="A43" s="2971"/>
      <c r="B43" s="2821"/>
      <c r="C43" s="2821"/>
      <c r="D43" s="2821"/>
      <c r="E43" s="2821"/>
      <c r="F43" s="2821"/>
      <c r="G43" s="2821"/>
      <c r="H43" s="2821"/>
      <c r="I43" s="2821"/>
      <c r="J43" s="2990"/>
      <c r="K43" s="2991"/>
      <c r="L43" s="2991"/>
      <c r="M43" s="2821"/>
      <c r="N43" s="2821"/>
      <c r="O43" s="2821"/>
      <c r="P43" s="2821"/>
      <c r="Q43" s="2821"/>
      <c r="R43" s="2821"/>
      <c r="S43" s="2522"/>
      <c r="T43" s="2522"/>
      <c r="U43" s="2522"/>
      <c r="V43" s="2522"/>
    </row>
    <row r="44" spans="1:30" s="2732" customFormat="1">
      <c r="A44" s="2971"/>
      <c r="B44" s="2971"/>
      <c r="C44" s="2821"/>
      <c r="D44" s="2821"/>
      <c r="E44" s="2821"/>
      <c r="F44" s="2821"/>
      <c r="G44" s="2821"/>
      <c r="H44" s="2821"/>
      <c r="I44" s="2821"/>
      <c r="J44" s="2990"/>
      <c r="K44" s="2991"/>
      <c r="L44" s="2991"/>
      <c r="M44" s="2821"/>
      <c r="N44" s="2821"/>
      <c r="O44" s="2821"/>
      <c r="P44" s="2821"/>
      <c r="Q44" s="2821"/>
      <c r="R44" s="2821"/>
      <c r="S44" s="2522"/>
      <c r="T44" s="2522"/>
      <c r="U44" s="2522"/>
      <c r="V44" s="2522"/>
    </row>
    <row r="45" spans="1:30" s="2732" customFormat="1">
      <c r="A45" s="2971"/>
      <c r="B45" s="2971"/>
      <c r="C45" s="2821"/>
      <c r="D45" s="2821"/>
      <c r="E45" s="2821"/>
      <c r="F45" s="2821"/>
      <c r="G45" s="2821"/>
      <c r="H45" s="2821"/>
      <c r="I45" s="2821"/>
      <c r="J45" s="2990"/>
      <c r="K45" s="2991"/>
      <c r="L45" s="2991"/>
      <c r="M45" s="2821"/>
      <c r="N45" s="2821"/>
      <c r="O45" s="2821"/>
      <c r="P45" s="2821"/>
      <c r="Q45" s="2821"/>
      <c r="R45" s="2821"/>
      <c r="S45" s="2522"/>
      <c r="T45" s="2522"/>
      <c r="U45" s="2522"/>
      <c r="V45" s="2522"/>
    </row>
    <row r="46" spans="1:30" s="2732" customFormat="1">
      <c r="A46" s="2971"/>
      <c r="B46" s="2971"/>
      <c r="C46" s="2821"/>
      <c r="D46" s="2821"/>
      <c r="E46" s="2821"/>
      <c r="F46" s="2821"/>
      <c r="G46" s="2821"/>
      <c r="H46" s="2821"/>
      <c r="I46" s="2821"/>
      <c r="J46" s="2990"/>
      <c r="K46" s="2991"/>
      <c r="L46" s="2991"/>
      <c r="M46" s="2821"/>
      <c r="N46" s="2821"/>
      <c r="O46" s="2821"/>
      <c r="P46" s="2821"/>
      <c r="Q46" s="2821"/>
      <c r="R46" s="2821"/>
      <c r="S46" s="2522"/>
      <c r="T46" s="2522"/>
      <c r="U46" s="2522"/>
      <c r="V46" s="2522"/>
    </row>
    <row r="47" spans="1:30" s="2732" customFormat="1">
      <c r="A47" s="2971"/>
      <c r="B47" s="2971"/>
      <c r="C47" s="2821"/>
      <c r="D47" s="2821"/>
      <c r="E47" s="2821"/>
      <c r="F47" s="2821"/>
      <c r="G47" s="2821"/>
      <c r="H47" s="2821"/>
      <c r="I47" s="2821"/>
      <c r="J47" s="2990"/>
      <c r="K47" s="2991"/>
      <c r="L47" s="2991"/>
      <c r="M47" s="2821"/>
      <c r="N47" s="2821"/>
      <c r="O47" s="2821"/>
      <c r="P47" s="2821"/>
      <c r="Q47" s="2821"/>
      <c r="R47" s="2821"/>
      <c r="S47" s="2522"/>
      <c r="T47" s="2522"/>
      <c r="U47" s="2522"/>
      <c r="V47" s="2522"/>
    </row>
    <row r="48" spans="1:30" s="2732" customFormat="1">
      <c r="A48" s="2971"/>
      <c r="B48" s="2971"/>
      <c r="C48" s="2821"/>
      <c r="D48" s="2821"/>
      <c r="E48" s="2821"/>
      <c r="F48" s="2821"/>
      <c r="G48" s="2821"/>
      <c r="H48" s="2821"/>
      <c r="I48" s="2821"/>
      <c r="J48" s="2990"/>
      <c r="K48" s="2991"/>
      <c r="L48" s="2991"/>
      <c r="M48" s="2821"/>
      <c r="N48" s="2821"/>
      <c r="O48" s="2821"/>
      <c r="P48" s="2821"/>
      <c r="Q48" s="2821"/>
      <c r="R48" s="2821"/>
      <c r="S48" s="2522"/>
      <c r="T48" s="2522"/>
      <c r="U48" s="2522"/>
      <c r="V48" s="2522"/>
    </row>
    <row r="49" spans="1:22" s="2732" customFormat="1">
      <c r="A49" s="2971"/>
      <c r="B49" s="2971"/>
      <c r="C49" s="2821"/>
      <c r="D49" s="2821"/>
      <c r="E49" s="2821"/>
      <c r="F49" s="2821"/>
      <c r="G49" s="2821"/>
      <c r="H49" s="2821"/>
      <c r="I49" s="2821"/>
      <c r="J49" s="2990"/>
      <c r="K49" s="2991"/>
      <c r="L49" s="2991"/>
      <c r="M49" s="2821"/>
      <c r="N49" s="2821"/>
      <c r="O49" s="2821"/>
      <c r="P49" s="2821"/>
      <c r="Q49" s="2821"/>
      <c r="R49" s="2821"/>
      <c r="S49" s="2522"/>
      <c r="T49" s="2522"/>
      <c r="U49" s="2522"/>
      <c r="V49" s="2522"/>
    </row>
    <row r="50" spans="1:22" s="2732" customFormat="1">
      <c r="A50" s="2971"/>
      <c r="B50" s="2971"/>
      <c r="C50" s="2821"/>
      <c r="D50" s="2821"/>
      <c r="E50" s="2821"/>
      <c r="F50" s="2821"/>
      <c r="G50" s="2821"/>
      <c r="H50" s="2821"/>
      <c r="I50" s="2821"/>
      <c r="J50" s="2990"/>
      <c r="K50" s="2991"/>
      <c r="L50" s="2991"/>
      <c r="M50" s="2821"/>
      <c r="N50" s="2821"/>
      <c r="O50" s="2821"/>
      <c r="P50" s="2821"/>
      <c r="Q50" s="2821"/>
      <c r="R50" s="2821"/>
      <c r="S50" s="2522"/>
      <c r="T50" s="2522"/>
      <c r="U50" s="2522"/>
      <c r="V50" s="2522"/>
    </row>
    <row r="51" spans="1:22" s="2732" customFormat="1">
      <c r="A51" s="2971"/>
      <c r="B51" s="2971"/>
      <c r="C51" s="2821"/>
      <c r="D51" s="2821"/>
      <c r="E51" s="2821"/>
      <c r="F51" s="2821"/>
      <c r="G51" s="2821"/>
      <c r="H51" s="2821"/>
      <c r="I51" s="2821"/>
      <c r="J51" s="2990"/>
      <c r="K51" s="2991"/>
      <c r="L51" s="2991"/>
      <c r="M51" s="2821"/>
      <c r="N51" s="2821"/>
      <c r="O51" s="2821"/>
      <c r="P51" s="2821"/>
      <c r="Q51" s="2821"/>
      <c r="R51" s="2821"/>
    </row>
    <row r="52" spans="1:22" s="2732" customFormat="1">
      <c r="A52" s="2971"/>
      <c r="B52" s="2971"/>
      <c r="C52" s="2971"/>
      <c r="D52" s="2971"/>
      <c r="E52" s="2971"/>
      <c r="F52" s="2821"/>
      <c r="G52" s="2971"/>
      <c r="H52" s="2971"/>
      <c r="I52" s="2971"/>
      <c r="J52" s="2992"/>
      <c r="K52" s="2991"/>
      <c r="L52" s="2991"/>
      <c r="M52" s="2991"/>
      <c r="N52" s="2971"/>
      <c r="O52" s="2971"/>
      <c r="P52" s="2971"/>
      <c r="Q52" s="2971"/>
      <c r="R52" s="2971"/>
    </row>
    <row r="53" spans="1:22" s="2732" customFormat="1">
      <c r="A53" s="2971"/>
      <c r="B53" s="2971"/>
      <c r="C53" s="2971"/>
      <c r="D53" s="2971"/>
      <c r="E53" s="2971"/>
      <c r="F53" s="2821"/>
      <c r="G53" s="2971"/>
      <c r="H53" s="2971"/>
      <c r="I53" s="2971"/>
      <c r="J53" s="2992"/>
      <c r="K53" s="2991"/>
      <c r="L53" s="2991"/>
      <c r="M53" s="2991"/>
      <c r="N53" s="2971"/>
      <c r="O53" s="2971"/>
      <c r="P53" s="2971"/>
      <c r="Q53" s="2971"/>
      <c r="R53" s="2971"/>
    </row>
    <row r="54" spans="1:22" s="2732" customFormat="1">
      <c r="A54" s="2971"/>
      <c r="B54" s="2971"/>
      <c r="C54" s="2971"/>
      <c r="D54" s="2971"/>
      <c r="E54" s="2971"/>
      <c r="F54" s="2821"/>
      <c r="G54" s="2971"/>
      <c r="H54" s="2971"/>
      <c r="I54" s="2971"/>
      <c r="J54" s="2992"/>
      <c r="K54" s="2991"/>
      <c r="L54" s="2991"/>
      <c r="M54" s="2991"/>
      <c r="N54" s="2971"/>
      <c r="O54" s="2971"/>
      <c r="P54" s="2971"/>
      <c r="Q54" s="2971"/>
      <c r="R54" s="2971"/>
    </row>
    <row r="55" spans="1:22" s="2732" customFormat="1">
      <c r="A55" s="2971"/>
      <c r="B55" s="2971"/>
      <c r="C55" s="2971"/>
      <c r="D55" s="2971"/>
      <c r="E55" s="2971"/>
      <c r="F55" s="2821"/>
      <c r="G55" s="2971"/>
      <c r="H55" s="2971"/>
      <c r="I55" s="2971"/>
      <c r="J55" s="2992"/>
      <c r="K55" s="2991"/>
      <c r="L55" s="2991"/>
      <c r="M55" s="2991"/>
      <c r="N55" s="2971"/>
      <c r="O55" s="2971"/>
      <c r="P55" s="2971"/>
      <c r="Q55" s="2971"/>
      <c r="R55" s="2971"/>
    </row>
    <row r="56" spans="1:22" s="2732" customFormat="1">
      <c r="A56" s="2971"/>
      <c r="B56" s="2971"/>
      <c r="C56" s="2971"/>
      <c r="D56" s="2971"/>
      <c r="E56" s="2971"/>
      <c r="F56" s="2821"/>
      <c r="G56" s="2971"/>
      <c r="H56" s="2971"/>
      <c r="I56" s="2971"/>
      <c r="J56" s="2992"/>
      <c r="K56" s="2991"/>
      <c r="L56" s="2991"/>
      <c r="M56" s="2991"/>
      <c r="N56" s="2971"/>
      <c r="O56" s="2971"/>
      <c r="P56" s="2971"/>
      <c r="Q56" s="2971"/>
      <c r="R56" s="297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5" sqref="J35"/>
    </sheetView>
  </sheetViews>
  <sheetFormatPr defaultColWidth="8.88671875" defaultRowHeight="13.8"/>
  <cols>
    <col min="1" max="1" width="10.6640625" style="2800" customWidth="1"/>
    <col min="2" max="2" width="11" style="2800" customWidth="1"/>
    <col min="3" max="3" width="10.33203125" style="2800" customWidth="1"/>
    <col min="4" max="4" width="9.109375" style="2800" customWidth="1"/>
    <col min="5" max="8" width="10" style="2800" customWidth="1"/>
    <col min="9" max="9" width="10.6640625" style="2800" customWidth="1"/>
    <col min="10" max="10" width="9.44140625" style="2800" customWidth="1"/>
    <col min="11" max="11" width="11" style="2800" customWidth="1"/>
    <col min="12" max="14" width="9.44140625" style="2800" customWidth="1"/>
    <col min="15" max="15" width="9.88671875" style="2800" customWidth="1"/>
    <col min="16" max="16" width="9.77734375" style="2800" customWidth="1"/>
    <col min="17" max="17" width="9.33203125" style="2800" customWidth="1"/>
    <col min="18" max="18" width="9.21875" style="2800" customWidth="1"/>
    <col min="19" max="19" width="10.88671875" style="2800" customWidth="1"/>
    <col min="20" max="21" width="10.77734375" style="2800" customWidth="1"/>
    <col min="22" max="22" width="10.88671875" style="2800" customWidth="1"/>
    <col min="23" max="27" width="10.77734375" style="2800" customWidth="1"/>
    <col min="28" max="28" width="10.88671875" style="2800" customWidth="1"/>
    <col min="29" max="29" width="11" style="2800" customWidth="1"/>
    <col min="30" max="30" width="10" style="2800" customWidth="1"/>
    <col min="31" max="31" width="9.77734375" style="2800" customWidth="1"/>
    <col min="32" max="46" width="9.44140625" style="2800" customWidth="1"/>
    <col min="47" max="47" width="18.109375" style="2800" customWidth="1"/>
    <col min="48" max="50" width="9.77734375" style="2800" customWidth="1"/>
    <col min="51" max="55" width="10.44140625" style="2800" customWidth="1"/>
    <col min="56" max="56" width="9.44140625" style="2800" customWidth="1"/>
    <col min="57" max="63" width="9.109375" style="2800" customWidth="1"/>
    <col min="64" max="64" width="9.44140625" style="2800" customWidth="1"/>
    <col min="65" max="65" width="9.109375" style="2800" customWidth="1"/>
    <col min="66" max="66" width="9.44140625" style="2800" customWidth="1"/>
    <col min="67" max="69" width="9.109375" style="2800" customWidth="1"/>
    <col min="70" max="70" width="9.44140625" style="2800" customWidth="1"/>
    <col min="71" max="71" width="9" style="2800" customWidth="1"/>
    <col min="72" max="72" width="9.109375" style="2800" customWidth="1"/>
    <col min="73" max="16384" width="8.88671875" style="2800"/>
  </cols>
  <sheetData>
    <row r="1" spans="1:72" ht="21">
      <c r="A1" s="2200" t="s">
        <v>535</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49" t="s">
        <v>536</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57" t="s">
        <v>538</v>
      </c>
      <c r="AZ2" s="2858"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797" customFormat="1" ht="13.2">
      <c r="A3" s="2802"/>
      <c r="B3" s="2803">
        <f>IF(C3="否",G5-AT5,G5)</f>
        <v>885.63</v>
      </c>
      <c r="C3" s="2804"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59"/>
      <c r="AZ3" s="2821"/>
      <c r="BA3" s="2846"/>
      <c r="BB3" s="2238"/>
      <c r="BC3" s="2238"/>
      <c r="BD3" s="2238"/>
      <c r="BE3" s="2238"/>
      <c r="BF3" s="2238"/>
      <c r="BG3" s="2238"/>
      <c r="BH3" s="2238"/>
      <c r="BI3" s="2238"/>
      <c r="BJ3" s="2238"/>
      <c r="BK3" s="2238"/>
      <c r="BL3" s="2238"/>
      <c r="BM3" s="2238"/>
      <c r="BN3" s="2238"/>
      <c r="BO3" s="2238"/>
      <c r="BP3" s="2238"/>
      <c r="BQ3" s="2238"/>
      <c r="BR3" s="2238"/>
      <c r="BS3" s="2238"/>
      <c r="BT3" s="2238"/>
    </row>
    <row r="4" spans="1:72" s="2797" customFormat="1" ht="13.2">
      <c r="A4" s="566"/>
      <c r="B4" s="2805"/>
      <c r="C4" s="2806"/>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60"/>
      <c r="BB4" s="2238"/>
      <c r="BC4" s="2238"/>
      <c r="BD4" s="2238"/>
      <c r="BE4" s="2238"/>
      <c r="BF4" s="2238"/>
      <c r="BG4" s="2238"/>
      <c r="BH4" s="2238"/>
      <c r="BI4" s="2238"/>
      <c r="BJ4" s="2238"/>
      <c r="BK4" s="2238"/>
      <c r="BL4" s="2238"/>
      <c r="BM4" s="2238"/>
      <c r="BN4" s="2238"/>
      <c r="BO4" s="2238"/>
      <c r="BP4" s="2238"/>
      <c r="BQ4" s="2238"/>
      <c r="BR4" s="2238"/>
      <c r="BS4" s="2238"/>
      <c r="BT4" s="2238"/>
    </row>
    <row r="5" spans="1:72" s="2797" customFormat="1" ht="13.2">
      <c r="A5" s="2005" t="s">
        <v>542</v>
      </c>
      <c r="B5" s="2123"/>
      <c r="C5" s="2123"/>
      <c r="D5" s="2248"/>
      <c r="E5" s="2807" t="s">
        <v>124</v>
      </c>
      <c r="F5" s="2807">
        <f>SUM(F13:F587)</f>
        <v>0</v>
      </c>
      <c r="G5" s="2807">
        <f>SUM(G13:G587)</f>
        <v>885.63</v>
      </c>
      <c r="H5" s="2807">
        <f t="shared" ref="H5:AT5" si="0">SUM(H13:H656)</f>
        <v>885.63</v>
      </c>
      <c r="I5" s="2807">
        <f t="shared" si="0"/>
        <v>885.63</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122"/>
      <c r="AV5" s="2005" t="s">
        <v>542</v>
      </c>
      <c r="AW5" s="2123"/>
      <c r="AX5" s="2123"/>
      <c r="AY5" s="1422" t="s">
        <v>124</v>
      </c>
      <c r="AZ5" s="2861">
        <f t="shared" ref="AZ5:BT5" si="1">SUM(AZ13:AZ656)</f>
        <v>885.63</v>
      </c>
      <c r="BA5" s="2861">
        <f t="shared" si="1"/>
        <v>885.63</v>
      </c>
      <c r="BB5" s="2861">
        <f t="shared" si="1"/>
        <v>885.63</v>
      </c>
      <c r="BC5" s="2861">
        <f t="shared" si="1"/>
        <v>0</v>
      </c>
      <c r="BD5" s="2861">
        <f t="shared" si="1"/>
        <v>0</v>
      </c>
      <c r="BE5" s="2861">
        <f t="shared" si="1"/>
        <v>0</v>
      </c>
      <c r="BF5" s="2861">
        <f t="shared" si="1"/>
        <v>0</v>
      </c>
      <c r="BG5" s="2861">
        <f t="shared" si="1"/>
        <v>0</v>
      </c>
      <c r="BH5" s="2861">
        <f t="shared" si="1"/>
        <v>0</v>
      </c>
      <c r="BI5" s="2861">
        <f t="shared" si="1"/>
        <v>0</v>
      </c>
      <c r="BJ5" s="2861">
        <f t="shared" si="1"/>
        <v>0</v>
      </c>
      <c r="BK5" s="2861">
        <f t="shared" si="1"/>
        <v>0</v>
      </c>
      <c r="BL5" s="2861">
        <f t="shared" si="1"/>
        <v>0</v>
      </c>
      <c r="BM5" s="2861">
        <f t="shared" si="1"/>
        <v>0</v>
      </c>
      <c r="BN5" s="2861">
        <f t="shared" si="1"/>
        <v>0</v>
      </c>
      <c r="BO5" s="2861">
        <f t="shared" si="1"/>
        <v>0</v>
      </c>
      <c r="BP5" s="2861">
        <f t="shared" si="1"/>
        <v>0</v>
      </c>
      <c r="BQ5" s="2861">
        <f t="shared" si="1"/>
        <v>0</v>
      </c>
      <c r="BR5" s="2861">
        <f t="shared" si="1"/>
        <v>0</v>
      </c>
      <c r="BS5" s="2861">
        <f t="shared" si="1"/>
        <v>0</v>
      </c>
      <c r="BT5" s="2869">
        <f t="shared" si="1"/>
        <v>0</v>
      </c>
    </row>
    <row r="6" spans="1:72" s="2798" customFormat="1" ht="13.2">
      <c r="A6" s="2005" t="s">
        <v>543</v>
      </c>
      <c r="B6" s="2808"/>
      <c r="C6" s="2808"/>
      <c r="D6" s="2809"/>
      <c r="E6" s="2807">
        <f>H6+AC6+AT6</f>
        <v>0</v>
      </c>
      <c r="F6" s="2807" t="s">
        <v>124</v>
      </c>
      <c r="G6" s="2807" t="s">
        <v>124</v>
      </c>
      <c r="H6" s="2810">
        <f>SUMIF(I$12:AB$12,"总值",I6:AB6)</f>
        <v>0</v>
      </c>
      <c r="I6" s="2807">
        <f t="shared" ref="I6:AB6" si="2">ROUND($A$3*I5/$B$3,2)</f>
        <v>0</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50"/>
      <c r="AV6" s="2005" t="s">
        <v>543</v>
      </c>
      <c r="AW6" s="2808"/>
      <c r="AX6" s="2808"/>
      <c r="AY6" s="2862">
        <f>IF(AY3&gt;0,AY3,ROUND($A$3*AZ5/$B$3,2))</f>
        <v>0</v>
      </c>
      <c r="AZ6" s="2807" t="s">
        <v>124</v>
      </c>
      <c r="BA6" s="2807">
        <f>ROUND($AY$6*BA5/$AZ$5,2)</f>
        <v>0</v>
      </c>
      <c r="BB6" s="2807">
        <f>ROUND($AY$6*BB5/$AZ$5,2)</f>
        <v>0</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70">
        <f t="shared" si="5"/>
        <v>0</v>
      </c>
    </row>
    <row r="7" spans="1:72" s="2797" customFormat="1" ht="25.2">
      <c r="A7" s="2811" t="s">
        <v>544</v>
      </c>
      <c r="B7" s="2811" t="s">
        <v>545</v>
      </c>
      <c r="C7" s="2811" t="s">
        <v>518</v>
      </c>
      <c r="D7" s="2811" t="s">
        <v>546</v>
      </c>
      <c r="E7" s="2811" t="s">
        <v>543</v>
      </c>
      <c r="F7" s="2811" t="s">
        <v>547</v>
      </c>
      <c r="G7" s="2218" t="s">
        <v>548</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248"/>
      <c r="AU7" s="2812" t="s">
        <v>549</v>
      </c>
      <c r="AV7" s="2851" t="s">
        <v>544</v>
      </c>
      <c r="AW7" s="2238" t="s">
        <v>545</v>
      </c>
      <c r="AX7" s="2851" t="s">
        <v>518</v>
      </c>
      <c r="AY7" s="2123" t="s">
        <v>550</v>
      </c>
      <c r="AZ7" s="2843"/>
      <c r="BA7" s="2812"/>
      <c r="BB7" s="2812"/>
      <c r="BC7" s="2812"/>
      <c r="BD7" s="2812"/>
      <c r="BE7" s="2812"/>
      <c r="BF7" s="2812"/>
      <c r="BG7" s="2812"/>
      <c r="BH7" s="2812"/>
      <c r="BI7" s="2812"/>
      <c r="BJ7" s="2812"/>
      <c r="BK7" s="2812"/>
      <c r="BL7" s="2812"/>
      <c r="BM7" s="2812"/>
      <c r="BN7" s="2812"/>
      <c r="BO7" s="2812"/>
      <c r="BP7" s="2812"/>
      <c r="BQ7" s="2812"/>
      <c r="BR7" s="2812"/>
      <c r="BS7" s="2812"/>
      <c r="BT7" s="2871"/>
    </row>
    <row r="8" spans="1:72" s="2563" customFormat="1" ht="24">
      <c r="A8" s="2813"/>
      <c r="B8" s="2813"/>
      <c r="C8" s="2813"/>
      <c r="D8" s="2813"/>
      <c r="E8" s="2813"/>
      <c r="F8" s="2813"/>
      <c r="G8" s="2814" t="s">
        <v>551</v>
      </c>
      <c r="H8" s="2815" t="s">
        <v>552</v>
      </c>
      <c r="I8" s="2832"/>
      <c r="J8" s="1471"/>
      <c r="K8" s="1471"/>
      <c r="L8" s="1471"/>
      <c r="M8" s="1471"/>
      <c r="N8" s="1471"/>
      <c r="O8" s="1471"/>
      <c r="P8" s="1471"/>
      <c r="Q8" s="1471"/>
      <c r="R8" s="1471"/>
      <c r="S8" s="1471"/>
      <c r="T8" s="1471"/>
      <c r="U8" s="1471"/>
      <c r="V8" s="2839"/>
      <c r="W8" s="1471"/>
      <c r="X8" s="1471"/>
      <c r="Y8" s="1471"/>
      <c r="Z8" s="1471"/>
      <c r="AA8" s="2839"/>
      <c r="AB8" s="2841"/>
      <c r="AC8" s="2263" t="s">
        <v>553</v>
      </c>
      <c r="AD8" s="2842"/>
      <c r="AE8" s="2843"/>
      <c r="AF8" s="1471"/>
      <c r="AG8" s="1471"/>
      <c r="AH8" s="1471"/>
      <c r="AI8" s="1471"/>
      <c r="AJ8" s="1471"/>
      <c r="AK8" s="1471"/>
      <c r="AL8" s="1471"/>
      <c r="AM8" s="1471"/>
      <c r="AN8" s="1471"/>
      <c r="AO8" s="1471"/>
      <c r="AP8" s="1471"/>
      <c r="AQ8" s="1471"/>
      <c r="AR8" s="1471"/>
      <c r="AS8" s="1471"/>
      <c r="AT8" s="1848" t="s">
        <v>554</v>
      </c>
      <c r="AU8" s="2813"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3.2">
      <c r="A9" s="2813"/>
      <c r="B9" s="2813"/>
      <c r="C9" s="2813"/>
      <c r="D9" s="2813"/>
      <c r="E9" s="2813"/>
      <c r="F9" s="2813"/>
      <c r="G9" s="1848"/>
      <c r="H9" s="2816" t="s">
        <v>556</v>
      </c>
      <c r="I9" s="2833" t="s">
        <v>431</v>
      </c>
      <c r="J9" s="2263"/>
      <c r="K9" s="2833"/>
      <c r="L9" s="2263"/>
      <c r="M9" s="2833"/>
      <c r="N9" s="2263"/>
      <c r="O9" s="2833"/>
      <c r="P9" s="2263"/>
      <c r="Q9" s="2833"/>
      <c r="R9" s="2263"/>
      <c r="S9" s="2833"/>
      <c r="T9" s="2263"/>
      <c r="U9" s="2833"/>
      <c r="V9" s="2263"/>
      <c r="W9" s="2833"/>
      <c r="X9" s="2840"/>
      <c r="Y9" s="2833"/>
      <c r="Z9" s="2263"/>
      <c r="AA9" s="2833"/>
      <c r="AB9" s="2263"/>
      <c r="AC9" s="2814"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2"/>
      <c r="AT9" s="2813"/>
      <c r="AU9" s="2813" t="s">
        <v>559</v>
      </c>
      <c r="AV9" s="1848"/>
      <c r="AW9" s="2198"/>
      <c r="AX9" s="1848"/>
      <c r="AY9" s="2817"/>
      <c r="AZ9" s="2817" t="s">
        <v>551</v>
      </c>
      <c r="BA9" s="2863" t="s">
        <v>560</v>
      </c>
      <c r="BB9" s="2864"/>
      <c r="BC9" s="1905"/>
      <c r="BD9" s="1905"/>
      <c r="BE9" s="1905"/>
      <c r="BF9" s="1905"/>
      <c r="BG9" s="1905"/>
      <c r="BH9" s="1905"/>
      <c r="BI9" s="1905"/>
      <c r="BJ9" s="1905"/>
      <c r="BK9" s="2868"/>
      <c r="BL9" s="2005" t="s">
        <v>561</v>
      </c>
      <c r="BM9" s="1471"/>
      <c r="BN9" s="2832"/>
      <c r="BO9" s="1471"/>
      <c r="BP9" s="1471"/>
      <c r="BQ9" s="1471"/>
      <c r="BR9" s="1471"/>
      <c r="BS9" s="1471"/>
      <c r="BT9" s="1894"/>
    </row>
    <row r="10" spans="1:72" s="2563" customFormat="1" ht="13.2">
      <c r="A10" s="2813"/>
      <c r="B10" s="2813"/>
      <c r="C10" s="2813"/>
      <c r="D10" s="2813"/>
      <c r="E10" s="2813"/>
      <c r="F10" s="2813"/>
      <c r="G10" s="1848"/>
      <c r="H10" s="2817"/>
      <c r="I10" s="2833" t="s">
        <v>1923</v>
      </c>
      <c r="J10" s="2263"/>
      <c r="K10" s="2834"/>
      <c r="L10" s="2263"/>
      <c r="M10" s="2834"/>
      <c r="N10" s="2263"/>
      <c r="O10" s="2834"/>
      <c r="P10" s="2263"/>
      <c r="Q10" s="2834"/>
      <c r="R10" s="2263"/>
      <c r="S10" s="2834"/>
      <c r="T10" s="2263"/>
      <c r="U10" s="2834"/>
      <c r="V10" s="2263"/>
      <c r="W10" s="2834"/>
      <c r="X10" s="2263"/>
      <c r="Y10" s="2834"/>
      <c r="Z10" s="2263"/>
      <c r="AA10" s="2834"/>
      <c r="AB10" s="2263"/>
      <c r="AC10" s="1848"/>
      <c r="AD10" s="2005" t="s">
        <v>563</v>
      </c>
      <c r="AE10" s="2844"/>
      <c r="AF10" s="2005" t="s">
        <v>563</v>
      </c>
      <c r="AG10" s="2844"/>
      <c r="AH10" s="2005" t="s">
        <v>564</v>
      </c>
      <c r="AI10" s="2844"/>
      <c r="AJ10" s="2005" t="s">
        <v>564</v>
      </c>
      <c r="AK10" s="2844"/>
      <c r="AL10" s="2005" t="s">
        <v>565</v>
      </c>
      <c r="AM10" s="1860"/>
      <c r="AN10" s="2005" t="s">
        <v>565</v>
      </c>
      <c r="AO10" s="1860"/>
      <c r="AP10" s="2005" t="s">
        <v>566</v>
      </c>
      <c r="AQ10" s="1860"/>
      <c r="AR10" s="2005" t="s">
        <v>566</v>
      </c>
      <c r="AS10" s="1860"/>
      <c r="AT10" s="2813"/>
      <c r="AU10" s="2813"/>
      <c r="AV10" s="1848"/>
      <c r="AW10" s="2198"/>
      <c r="AX10" s="1848"/>
      <c r="AY10" s="2817"/>
      <c r="AZ10" s="2817"/>
      <c r="BA10" s="2818" t="s">
        <v>556</v>
      </c>
      <c r="BB10" s="2865"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2" t="str">
        <f>AR9</f>
        <v>地下</v>
      </c>
    </row>
    <row r="11" spans="1:72" s="2563" customFormat="1" ht="13.2">
      <c r="A11" s="2813"/>
      <c r="B11" s="2813"/>
      <c r="C11" s="2813"/>
      <c r="D11" s="2813"/>
      <c r="E11" s="2813"/>
      <c r="F11" s="2813"/>
      <c r="G11" s="1848"/>
      <c r="H11" s="2818"/>
      <c r="I11" s="2835"/>
      <c r="J11" s="2836"/>
      <c r="K11" s="2835"/>
      <c r="L11" s="2836"/>
      <c r="M11" s="2835"/>
      <c r="N11" s="2836"/>
      <c r="O11" s="2835"/>
      <c r="P11" s="2836"/>
      <c r="Q11" s="2835"/>
      <c r="R11" s="2836"/>
      <c r="S11" s="2835"/>
      <c r="T11" s="2836"/>
      <c r="U11" s="2835"/>
      <c r="V11" s="2836"/>
      <c r="W11" s="2835"/>
      <c r="X11" s="2836"/>
      <c r="Y11" s="2835"/>
      <c r="Z11" s="2836"/>
      <c r="AA11" s="2835"/>
      <c r="AB11" s="2836"/>
      <c r="AC11" s="1848"/>
      <c r="AD11" s="2229" t="s">
        <v>567</v>
      </c>
      <c r="AE11" s="1523"/>
      <c r="AF11" s="2229" t="s">
        <v>567</v>
      </c>
      <c r="AG11" s="1523"/>
      <c r="AH11" s="2229" t="s">
        <v>568</v>
      </c>
      <c r="AI11" s="2848"/>
      <c r="AJ11" s="2229" t="s">
        <v>568</v>
      </c>
      <c r="AK11" s="1523"/>
      <c r="AL11" s="1470"/>
      <c r="AM11" s="1523"/>
      <c r="AN11" s="1470"/>
      <c r="AO11" s="1523"/>
      <c r="AP11" s="1470"/>
      <c r="AQ11" s="1523"/>
      <c r="AR11" s="1470"/>
      <c r="AS11" s="1523"/>
      <c r="AT11" s="2198"/>
      <c r="AU11" s="2813"/>
      <c r="AV11" s="1848"/>
      <c r="AW11" s="2198"/>
      <c r="AX11" s="1848"/>
      <c r="AY11" s="2817"/>
      <c r="AZ11" s="2817"/>
      <c r="BA11" s="2817"/>
      <c r="BB11" s="2841" t="str">
        <f>I10</f>
        <v>商业</v>
      </c>
      <c r="BC11" s="2841">
        <f>K10</f>
        <v>0</v>
      </c>
      <c r="BD11" s="2841">
        <f>M10</f>
        <v>0</v>
      </c>
      <c r="BE11" s="2841">
        <f>O10</f>
        <v>0</v>
      </c>
      <c r="BF11" s="2841">
        <f>Q10</f>
        <v>0</v>
      </c>
      <c r="BG11" s="2841">
        <f>S10</f>
        <v>0</v>
      </c>
      <c r="BH11" s="2841">
        <f>U10</f>
        <v>0</v>
      </c>
      <c r="BI11" s="2841">
        <f>W10</f>
        <v>0</v>
      </c>
      <c r="BJ11" s="2841">
        <f>Y10</f>
        <v>0</v>
      </c>
      <c r="BK11" s="2841">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3" t="str">
        <f>AR10</f>
        <v>未注明</v>
      </c>
    </row>
    <row r="12" spans="1:72" s="2797" customFormat="1" ht="13.2">
      <c r="A12" s="2819"/>
      <c r="B12" s="2819"/>
      <c r="C12" s="2819"/>
      <c r="D12" s="2819"/>
      <c r="E12" s="2819"/>
      <c r="F12" s="2819"/>
      <c r="G12" s="560"/>
      <c r="H12" s="2820"/>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45"/>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19" t="s">
        <v>570</v>
      </c>
      <c r="AT12" s="2853"/>
      <c r="AU12" s="2819"/>
      <c r="AV12" s="2854"/>
      <c r="AW12" s="2238"/>
      <c r="AX12" s="2854"/>
      <c r="AY12" s="2866"/>
      <c r="AZ12" s="2817"/>
      <c r="BA12" s="2818"/>
      <c r="BB12" s="1469">
        <f>I11</f>
        <v>0</v>
      </c>
      <c r="BC12" s="2867">
        <f>K11</f>
        <v>0</v>
      </c>
      <c r="BD12" s="2867">
        <f>M11</f>
        <v>0</v>
      </c>
      <c r="BE12" s="2841">
        <f>O11</f>
        <v>0</v>
      </c>
      <c r="BF12" s="2841">
        <f>Q11</f>
        <v>0</v>
      </c>
      <c r="BG12" s="2841">
        <f>S11</f>
        <v>0</v>
      </c>
      <c r="BH12" s="2841">
        <f>U11</f>
        <v>0</v>
      </c>
      <c r="BI12" s="2841">
        <f>W11</f>
        <v>0</v>
      </c>
      <c r="BJ12" s="2841">
        <f>Y11</f>
        <v>0</v>
      </c>
      <c r="BK12" s="2841">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3">
        <f>AR11</f>
        <v>0</v>
      </c>
    </row>
    <row r="13" spans="1:72" s="2797" customFormat="1" ht="13.2">
      <c r="A13" s="2821"/>
      <c r="B13" s="2821"/>
      <c r="C13" s="2822">
        <v>110</v>
      </c>
      <c r="D13" s="2823" t="s">
        <v>477</v>
      </c>
      <c r="E13" s="2807">
        <f>IF($C$3="是",ROUND($A$3*G13/$B$3,2),ROUND($A$3*(G13-AT13)/$B$3,2))</f>
        <v>0</v>
      </c>
      <c r="F13" s="2824"/>
      <c r="G13" s="2825">
        <f>H13+AC13+AT13</f>
        <v>355.32</v>
      </c>
      <c r="H13" s="2810">
        <f>SUMIF(I$12:AB$12,"总值",I13:AB13)</f>
        <v>355.32</v>
      </c>
      <c r="I13" s="2837">
        <v>355.32</v>
      </c>
      <c r="J13" s="2837"/>
      <c r="K13" s="2837"/>
      <c r="L13" s="2837"/>
      <c r="M13" s="2837"/>
      <c r="N13" s="2837"/>
      <c r="O13" s="2837"/>
      <c r="P13" s="2837"/>
      <c r="Q13" s="2837"/>
      <c r="R13" s="2837"/>
      <c r="S13" s="2837"/>
      <c r="T13" s="2837"/>
      <c r="U13" s="2837"/>
      <c r="V13" s="2837"/>
      <c r="W13" s="2837"/>
      <c r="X13" s="2837"/>
      <c r="Y13" s="2837"/>
      <c r="Z13" s="2837"/>
      <c r="AA13" s="2837"/>
      <c r="AB13" s="2837"/>
      <c r="AC13" s="2807">
        <f>SUMIF(AD$12:AS$12,"总值",AD13:AS13)</f>
        <v>0</v>
      </c>
      <c r="AD13" s="2846"/>
      <c r="AE13" s="2846"/>
      <c r="AF13" s="2846"/>
      <c r="AG13" s="2846"/>
      <c r="AH13" s="2846"/>
      <c r="AI13" s="2846"/>
      <c r="AJ13" s="2846"/>
      <c r="AK13" s="2846"/>
      <c r="AL13" s="2846"/>
      <c r="AM13" s="2846"/>
      <c r="AN13" s="2846"/>
      <c r="AO13" s="2846"/>
      <c r="AP13" s="2846"/>
      <c r="AQ13" s="2846"/>
      <c r="AR13" s="2846"/>
      <c r="AS13" s="2846"/>
      <c r="AT13" s="2824"/>
      <c r="AU13" s="2855"/>
      <c r="AV13" s="1472">
        <f t="shared" ref="AV13:AX17" si="6">A13</f>
        <v>0</v>
      </c>
      <c r="AW13" s="1472">
        <f t="shared" si="6"/>
        <v>0</v>
      </c>
      <c r="AX13" s="1472">
        <f t="shared" si="6"/>
        <v>110</v>
      </c>
      <c r="AY13" s="2248">
        <f>ROUND($AY$6*AZ13/$AZ$5,2)</f>
        <v>0</v>
      </c>
      <c r="AZ13" s="2807">
        <f>BA13+BL13</f>
        <v>355.32</v>
      </c>
      <c r="BA13" s="2807">
        <f>SUM(BB13:BK13)</f>
        <v>355.32</v>
      </c>
      <c r="BB13" s="2807">
        <f>IF($D13="是",I13-J13,0)</f>
        <v>355.32</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70">
        <f>IF($D13="是",AR13-AS13,0)</f>
        <v>0</v>
      </c>
    </row>
    <row r="14" spans="1:72" s="2797" customFormat="1" ht="13.2">
      <c r="A14" s="2821"/>
      <c r="B14" s="2821"/>
      <c r="C14" s="2822">
        <v>111</v>
      </c>
      <c r="D14" s="2823" t="s">
        <v>477</v>
      </c>
      <c r="E14" s="2807">
        <f>IF($C$3="是",ROUND($A$3*G14/$B$3,2),ROUND($A$3*(G14-AT14)/$B$3,2))</f>
        <v>0</v>
      </c>
      <c r="F14" s="2824"/>
      <c r="G14" s="2825">
        <f>H14+AC14+AT14</f>
        <v>374.94</v>
      </c>
      <c r="H14" s="2810">
        <f>SUMIF(I$12:AB$12,"总值",I14:AB14)</f>
        <v>374.94</v>
      </c>
      <c r="I14" s="2837">
        <v>374.94</v>
      </c>
      <c r="J14" s="2837"/>
      <c r="K14" s="2837"/>
      <c r="L14" s="2837"/>
      <c r="M14" s="2837"/>
      <c r="N14" s="2837"/>
      <c r="O14" s="2837"/>
      <c r="P14" s="2837"/>
      <c r="Q14" s="2837"/>
      <c r="R14" s="2837"/>
      <c r="S14" s="2837"/>
      <c r="T14" s="2837"/>
      <c r="U14" s="2837"/>
      <c r="V14" s="2837"/>
      <c r="W14" s="2837"/>
      <c r="X14" s="2837"/>
      <c r="Y14" s="2837"/>
      <c r="Z14" s="2837"/>
      <c r="AA14" s="2837"/>
      <c r="AB14" s="2837"/>
      <c r="AC14" s="2807">
        <f>SUMIF(AD$12:AS$12,"总值",AD14:AS14)</f>
        <v>0</v>
      </c>
      <c r="AD14" s="2846"/>
      <c r="AE14" s="2846"/>
      <c r="AF14" s="2846"/>
      <c r="AG14" s="2846"/>
      <c r="AH14" s="2846"/>
      <c r="AI14" s="2846"/>
      <c r="AJ14" s="2846"/>
      <c r="AK14" s="2846"/>
      <c r="AL14" s="2846"/>
      <c r="AM14" s="2846"/>
      <c r="AN14" s="2846"/>
      <c r="AO14" s="2846"/>
      <c r="AP14" s="2846"/>
      <c r="AQ14" s="2846"/>
      <c r="AR14" s="2846"/>
      <c r="AS14" s="2846"/>
      <c r="AT14" s="2824"/>
      <c r="AU14" s="2855"/>
      <c r="AV14" s="1472">
        <f t="shared" si="6"/>
        <v>0</v>
      </c>
      <c r="AW14" s="1472">
        <f t="shared" si="6"/>
        <v>0</v>
      </c>
      <c r="AX14" s="1472">
        <f t="shared" si="6"/>
        <v>111</v>
      </c>
      <c r="AY14" s="2248">
        <f>ROUND($AY$6*AZ14/$AZ$5,2)</f>
        <v>0</v>
      </c>
      <c r="AZ14" s="2807">
        <f>BA14+BL14</f>
        <v>374.94</v>
      </c>
      <c r="BA14" s="2807">
        <f>SUM(BB14:BK14)</f>
        <v>374.94</v>
      </c>
      <c r="BB14" s="2807">
        <f>IF($D14="是",I14-J14,0)</f>
        <v>374.94</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70">
        <f>IF($D14="是",AR14-AS14,0)</f>
        <v>0</v>
      </c>
    </row>
    <row r="15" spans="1:72" s="2797" customFormat="1" ht="13.2">
      <c r="A15" s="2821"/>
      <c r="B15" s="2821"/>
      <c r="C15" s="2822">
        <v>112</v>
      </c>
      <c r="D15" s="2823" t="s">
        <v>477</v>
      </c>
      <c r="E15" s="2807">
        <f>IF($C$3="是",ROUND($A$3*G15/$B$3,2),ROUND($A$3*(G15-AT15)/$B$3,2))</f>
        <v>0</v>
      </c>
      <c r="F15" s="2824"/>
      <c r="G15" s="2825">
        <f>H15+AC15+AT15</f>
        <v>155.37</v>
      </c>
      <c r="H15" s="2810">
        <f>SUMIF(I$12:AB$12,"总值",I15:AB15)</f>
        <v>155.37</v>
      </c>
      <c r="I15" s="2837">
        <v>155.37</v>
      </c>
      <c r="J15" s="2837"/>
      <c r="K15" s="2837"/>
      <c r="L15" s="2837"/>
      <c r="M15" s="2837"/>
      <c r="N15" s="2837"/>
      <c r="O15" s="2837"/>
      <c r="P15" s="2837"/>
      <c r="Q15" s="2837"/>
      <c r="R15" s="2837"/>
      <c r="S15" s="2837"/>
      <c r="T15" s="2837"/>
      <c r="U15" s="2837"/>
      <c r="V15" s="2837"/>
      <c r="W15" s="2837"/>
      <c r="X15" s="2837"/>
      <c r="Y15" s="2837"/>
      <c r="Z15" s="2837"/>
      <c r="AA15" s="2837"/>
      <c r="AB15" s="2837"/>
      <c r="AC15" s="2807">
        <f>SUMIF(AD$12:AS$12,"总值",AD15:AS15)</f>
        <v>0</v>
      </c>
      <c r="AD15" s="2846"/>
      <c r="AE15" s="2846"/>
      <c r="AF15" s="2846"/>
      <c r="AG15" s="2846"/>
      <c r="AH15" s="2846"/>
      <c r="AI15" s="2846"/>
      <c r="AJ15" s="2846"/>
      <c r="AK15" s="2846"/>
      <c r="AL15" s="2846"/>
      <c r="AM15" s="2846"/>
      <c r="AN15" s="2846"/>
      <c r="AO15" s="2846"/>
      <c r="AP15" s="2846"/>
      <c r="AQ15" s="2846"/>
      <c r="AR15" s="2846"/>
      <c r="AS15" s="2846"/>
      <c r="AT15" s="2824"/>
      <c r="AU15" s="2855"/>
      <c r="AV15" s="1472">
        <f t="shared" si="6"/>
        <v>0</v>
      </c>
      <c r="AW15" s="1472">
        <f t="shared" si="6"/>
        <v>0</v>
      </c>
      <c r="AX15" s="1472">
        <f t="shared" si="6"/>
        <v>112</v>
      </c>
      <c r="AY15" s="2248">
        <f>ROUND($AY$6*AZ15/$AZ$5,2)</f>
        <v>0</v>
      </c>
      <c r="AZ15" s="2807">
        <f>BA15+BL15</f>
        <v>155.37</v>
      </c>
      <c r="BA15" s="2807">
        <f>SUM(BB15:BK15)</f>
        <v>155.37</v>
      </c>
      <c r="BB15" s="2807">
        <f>IF($D15="是",I15-J15,0)</f>
        <v>155.37</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70">
        <f>IF($D15="是",AR15-AS15,0)</f>
        <v>0</v>
      </c>
    </row>
    <row r="16" spans="1:72" s="2797" customFormat="1" ht="13.2">
      <c r="A16" s="2821"/>
      <c r="B16" s="2821"/>
      <c r="C16" s="2822"/>
      <c r="D16" s="2823"/>
      <c r="E16" s="2807">
        <f>IF($C$3="是",ROUND($A$3*G16/$B$3,2),ROUND($A$3*(G16-AT16)/$B$3,2))</f>
        <v>0</v>
      </c>
      <c r="F16" s="2824"/>
      <c r="G16" s="2825">
        <f>H16+AC16+AT16</f>
        <v>0</v>
      </c>
      <c r="H16" s="2810">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7">
        <f>SUMIF(AD$12:AS$12,"总值",AD16:AS16)</f>
        <v>0</v>
      </c>
      <c r="AD16" s="2846"/>
      <c r="AE16" s="2846"/>
      <c r="AF16" s="2846"/>
      <c r="AG16" s="2846"/>
      <c r="AH16" s="2846"/>
      <c r="AI16" s="2846"/>
      <c r="AJ16" s="2846"/>
      <c r="AK16" s="2846"/>
      <c r="AL16" s="2846"/>
      <c r="AM16" s="2846"/>
      <c r="AN16" s="2846"/>
      <c r="AO16" s="2846"/>
      <c r="AP16" s="2846"/>
      <c r="AQ16" s="2846"/>
      <c r="AR16" s="2846"/>
      <c r="AS16" s="2846"/>
      <c r="AT16" s="2824"/>
      <c r="AU16" s="2855"/>
      <c r="AV16" s="1472">
        <f t="shared" si="6"/>
        <v>0</v>
      </c>
      <c r="AW16" s="1472">
        <f t="shared" si="6"/>
        <v>0</v>
      </c>
      <c r="AX16" s="1472">
        <f t="shared" si="6"/>
        <v>0</v>
      </c>
      <c r="AY16" s="2248">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70">
        <f>IF($D16="是",AR16-AS16,0)</f>
        <v>0</v>
      </c>
    </row>
    <row r="17" spans="1:72" s="2797" customFormat="1" ht="13.2">
      <c r="A17" s="2821"/>
      <c r="B17" s="2821"/>
      <c r="C17" s="2822"/>
      <c r="D17" s="2823"/>
      <c r="E17" s="2807">
        <f>IF($C$3="是",ROUND($A$3*G17/$B$3,2),ROUND($A$3*(G17-AT17)/$B$3,2))</f>
        <v>0</v>
      </c>
      <c r="F17" s="2824"/>
      <c r="G17" s="2825">
        <f>H17+AC17+AT17</f>
        <v>0</v>
      </c>
      <c r="H17" s="2810">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7">
        <f>SUMIF(AD$12:AS$12,"总值",AD17:AS17)</f>
        <v>0</v>
      </c>
      <c r="AD17" s="2846"/>
      <c r="AE17" s="2846"/>
      <c r="AF17" s="2846"/>
      <c r="AG17" s="2846"/>
      <c r="AH17" s="2846"/>
      <c r="AI17" s="2846"/>
      <c r="AJ17" s="2846"/>
      <c r="AK17" s="2846"/>
      <c r="AL17" s="2846"/>
      <c r="AM17" s="2846"/>
      <c r="AN17" s="2846"/>
      <c r="AO17" s="2846"/>
      <c r="AP17" s="2846"/>
      <c r="AQ17" s="2846"/>
      <c r="AR17" s="2846"/>
      <c r="AS17" s="2846"/>
      <c r="AT17" s="2824"/>
      <c r="AU17" s="2855"/>
      <c r="AV17" s="1472">
        <f t="shared" si="6"/>
        <v>0</v>
      </c>
      <c r="AW17" s="1472">
        <f t="shared" si="6"/>
        <v>0</v>
      </c>
      <c r="AX17" s="1472">
        <f t="shared" si="6"/>
        <v>0</v>
      </c>
      <c r="AY17" s="2248">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70">
        <f>IF($D17="是",AR17-AS17,0)</f>
        <v>0</v>
      </c>
    </row>
    <row r="18" spans="1:72">
      <c r="A18" s="1134"/>
      <c r="B18" s="1142"/>
      <c r="C18" s="2826"/>
      <c r="D18" s="2827"/>
      <c r="E18" s="2828">
        <f t="shared" ref="E18:E112" si="7">IF($C$3="是",ROUND($A$3*G18/$B$3,2),ROUND($A$3*(G18-AT18)/$B$3,2))</f>
        <v>0</v>
      </c>
      <c r="F18" s="2829"/>
      <c r="G18" s="2830">
        <f t="shared" ref="G18:G109" si="8">H18+AC18+AT18</f>
        <v>0</v>
      </c>
      <c r="H18" s="2831">
        <f t="shared" ref="H18:H109" si="9">SUMIF(I$12:AB$12,"总值",I18:AB18)</f>
        <v>0</v>
      </c>
      <c r="I18" s="2837"/>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7"/>
      <c r="AE18" s="2847"/>
      <c r="AF18" s="2847"/>
      <c r="AG18" s="2847"/>
      <c r="AH18" s="2847"/>
      <c r="AI18" s="2847"/>
      <c r="AJ18" s="2847"/>
      <c r="AK18" s="2847"/>
      <c r="AL18" s="2847"/>
      <c r="AM18" s="2847"/>
      <c r="AN18" s="2847"/>
      <c r="AO18" s="2847"/>
      <c r="AP18" s="2847"/>
      <c r="AQ18" s="2847"/>
      <c r="AR18" s="2847"/>
      <c r="AS18" s="2847"/>
      <c r="AT18" s="2829"/>
      <c r="AU18" s="2856"/>
      <c r="AV18" s="790">
        <f t="shared" ref="AV18:AV112" si="11">A18</f>
        <v>0</v>
      </c>
      <c r="AW18" s="790">
        <f t="shared" ref="AW18:AW112" si="12">B18</f>
        <v>0</v>
      </c>
      <c r="AX18" s="790">
        <f t="shared" ref="AX18:AX112" si="13">C18</f>
        <v>0</v>
      </c>
      <c r="AY18" s="1069">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4">
        <f t="shared" ref="BT18:BT109" si="35">IF($D18="是",AR18-AS18,0)</f>
        <v>0</v>
      </c>
    </row>
    <row r="19" spans="1:72">
      <c r="A19" s="1134"/>
      <c r="B19" s="1142"/>
      <c r="C19" s="2826"/>
      <c r="D19" s="2827"/>
      <c r="E19" s="2828">
        <f t="shared" si="7"/>
        <v>0</v>
      </c>
      <c r="F19" s="2829"/>
      <c r="G19" s="2830">
        <f t="shared" si="8"/>
        <v>0</v>
      </c>
      <c r="H19" s="2831">
        <f t="shared" si="9"/>
        <v>0</v>
      </c>
      <c r="I19" s="2837"/>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7"/>
      <c r="AE19" s="2847"/>
      <c r="AF19" s="2847"/>
      <c r="AG19" s="2847"/>
      <c r="AH19" s="2847"/>
      <c r="AI19" s="2847"/>
      <c r="AJ19" s="2847"/>
      <c r="AK19" s="2847"/>
      <c r="AL19" s="2847"/>
      <c r="AM19" s="2847"/>
      <c r="AN19" s="2847"/>
      <c r="AO19" s="2847"/>
      <c r="AP19" s="2847"/>
      <c r="AQ19" s="2847"/>
      <c r="AR19" s="2847"/>
      <c r="AS19" s="2847"/>
      <c r="AT19" s="2829"/>
      <c r="AU19" s="2856"/>
      <c r="AV19" s="790">
        <f t="shared" si="11"/>
        <v>0</v>
      </c>
      <c r="AW19" s="790">
        <f t="shared" si="12"/>
        <v>0</v>
      </c>
      <c r="AX19" s="790">
        <f t="shared" si="13"/>
        <v>0</v>
      </c>
      <c r="AY19" s="1069">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4">
        <f t="shared" si="35"/>
        <v>0</v>
      </c>
    </row>
    <row r="20" spans="1:72">
      <c r="A20" s="1134"/>
      <c r="B20" s="1142"/>
      <c r="C20" s="2826"/>
      <c r="D20" s="2827"/>
      <c r="E20" s="2828">
        <f t="shared" si="7"/>
        <v>0</v>
      </c>
      <c r="F20" s="2829"/>
      <c r="G20" s="2830">
        <f t="shared" si="8"/>
        <v>0</v>
      </c>
      <c r="H20" s="2831">
        <f t="shared" si="9"/>
        <v>0</v>
      </c>
      <c r="I20" s="2837"/>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7"/>
      <c r="AE20" s="2847"/>
      <c r="AF20" s="2847"/>
      <c r="AG20" s="2847"/>
      <c r="AH20" s="2847"/>
      <c r="AI20" s="2847"/>
      <c r="AJ20" s="2847"/>
      <c r="AK20" s="2847"/>
      <c r="AL20" s="2847"/>
      <c r="AM20" s="2847"/>
      <c r="AN20" s="2847"/>
      <c r="AO20" s="2847"/>
      <c r="AP20" s="2847"/>
      <c r="AQ20" s="2847"/>
      <c r="AR20" s="2847"/>
      <c r="AS20" s="2847"/>
      <c r="AT20" s="2829"/>
      <c r="AU20" s="2856"/>
      <c r="AV20" s="790">
        <f t="shared" si="11"/>
        <v>0</v>
      </c>
      <c r="AW20" s="790">
        <f t="shared" si="12"/>
        <v>0</v>
      </c>
      <c r="AX20" s="790">
        <f t="shared" si="13"/>
        <v>0</v>
      </c>
      <c r="AY20" s="1069">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4">
        <f t="shared" si="35"/>
        <v>0</v>
      </c>
    </row>
    <row r="21" spans="1:72">
      <c r="A21" s="1134"/>
      <c r="B21" s="1142"/>
      <c r="C21" s="2826"/>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7"/>
      <c r="AE21" s="2847"/>
      <c r="AF21" s="2847"/>
      <c r="AG21" s="2847"/>
      <c r="AH21" s="2847"/>
      <c r="AI21" s="2847"/>
      <c r="AJ21" s="2847"/>
      <c r="AK21" s="2847"/>
      <c r="AL21" s="2847"/>
      <c r="AM21" s="2847"/>
      <c r="AN21" s="2847"/>
      <c r="AO21" s="2847"/>
      <c r="AP21" s="2847"/>
      <c r="AQ21" s="2847"/>
      <c r="AR21" s="2847"/>
      <c r="AS21" s="2847"/>
      <c r="AT21" s="2829"/>
      <c r="AU21" s="2856"/>
      <c r="AV21" s="790">
        <f t="shared" si="11"/>
        <v>0</v>
      </c>
      <c r="AW21" s="790">
        <f t="shared" si="12"/>
        <v>0</v>
      </c>
      <c r="AX21" s="790">
        <f t="shared" si="13"/>
        <v>0</v>
      </c>
      <c r="AY21" s="1069">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4">
        <f t="shared" si="35"/>
        <v>0</v>
      </c>
    </row>
    <row r="22" spans="1:72">
      <c r="A22" s="1134"/>
      <c r="B22" s="1142"/>
      <c r="C22" s="1142"/>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7"/>
      <c r="AE22" s="2847"/>
      <c r="AF22" s="2847"/>
      <c r="AG22" s="2847"/>
      <c r="AH22" s="2847"/>
      <c r="AI22" s="2847"/>
      <c r="AJ22" s="2847"/>
      <c r="AK22" s="2847"/>
      <c r="AL22" s="2847"/>
      <c r="AM22" s="2847"/>
      <c r="AN22" s="2847"/>
      <c r="AO22" s="2847"/>
      <c r="AP22" s="2847"/>
      <c r="AQ22" s="2847"/>
      <c r="AR22" s="2847"/>
      <c r="AS22" s="2847"/>
      <c r="AT22" s="2829"/>
      <c r="AU22" s="2856"/>
      <c r="AV22" s="790">
        <f t="shared" si="11"/>
        <v>0</v>
      </c>
      <c r="AW22" s="790">
        <f t="shared" si="12"/>
        <v>0</v>
      </c>
      <c r="AX22" s="790">
        <f t="shared" si="13"/>
        <v>0</v>
      </c>
      <c r="AY22" s="1069">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4">
        <f t="shared" si="35"/>
        <v>0</v>
      </c>
    </row>
    <row r="23" spans="1:72">
      <c r="A23" s="1134"/>
      <c r="B23" s="1142"/>
      <c r="C23" s="1142"/>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7"/>
      <c r="AE23" s="2847"/>
      <c r="AF23" s="2847"/>
      <c r="AG23" s="2847"/>
      <c r="AH23" s="2847"/>
      <c r="AI23" s="2847"/>
      <c r="AJ23" s="2847"/>
      <c r="AK23" s="2847"/>
      <c r="AL23" s="2847"/>
      <c r="AM23" s="2847"/>
      <c r="AN23" s="2847"/>
      <c r="AO23" s="2847"/>
      <c r="AP23" s="2847"/>
      <c r="AQ23" s="2847"/>
      <c r="AR23" s="2847"/>
      <c r="AS23" s="2847"/>
      <c r="AT23" s="2829"/>
      <c r="AU23" s="2856"/>
      <c r="AV23" s="790">
        <f t="shared" si="11"/>
        <v>0</v>
      </c>
      <c r="AW23" s="790">
        <f t="shared" si="12"/>
        <v>0</v>
      </c>
      <c r="AX23" s="790">
        <f t="shared" si="13"/>
        <v>0</v>
      </c>
      <c r="AY23" s="1069">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4">
        <f t="shared" si="35"/>
        <v>0</v>
      </c>
    </row>
    <row r="24" spans="1:72">
      <c r="A24" s="1134"/>
      <c r="B24" s="1142"/>
      <c r="C24" s="1142"/>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7"/>
      <c r="AE24" s="2847"/>
      <c r="AF24" s="2847"/>
      <c r="AG24" s="2847"/>
      <c r="AH24" s="2847"/>
      <c r="AI24" s="2847"/>
      <c r="AJ24" s="2847"/>
      <c r="AK24" s="2847"/>
      <c r="AL24" s="2847"/>
      <c r="AM24" s="2847"/>
      <c r="AN24" s="2847"/>
      <c r="AO24" s="2847"/>
      <c r="AP24" s="2847"/>
      <c r="AQ24" s="2847"/>
      <c r="AR24" s="2847"/>
      <c r="AS24" s="2847"/>
      <c r="AT24" s="2829"/>
      <c r="AU24" s="2856"/>
      <c r="AV24" s="790">
        <f t="shared" si="11"/>
        <v>0</v>
      </c>
      <c r="AW24" s="790">
        <f t="shared" si="12"/>
        <v>0</v>
      </c>
      <c r="AX24" s="790">
        <f t="shared" si="13"/>
        <v>0</v>
      </c>
      <c r="AY24" s="1069">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4">
        <f t="shared" si="35"/>
        <v>0</v>
      </c>
    </row>
    <row r="25" spans="1:72">
      <c r="A25" s="1134"/>
      <c r="B25" s="1142"/>
      <c r="C25" s="1142"/>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7"/>
      <c r="AE25" s="2847"/>
      <c r="AF25" s="2847"/>
      <c r="AG25" s="2847"/>
      <c r="AH25" s="2847"/>
      <c r="AI25" s="2847"/>
      <c r="AJ25" s="2847"/>
      <c r="AK25" s="2847"/>
      <c r="AL25" s="2847"/>
      <c r="AM25" s="2847"/>
      <c r="AN25" s="2847"/>
      <c r="AO25" s="2847"/>
      <c r="AP25" s="2847"/>
      <c r="AQ25" s="2847"/>
      <c r="AR25" s="2847"/>
      <c r="AS25" s="2847"/>
      <c r="AT25" s="2829"/>
      <c r="AU25" s="2856"/>
      <c r="AV25" s="790">
        <f t="shared" si="11"/>
        <v>0</v>
      </c>
      <c r="AW25" s="790">
        <f t="shared" si="12"/>
        <v>0</v>
      </c>
      <c r="AX25" s="790">
        <f t="shared" si="13"/>
        <v>0</v>
      </c>
      <c r="AY25" s="1069">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4">
        <f t="shared" si="35"/>
        <v>0</v>
      </c>
    </row>
    <row r="26" spans="1:72">
      <c r="A26" s="1134"/>
      <c r="B26" s="1142"/>
      <c r="C26" s="1142"/>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7"/>
      <c r="AE26" s="2847"/>
      <c r="AF26" s="2847"/>
      <c r="AG26" s="2847"/>
      <c r="AH26" s="2847"/>
      <c r="AI26" s="2847"/>
      <c r="AJ26" s="2847"/>
      <c r="AK26" s="2847"/>
      <c r="AL26" s="2847"/>
      <c r="AM26" s="2847"/>
      <c r="AN26" s="2847"/>
      <c r="AO26" s="2847"/>
      <c r="AP26" s="2847"/>
      <c r="AQ26" s="2847"/>
      <c r="AR26" s="2847"/>
      <c r="AS26" s="2847"/>
      <c r="AT26" s="2829"/>
      <c r="AU26" s="2856"/>
      <c r="AV26" s="790">
        <f t="shared" si="11"/>
        <v>0</v>
      </c>
      <c r="AW26" s="790">
        <f t="shared" si="12"/>
        <v>0</v>
      </c>
      <c r="AX26" s="790">
        <f t="shared" si="13"/>
        <v>0</v>
      </c>
      <c r="AY26" s="1069">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4">
        <f t="shared" si="35"/>
        <v>0</v>
      </c>
    </row>
    <row r="27" spans="1:72">
      <c r="A27" s="1134"/>
      <c r="B27" s="1142"/>
      <c r="C27" s="1142"/>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7"/>
      <c r="AE27" s="2847"/>
      <c r="AF27" s="2847"/>
      <c r="AG27" s="2847"/>
      <c r="AH27" s="2847"/>
      <c r="AI27" s="2847"/>
      <c r="AJ27" s="2847"/>
      <c r="AK27" s="2847"/>
      <c r="AL27" s="2847"/>
      <c r="AM27" s="2847"/>
      <c r="AN27" s="2847"/>
      <c r="AO27" s="2847"/>
      <c r="AP27" s="2847"/>
      <c r="AQ27" s="2847"/>
      <c r="AR27" s="2847"/>
      <c r="AS27" s="2847"/>
      <c r="AT27" s="2829"/>
      <c r="AU27" s="2856"/>
      <c r="AV27" s="790">
        <f t="shared" si="11"/>
        <v>0</v>
      </c>
      <c r="AW27" s="790">
        <f t="shared" si="12"/>
        <v>0</v>
      </c>
      <c r="AX27" s="790">
        <f t="shared" si="13"/>
        <v>0</v>
      </c>
      <c r="AY27" s="1069">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4">
        <f t="shared" si="35"/>
        <v>0</v>
      </c>
    </row>
    <row r="28" spans="1:72">
      <c r="A28" s="1134"/>
      <c r="B28" s="1142"/>
      <c r="C28" s="1142"/>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7"/>
      <c r="AE28" s="2847"/>
      <c r="AF28" s="2847"/>
      <c r="AG28" s="2847"/>
      <c r="AH28" s="2847"/>
      <c r="AI28" s="2847"/>
      <c r="AJ28" s="2847"/>
      <c r="AK28" s="2847"/>
      <c r="AL28" s="2847"/>
      <c r="AM28" s="2847"/>
      <c r="AN28" s="2847"/>
      <c r="AO28" s="2847"/>
      <c r="AP28" s="2847"/>
      <c r="AQ28" s="2847"/>
      <c r="AR28" s="2847"/>
      <c r="AS28" s="2847"/>
      <c r="AT28" s="2829"/>
      <c r="AU28" s="2856"/>
      <c r="AV28" s="790">
        <f t="shared" si="11"/>
        <v>0</v>
      </c>
      <c r="AW28" s="790">
        <f t="shared" si="12"/>
        <v>0</v>
      </c>
      <c r="AX28" s="790">
        <f t="shared" si="13"/>
        <v>0</v>
      </c>
      <c r="AY28" s="1069">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4">
        <f t="shared" si="35"/>
        <v>0</v>
      </c>
    </row>
    <row r="29" spans="1:72">
      <c r="A29" s="1134"/>
      <c r="B29" s="1142"/>
      <c r="C29" s="1142"/>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7"/>
      <c r="AE29" s="2847"/>
      <c r="AF29" s="2847"/>
      <c r="AG29" s="2847"/>
      <c r="AH29" s="2847"/>
      <c r="AI29" s="2847"/>
      <c r="AJ29" s="2847"/>
      <c r="AK29" s="2847"/>
      <c r="AL29" s="2847"/>
      <c r="AM29" s="2847"/>
      <c r="AN29" s="2847"/>
      <c r="AO29" s="2847"/>
      <c r="AP29" s="2847"/>
      <c r="AQ29" s="2847"/>
      <c r="AR29" s="2847"/>
      <c r="AS29" s="2847"/>
      <c r="AT29" s="2829"/>
      <c r="AU29" s="2856"/>
      <c r="AV29" s="790">
        <f t="shared" si="11"/>
        <v>0</v>
      </c>
      <c r="AW29" s="790">
        <f t="shared" si="12"/>
        <v>0</v>
      </c>
      <c r="AX29" s="790">
        <f t="shared" si="13"/>
        <v>0</v>
      </c>
      <c r="AY29" s="1069">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4">
        <f t="shared" si="35"/>
        <v>0</v>
      </c>
    </row>
    <row r="30" spans="1:72">
      <c r="A30" s="1134"/>
      <c r="B30" s="1142"/>
      <c r="C30" s="1142"/>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7"/>
      <c r="AE30" s="2847"/>
      <c r="AF30" s="2847"/>
      <c r="AG30" s="2847"/>
      <c r="AH30" s="2847"/>
      <c r="AI30" s="2847"/>
      <c r="AJ30" s="2847"/>
      <c r="AK30" s="2847"/>
      <c r="AL30" s="2847"/>
      <c r="AM30" s="2847"/>
      <c r="AN30" s="2847"/>
      <c r="AO30" s="2847"/>
      <c r="AP30" s="2847"/>
      <c r="AQ30" s="2847"/>
      <c r="AR30" s="2847"/>
      <c r="AS30" s="2847"/>
      <c r="AT30" s="2829"/>
      <c r="AU30" s="2856"/>
      <c r="AV30" s="790">
        <f t="shared" si="11"/>
        <v>0</v>
      </c>
      <c r="AW30" s="790">
        <f t="shared" si="12"/>
        <v>0</v>
      </c>
      <c r="AX30" s="790">
        <f t="shared" si="13"/>
        <v>0</v>
      </c>
      <c r="AY30" s="1069">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4">
        <f t="shared" si="35"/>
        <v>0</v>
      </c>
    </row>
    <row r="31" spans="1:72">
      <c r="A31" s="1134"/>
      <c r="B31" s="1142"/>
      <c r="C31" s="1142"/>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7"/>
      <c r="AE31" s="2847"/>
      <c r="AF31" s="2847"/>
      <c r="AG31" s="2847"/>
      <c r="AH31" s="2847"/>
      <c r="AI31" s="2847"/>
      <c r="AJ31" s="2847"/>
      <c r="AK31" s="2847"/>
      <c r="AL31" s="2847"/>
      <c r="AM31" s="2847"/>
      <c r="AN31" s="2847"/>
      <c r="AO31" s="2847"/>
      <c r="AP31" s="2847"/>
      <c r="AQ31" s="2847"/>
      <c r="AR31" s="2847"/>
      <c r="AS31" s="2847"/>
      <c r="AT31" s="2829"/>
      <c r="AU31" s="2856"/>
      <c r="AV31" s="790">
        <f t="shared" si="11"/>
        <v>0</v>
      </c>
      <c r="AW31" s="790">
        <f t="shared" si="12"/>
        <v>0</v>
      </c>
      <c r="AX31" s="790">
        <f t="shared" si="13"/>
        <v>0</v>
      </c>
      <c r="AY31" s="1069">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4">
        <f t="shared" si="35"/>
        <v>0</v>
      </c>
    </row>
    <row r="32" spans="1:72">
      <c r="A32" s="1134"/>
      <c r="B32" s="1142"/>
      <c r="C32" s="1142"/>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7"/>
      <c r="AE32" s="2847"/>
      <c r="AF32" s="2847"/>
      <c r="AG32" s="2847"/>
      <c r="AH32" s="2847"/>
      <c r="AI32" s="2847"/>
      <c r="AJ32" s="2847"/>
      <c r="AK32" s="2847"/>
      <c r="AL32" s="2847"/>
      <c r="AM32" s="2847"/>
      <c r="AN32" s="2847"/>
      <c r="AO32" s="2847"/>
      <c r="AP32" s="2847"/>
      <c r="AQ32" s="2847"/>
      <c r="AR32" s="2847"/>
      <c r="AS32" s="2847"/>
      <c r="AT32" s="2829"/>
      <c r="AU32" s="2856"/>
      <c r="AV32" s="790">
        <f t="shared" si="11"/>
        <v>0</v>
      </c>
      <c r="AW32" s="790">
        <f t="shared" si="12"/>
        <v>0</v>
      </c>
      <c r="AX32" s="790">
        <f t="shared" si="13"/>
        <v>0</v>
      </c>
      <c r="AY32" s="1069">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4">
        <f t="shared" si="35"/>
        <v>0</v>
      </c>
    </row>
    <row r="33" spans="1:72">
      <c r="A33" s="1134"/>
      <c r="B33" s="1142"/>
      <c r="C33" s="1142"/>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7"/>
      <c r="AE33" s="2847"/>
      <c r="AF33" s="2847"/>
      <c r="AG33" s="2847"/>
      <c r="AH33" s="2847"/>
      <c r="AI33" s="2847"/>
      <c r="AJ33" s="2847"/>
      <c r="AK33" s="2847"/>
      <c r="AL33" s="2847"/>
      <c r="AM33" s="2847"/>
      <c r="AN33" s="2847"/>
      <c r="AO33" s="2847"/>
      <c r="AP33" s="2847"/>
      <c r="AQ33" s="2847"/>
      <c r="AR33" s="2847"/>
      <c r="AS33" s="2847"/>
      <c r="AT33" s="2829"/>
      <c r="AU33" s="2856"/>
      <c r="AV33" s="790">
        <f t="shared" si="11"/>
        <v>0</v>
      </c>
      <c r="AW33" s="790">
        <f t="shared" si="12"/>
        <v>0</v>
      </c>
      <c r="AX33" s="790">
        <f t="shared" si="13"/>
        <v>0</v>
      </c>
      <c r="AY33" s="1069">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4">
        <f t="shared" si="35"/>
        <v>0</v>
      </c>
    </row>
    <row r="34" spans="1:72">
      <c r="A34" s="1134"/>
      <c r="B34" s="1142"/>
      <c r="C34" s="1142"/>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7"/>
      <c r="AE34" s="2847"/>
      <c r="AF34" s="2847"/>
      <c r="AG34" s="2847"/>
      <c r="AH34" s="2847"/>
      <c r="AI34" s="2847"/>
      <c r="AJ34" s="2847"/>
      <c r="AK34" s="2847"/>
      <c r="AL34" s="2847"/>
      <c r="AM34" s="2847"/>
      <c r="AN34" s="2847"/>
      <c r="AO34" s="2847"/>
      <c r="AP34" s="2847"/>
      <c r="AQ34" s="2847"/>
      <c r="AR34" s="2847"/>
      <c r="AS34" s="2847"/>
      <c r="AT34" s="2829"/>
      <c r="AU34" s="2856"/>
      <c r="AV34" s="790">
        <f t="shared" si="11"/>
        <v>0</v>
      </c>
      <c r="AW34" s="790">
        <f t="shared" si="12"/>
        <v>0</v>
      </c>
      <c r="AX34" s="790">
        <f t="shared" si="13"/>
        <v>0</v>
      </c>
      <c r="AY34" s="1069">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4">
        <f t="shared" si="35"/>
        <v>0</v>
      </c>
    </row>
    <row r="35" spans="1:72">
      <c r="A35" s="1134"/>
      <c r="B35" s="1142"/>
      <c r="C35" s="1142"/>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7"/>
      <c r="AE35" s="2847"/>
      <c r="AF35" s="2847"/>
      <c r="AG35" s="2847"/>
      <c r="AH35" s="2847"/>
      <c r="AI35" s="2847"/>
      <c r="AJ35" s="2847"/>
      <c r="AK35" s="2847"/>
      <c r="AL35" s="2847"/>
      <c r="AM35" s="2847"/>
      <c r="AN35" s="2847"/>
      <c r="AO35" s="2847"/>
      <c r="AP35" s="2847"/>
      <c r="AQ35" s="2847"/>
      <c r="AR35" s="2847"/>
      <c r="AS35" s="2847"/>
      <c r="AT35" s="2829"/>
      <c r="AU35" s="2856"/>
      <c r="AV35" s="790">
        <f t="shared" si="11"/>
        <v>0</v>
      </c>
      <c r="AW35" s="790">
        <f t="shared" si="12"/>
        <v>0</v>
      </c>
      <c r="AX35" s="790">
        <f t="shared" si="13"/>
        <v>0</v>
      </c>
      <c r="AY35" s="1069">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4">
        <f t="shared" si="35"/>
        <v>0</v>
      </c>
    </row>
    <row r="36" spans="1:72">
      <c r="A36" s="1134"/>
      <c r="B36" s="1142"/>
      <c r="C36" s="1142"/>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7"/>
      <c r="AE36" s="2847"/>
      <c r="AF36" s="2847"/>
      <c r="AG36" s="2847"/>
      <c r="AH36" s="2847"/>
      <c r="AI36" s="2847"/>
      <c r="AJ36" s="2847"/>
      <c r="AK36" s="2847"/>
      <c r="AL36" s="2847"/>
      <c r="AM36" s="2847"/>
      <c r="AN36" s="2847"/>
      <c r="AO36" s="2847"/>
      <c r="AP36" s="2847"/>
      <c r="AQ36" s="2847"/>
      <c r="AR36" s="2847"/>
      <c r="AS36" s="2847"/>
      <c r="AT36" s="2829"/>
      <c r="AU36" s="2856"/>
      <c r="AV36" s="790">
        <f t="shared" si="11"/>
        <v>0</v>
      </c>
      <c r="AW36" s="790">
        <f t="shared" si="12"/>
        <v>0</v>
      </c>
      <c r="AX36" s="790">
        <f t="shared" si="13"/>
        <v>0</v>
      </c>
      <c r="AY36" s="1069">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4">
        <f t="shared" si="35"/>
        <v>0</v>
      </c>
    </row>
    <row r="37" spans="1:72">
      <c r="A37" s="1134"/>
      <c r="B37" s="1142"/>
      <c r="C37" s="1142"/>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7"/>
      <c r="AE37" s="2847"/>
      <c r="AF37" s="2847"/>
      <c r="AG37" s="2847"/>
      <c r="AH37" s="2847"/>
      <c r="AI37" s="2847"/>
      <c r="AJ37" s="2847"/>
      <c r="AK37" s="2847"/>
      <c r="AL37" s="2847"/>
      <c r="AM37" s="2847"/>
      <c r="AN37" s="2847"/>
      <c r="AO37" s="2847"/>
      <c r="AP37" s="2847"/>
      <c r="AQ37" s="2847"/>
      <c r="AR37" s="2847"/>
      <c r="AS37" s="2847"/>
      <c r="AT37" s="2829"/>
      <c r="AU37" s="2856"/>
      <c r="AV37" s="790">
        <f t="shared" si="11"/>
        <v>0</v>
      </c>
      <c r="AW37" s="790">
        <f t="shared" si="12"/>
        <v>0</v>
      </c>
      <c r="AX37" s="790">
        <f t="shared" si="13"/>
        <v>0</v>
      </c>
      <c r="AY37" s="1069">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4">
        <f t="shared" si="35"/>
        <v>0</v>
      </c>
    </row>
    <row r="38" spans="1:72">
      <c r="A38" s="1134"/>
      <c r="B38" s="1142"/>
      <c r="C38" s="1142"/>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7"/>
      <c r="AE38" s="2847"/>
      <c r="AF38" s="2847"/>
      <c r="AG38" s="2847"/>
      <c r="AH38" s="2847"/>
      <c r="AI38" s="2847"/>
      <c r="AJ38" s="2847"/>
      <c r="AK38" s="2847"/>
      <c r="AL38" s="2847"/>
      <c r="AM38" s="2847"/>
      <c r="AN38" s="2847"/>
      <c r="AO38" s="2847"/>
      <c r="AP38" s="2847"/>
      <c r="AQ38" s="2847"/>
      <c r="AR38" s="2847"/>
      <c r="AS38" s="2847"/>
      <c r="AT38" s="2829"/>
      <c r="AU38" s="2856"/>
      <c r="AV38" s="790">
        <f t="shared" si="11"/>
        <v>0</v>
      </c>
      <c r="AW38" s="790">
        <f t="shared" si="12"/>
        <v>0</v>
      </c>
      <c r="AX38" s="790">
        <f t="shared" si="13"/>
        <v>0</v>
      </c>
      <c r="AY38" s="1069">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4">
        <f t="shared" si="35"/>
        <v>0</v>
      </c>
    </row>
    <row r="39" spans="1:72">
      <c r="A39" s="1134"/>
      <c r="B39" s="1142"/>
      <c r="C39" s="1142"/>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7"/>
      <c r="AE39" s="2847"/>
      <c r="AF39" s="2847"/>
      <c r="AG39" s="2847"/>
      <c r="AH39" s="2847"/>
      <c r="AI39" s="2847"/>
      <c r="AJ39" s="2847"/>
      <c r="AK39" s="2847"/>
      <c r="AL39" s="2847"/>
      <c r="AM39" s="2847"/>
      <c r="AN39" s="2847"/>
      <c r="AO39" s="2847"/>
      <c r="AP39" s="2847"/>
      <c r="AQ39" s="2847"/>
      <c r="AR39" s="2847"/>
      <c r="AS39" s="2847"/>
      <c r="AT39" s="2829"/>
      <c r="AU39" s="2856"/>
      <c r="AV39" s="790">
        <f t="shared" si="11"/>
        <v>0</v>
      </c>
      <c r="AW39" s="790">
        <f t="shared" si="12"/>
        <v>0</v>
      </c>
      <c r="AX39" s="790">
        <f t="shared" si="13"/>
        <v>0</v>
      </c>
      <c r="AY39" s="1069">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4">
        <f t="shared" si="35"/>
        <v>0</v>
      </c>
    </row>
    <row r="40" spans="1:72">
      <c r="A40" s="1134"/>
      <c r="B40" s="1142"/>
      <c r="C40" s="1142"/>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7"/>
      <c r="AE40" s="2847"/>
      <c r="AF40" s="2847"/>
      <c r="AG40" s="2847"/>
      <c r="AH40" s="2847"/>
      <c r="AI40" s="2847"/>
      <c r="AJ40" s="2847"/>
      <c r="AK40" s="2847"/>
      <c r="AL40" s="2847"/>
      <c r="AM40" s="2847"/>
      <c r="AN40" s="2847"/>
      <c r="AO40" s="2847"/>
      <c r="AP40" s="2847"/>
      <c r="AQ40" s="2847"/>
      <c r="AR40" s="2847"/>
      <c r="AS40" s="2847"/>
      <c r="AT40" s="2829"/>
      <c r="AU40" s="2856"/>
      <c r="AV40" s="790">
        <f t="shared" si="11"/>
        <v>0</v>
      </c>
      <c r="AW40" s="790">
        <f t="shared" si="12"/>
        <v>0</v>
      </c>
      <c r="AX40" s="790">
        <f t="shared" si="13"/>
        <v>0</v>
      </c>
      <c r="AY40" s="1069">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4">
        <f t="shared" si="35"/>
        <v>0</v>
      </c>
    </row>
    <row r="41" spans="1:72">
      <c r="A41" s="1134"/>
      <c r="B41" s="1142"/>
      <c r="C41" s="1142"/>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7"/>
      <c r="AE41" s="2847"/>
      <c r="AF41" s="2847"/>
      <c r="AG41" s="2847"/>
      <c r="AH41" s="2847"/>
      <c r="AI41" s="2847"/>
      <c r="AJ41" s="2847"/>
      <c r="AK41" s="2847"/>
      <c r="AL41" s="2847"/>
      <c r="AM41" s="2847"/>
      <c r="AN41" s="2847"/>
      <c r="AO41" s="2847"/>
      <c r="AP41" s="2847"/>
      <c r="AQ41" s="2847"/>
      <c r="AR41" s="2847"/>
      <c r="AS41" s="2847"/>
      <c r="AT41" s="2829"/>
      <c r="AU41" s="2856"/>
      <c r="AV41" s="790">
        <f t="shared" si="11"/>
        <v>0</v>
      </c>
      <c r="AW41" s="790">
        <f t="shared" si="12"/>
        <v>0</v>
      </c>
      <c r="AX41" s="790">
        <f t="shared" si="13"/>
        <v>0</v>
      </c>
      <c r="AY41" s="1069">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4">
        <f t="shared" si="35"/>
        <v>0</v>
      </c>
    </row>
    <row r="42" spans="1:72">
      <c r="A42" s="1134"/>
      <c r="B42" s="1142"/>
      <c r="C42" s="1142"/>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7"/>
      <c r="AE42" s="2847"/>
      <c r="AF42" s="2847"/>
      <c r="AG42" s="2847"/>
      <c r="AH42" s="2847"/>
      <c r="AI42" s="2847"/>
      <c r="AJ42" s="2847"/>
      <c r="AK42" s="2847"/>
      <c r="AL42" s="2847"/>
      <c r="AM42" s="2847"/>
      <c r="AN42" s="2847"/>
      <c r="AO42" s="2847"/>
      <c r="AP42" s="2847"/>
      <c r="AQ42" s="2847"/>
      <c r="AR42" s="2847"/>
      <c r="AS42" s="2847"/>
      <c r="AT42" s="2829"/>
      <c r="AU42" s="2856"/>
      <c r="AV42" s="790">
        <f t="shared" si="11"/>
        <v>0</v>
      </c>
      <c r="AW42" s="790">
        <f t="shared" si="12"/>
        <v>0</v>
      </c>
      <c r="AX42" s="790">
        <f t="shared" si="13"/>
        <v>0</v>
      </c>
      <c r="AY42" s="1069">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4">
        <f t="shared" si="35"/>
        <v>0</v>
      </c>
    </row>
    <row r="43" spans="1:72">
      <c r="A43" s="1134"/>
      <c r="B43" s="1142"/>
      <c r="C43" s="1142"/>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7"/>
      <c r="AE43" s="2847"/>
      <c r="AF43" s="2847"/>
      <c r="AG43" s="2847"/>
      <c r="AH43" s="2847"/>
      <c r="AI43" s="2847"/>
      <c r="AJ43" s="2847"/>
      <c r="AK43" s="2847"/>
      <c r="AL43" s="2847"/>
      <c r="AM43" s="2847"/>
      <c r="AN43" s="2847"/>
      <c r="AO43" s="2847"/>
      <c r="AP43" s="2847"/>
      <c r="AQ43" s="2847"/>
      <c r="AR43" s="2847"/>
      <c r="AS43" s="2847"/>
      <c r="AT43" s="2829"/>
      <c r="AU43" s="2856"/>
      <c r="AV43" s="790">
        <f t="shared" si="11"/>
        <v>0</v>
      </c>
      <c r="AW43" s="790">
        <f t="shared" si="12"/>
        <v>0</v>
      </c>
      <c r="AX43" s="790">
        <f t="shared" si="13"/>
        <v>0</v>
      </c>
      <c r="AY43" s="1069">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4">
        <f t="shared" si="35"/>
        <v>0</v>
      </c>
    </row>
    <row r="44" spans="1:72">
      <c r="A44" s="1134"/>
      <c r="B44" s="1142"/>
      <c r="C44" s="1142"/>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7"/>
      <c r="AE44" s="2847"/>
      <c r="AF44" s="2847"/>
      <c r="AG44" s="2847"/>
      <c r="AH44" s="2847"/>
      <c r="AI44" s="2847"/>
      <c r="AJ44" s="2847"/>
      <c r="AK44" s="2847"/>
      <c r="AL44" s="2847"/>
      <c r="AM44" s="2847"/>
      <c r="AN44" s="2847"/>
      <c r="AO44" s="2847"/>
      <c r="AP44" s="2847"/>
      <c r="AQ44" s="2847"/>
      <c r="AR44" s="2847"/>
      <c r="AS44" s="2847"/>
      <c r="AT44" s="2829"/>
      <c r="AU44" s="2856"/>
      <c r="AV44" s="790">
        <f t="shared" si="11"/>
        <v>0</v>
      </c>
      <c r="AW44" s="790">
        <f t="shared" si="12"/>
        <v>0</v>
      </c>
      <c r="AX44" s="790">
        <f t="shared" si="13"/>
        <v>0</v>
      </c>
      <c r="AY44" s="1069">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4">
        <f t="shared" si="35"/>
        <v>0</v>
      </c>
    </row>
    <row r="45" spans="1:72">
      <c r="A45" s="1134"/>
      <c r="B45" s="1142"/>
      <c r="C45" s="1142"/>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7"/>
      <c r="AE45" s="2847"/>
      <c r="AF45" s="2847"/>
      <c r="AG45" s="2847"/>
      <c r="AH45" s="2847"/>
      <c r="AI45" s="2847"/>
      <c r="AJ45" s="2847"/>
      <c r="AK45" s="2847"/>
      <c r="AL45" s="2847"/>
      <c r="AM45" s="2847"/>
      <c r="AN45" s="2847"/>
      <c r="AO45" s="2847"/>
      <c r="AP45" s="2847"/>
      <c r="AQ45" s="2847"/>
      <c r="AR45" s="2847"/>
      <c r="AS45" s="2847"/>
      <c r="AT45" s="2829"/>
      <c r="AU45" s="2856"/>
      <c r="AV45" s="790">
        <f t="shared" si="11"/>
        <v>0</v>
      </c>
      <c r="AW45" s="790">
        <f t="shared" si="12"/>
        <v>0</v>
      </c>
      <c r="AX45" s="790">
        <f t="shared" si="13"/>
        <v>0</v>
      </c>
      <c r="AY45" s="1069">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4">
        <f t="shared" si="35"/>
        <v>0</v>
      </c>
    </row>
    <row r="46" spans="1:72">
      <c r="A46" s="1134"/>
      <c r="B46" s="1142"/>
      <c r="C46" s="1142"/>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7"/>
      <c r="AE46" s="2847"/>
      <c r="AF46" s="2847"/>
      <c r="AG46" s="2847"/>
      <c r="AH46" s="2847"/>
      <c r="AI46" s="2847"/>
      <c r="AJ46" s="2847"/>
      <c r="AK46" s="2847"/>
      <c r="AL46" s="2847"/>
      <c r="AM46" s="2847"/>
      <c r="AN46" s="2847"/>
      <c r="AO46" s="2847"/>
      <c r="AP46" s="2847"/>
      <c r="AQ46" s="2847"/>
      <c r="AR46" s="2847"/>
      <c r="AS46" s="2847"/>
      <c r="AT46" s="2829"/>
      <c r="AU46" s="2856"/>
      <c r="AV46" s="790">
        <f t="shared" si="11"/>
        <v>0</v>
      </c>
      <c r="AW46" s="790">
        <f t="shared" si="12"/>
        <v>0</v>
      </c>
      <c r="AX46" s="790">
        <f t="shared" si="13"/>
        <v>0</v>
      </c>
      <c r="AY46" s="1069">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4">
        <f t="shared" si="35"/>
        <v>0</v>
      </c>
    </row>
    <row r="47" spans="1:72">
      <c r="A47" s="1134"/>
      <c r="B47" s="1142"/>
      <c r="C47" s="1142"/>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7"/>
      <c r="AE47" s="2847"/>
      <c r="AF47" s="2847"/>
      <c r="AG47" s="2847"/>
      <c r="AH47" s="2847"/>
      <c r="AI47" s="2847"/>
      <c r="AJ47" s="2847"/>
      <c r="AK47" s="2847"/>
      <c r="AL47" s="2847"/>
      <c r="AM47" s="2847"/>
      <c r="AN47" s="2847"/>
      <c r="AO47" s="2847"/>
      <c r="AP47" s="2847"/>
      <c r="AQ47" s="2847"/>
      <c r="AR47" s="2847"/>
      <c r="AS47" s="2847"/>
      <c r="AT47" s="2829"/>
      <c r="AU47" s="2856"/>
      <c r="AV47" s="790">
        <f t="shared" si="11"/>
        <v>0</v>
      </c>
      <c r="AW47" s="790">
        <f t="shared" si="12"/>
        <v>0</v>
      </c>
      <c r="AX47" s="790">
        <f t="shared" si="13"/>
        <v>0</v>
      </c>
      <c r="AY47" s="1069">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4">
        <f t="shared" si="35"/>
        <v>0</v>
      </c>
    </row>
    <row r="48" spans="1:72">
      <c r="A48" s="1134"/>
      <c r="B48" s="1142"/>
      <c r="C48" s="1142"/>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7"/>
      <c r="AE48" s="2847"/>
      <c r="AF48" s="2847"/>
      <c r="AG48" s="2847"/>
      <c r="AH48" s="2847"/>
      <c r="AI48" s="2847"/>
      <c r="AJ48" s="2847"/>
      <c r="AK48" s="2847"/>
      <c r="AL48" s="2847"/>
      <c r="AM48" s="2847"/>
      <c r="AN48" s="2847"/>
      <c r="AO48" s="2847"/>
      <c r="AP48" s="2847"/>
      <c r="AQ48" s="2847"/>
      <c r="AR48" s="2847"/>
      <c r="AS48" s="2847"/>
      <c r="AT48" s="2829"/>
      <c r="AU48" s="2856"/>
      <c r="AV48" s="790">
        <f t="shared" si="11"/>
        <v>0</v>
      </c>
      <c r="AW48" s="790">
        <f t="shared" si="12"/>
        <v>0</v>
      </c>
      <c r="AX48" s="790">
        <f t="shared" si="13"/>
        <v>0</v>
      </c>
      <c r="AY48" s="1069">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4">
        <f t="shared" si="35"/>
        <v>0</v>
      </c>
    </row>
    <row r="49" spans="1:72">
      <c r="A49" s="1134"/>
      <c r="B49" s="1142"/>
      <c r="C49" s="1142"/>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7"/>
      <c r="AE49" s="2847"/>
      <c r="AF49" s="2847"/>
      <c r="AG49" s="2847"/>
      <c r="AH49" s="2847"/>
      <c r="AI49" s="2847"/>
      <c r="AJ49" s="2847"/>
      <c r="AK49" s="2847"/>
      <c r="AL49" s="2847"/>
      <c r="AM49" s="2847"/>
      <c r="AN49" s="2847"/>
      <c r="AO49" s="2847"/>
      <c r="AP49" s="2847"/>
      <c r="AQ49" s="2847"/>
      <c r="AR49" s="2847"/>
      <c r="AS49" s="2847"/>
      <c r="AT49" s="2829"/>
      <c r="AU49" s="2856"/>
      <c r="AV49" s="790">
        <f t="shared" si="11"/>
        <v>0</v>
      </c>
      <c r="AW49" s="790">
        <f t="shared" si="12"/>
        <v>0</v>
      </c>
      <c r="AX49" s="790">
        <f t="shared" si="13"/>
        <v>0</v>
      </c>
      <c r="AY49" s="1069">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4">
        <f t="shared" si="35"/>
        <v>0</v>
      </c>
    </row>
    <row r="50" spans="1:72">
      <c r="A50" s="1134"/>
      <c r="B50" s="1142"/>
      <c r="C50" s="1142"/>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7"/>
      <c r="AE50" s="2847"/>
      <c r="AF50" s="2847"/>
      <c r="AG50" s="2847"/>
      <c r="AH50" s="2847"/>
      <c r="AI50" s="2847"/>
      <c r="AJ50" s="2847"/>
      <c r="AK50" s="2847"/>
      <c r="AL50" s="2847"/>
      <c r="AM50" s="2847"/>
      <c r="AN50" s="2847"/>
      <c r="AO50" s="2847"/>
      <c r="AP50" s="2847"/>
      <c r="AQ50" s="2847"/>
      <c r="AR50" s="2847"/>
      <c r="AS50" s="2847"/>
      <c r="AT50" s="2829"/>
      <c r="AU50" s="2856"/>
      <c r="AV50" s="790">
        <f t="shared" si="11"/>
        <v>0</v>
      </c>
      <c r="AW50" s="790">
        <f t="shared" si="12"/>
        <v>0</v>
      </c>
      <c r="AX50" s="790">
        <f t="shared" si="13"/>
        <v>0</v>
      </c>
      <c r="AY50" s="1069">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4">
        <f t="shared" si="35"/>
        <v>0</v>
      </c>
    </row>
    <row r="51" spans="1:72">
      <c r="A51" s="1134"/>
      <c r="B51" s="1142"/>
      <c r="C51" s="1142"/>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7"/>
      <c r="AE51" s="2847"/>
      <c r="AF51" s="2847"/>
      <c r="AG51" s="2847"/>
      <c r="AH51" s="2847"/>
      <c r="AI51" s="2847"/>
      <c r="AJ51" s="2847"/>
      <c r="AK51" s="2847"/>
      <c r="AL51" s="2847"/>
      <c r="AM51" s="2847"/>
      <c r="AN51" s="2847"/>
      <c r="AO51" s="2847"/>
      <c r="AP51" s="2847"/>
      <c r="AQ51" s="2847"/>
      <c r="AR51" s="2847"/>
      <c r="AS51" s="2847"/>
      <c r="AT51" s="2829"/>
      <c r="AU51" s="2856"/>
      <c r="AV51" s="790">
        <f t="shared" si="11"/>
        <v>0</v>
      </c>
      <c r="AW51" s="790">
        <f t="shared" si="12"/>
        <v>0</v>
      </c>
      <c r="AX51" s="790">
        <f t="shared" si="13"/>
        <v>0</v>
      </c>
      <c r="AY51" s="1069">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4">
        <f t="shared" si="35"/>
        <v>0</v>
      </c>
    </row>
    <row r="52" spans="1:72">
      <c r="A52" s="1134"/>
      <c r="B52" s="1142"/>
      <c r="C52" s="1142"/>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7"/>
      <c r="AE52" s="2847"/>
      <c r="AF52" s="2847"/>
      <c r="AG52" s="2847"/>
      <c r="AH52" s="2847"/>
      <c r="AI52" s="2847"/>
      <c r="AJ52" s="2847"/>
      <c r="AK52" s="2847"/>
      <c r="AL52" s="2847"/>
      <c r="AM52" s="2847"/>
      <c r="AN52" s="2847"/>
      <c r="AO52" s="2847"/>
      <c r="AP52" s="2847"/>
      <c r="AQ52" s="2847"/>
      <c r="AR52" s="2847"/>
      <c r="AS52" s="2847"/>
      <c r="AT52" s="2829"/>
      <c r="AU52" s="2856"/>
      <c r="AV52" s="790">
        <f t="shared" si="11"/>
        <v>0</v>
      </c>
      <c r="AW52" s="790">
        <f t="shared" si="12"/>
        <v>0</v>
      </c>
      <c r="AX52" s="790">
        <f t="shared" si="13"/>
        <v>0</v>
      </c>
      <c r="AY52" s="1069">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4">
        <f t="shared" si="35"/>
        <v>0</v>
      </c>
    </row>
    <row r="53" spans="1:72">
      <c r="A53" s="1134"/>
      <c r="B53" s="1142"/>
      <c r="C53" s="1142"/>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7"/>
      <c r="AE53" s="2847"/>
      <c r="AF53" s="2847"/>
      <c r="AG53" s="2847"/>
      <c r="AH53" s="2847"/>
      <c r="AI53" s="2847"/>
      <c r="AJ53" s="2847"/>
      <c r="AK53" s="2847"/>
      <c r="AL53" s="2847"/>
      <c r="AM53" s="2847"/>
      <c r="AN53" s="2847"/>
      <c r="AO53" s="2847"/>
      <c r="AP53" s="2847"/>
      <c r="AQ53" s="2847"/>
      <c r="AR53" s="2847"/>
      <c r="AS53" s="2847"/>
      <c r="AT53" s="2829"/>
      <c r="AU53" s="2856"/>
      <c r="AV53" s="790">
        <f t="shared" si="11"/>
        <v>0</v>
      </c>
      <c r="AW53" s="790">
        <f t="shared" si="12"/>
        <v>0</v>
      </c>
      <c r="AX53" s="790">
        <f t="shared" si="13"/>
        <v>0</v>
      </c>
      <c r="AY53" s="1069">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4">
        <f t="shared" si="35"/>
        <v>0</v>
      </c>
    </row>
    <row r="54" spans="1:72">
      <c r="A54" s="1134"/>
      <c r="B54" s="1142"/>
      <c r="C54" s="1142"/>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7"/>
      <c r="AE54" s="2847"/>
      <c r="AF54" s="2847"/>
      <c r="AG54" s="2847"/>
      <c r="AH54" s="2847"/>
      <c r="AI54" s="2847"/>
      <c r="AJ54" s="2847"/>
      <c r="AK54" s="2847"/>
      <c r="AL54" s="2847"/>
      <c r="AM54" s="2847"/>
      <c r="AN54" s="2847"/>
      <c r="AO54" s="2847"/>
      <c r="AP54" s="2847"/>
      <c r="AQ54" s="2847"/>
      <c r="AR54" s="2847"/>
      <c r="AS54" s="2847"/>
      <c r="AT54" s="2829"/>
      <c r="AU54" s="2856"/>
      <c r="AV54" s="790">
        <f t="shared" si="11"/>
        <v>0</v>
      </c>
      <c r="AW54" s="790">
        <f t="shared" si="12"/>
        <v>0</v>
      </c>
      <c r="AX54" s="790">
        <f t="shared" si="13"/>
        <v>0</v>
      </c>
      <c r="AY54" s="1069">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4">
        <f t="shared" si="35"/>
        <v>0</v>
      </c>
    </row>
    <row r="55" spans="1:72">
      <c r="A55" s="1134"/>
      <c r="B55" s="1142"/>
      <c r="C55" s="1142"/>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7"/>
      <c r="AE55" s="2847"/>
      <c r="AF55" s="2847"/>
      <c r="AG55" s="2847"/>
      <c r="AH55" s="2847"/>
      <c r="AI55" s="2847"/>
      <c r="AJ55" s="2847"/>
      <c r="AK55" s="2847"/>
      <c r="AL55" s="2847"/>
      <c r="AM55" s="2847"/>
      <c r="AN55" s="2847"/>
      <c r="AO55" s="2847"/>
      <c r="AP55" s="2847"/>
      <c r="AQ55" s="2847"/>
      <c r="AR55" s="2847"/>
      <c r="AS55" s="2847"/>
      <c r="AT55" s="2829"/>
      <c r="AU55" s="2856"/>
      <c r="AV55" s="790">
        <f t="shared" si="11"/>
        <v>0</v>
      </c>
      <c r="AW55" s="790">
        <f t="shared" si="12"/>
        <v>0</v>
      </c>
      <c r="AX55" s="790">
        <f t="shared" si="13"/>
        <v>0</v>
      </c>
      <c r="AY55" s="1069">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4">
        <f t="shared" si="35"/>
        <v>0</v>
      </c>
    </row>
    <row r="56" spans="1:72">
      <c r="A56" s="1134"/>
      <c r="B56" s="1142"/>
      <c r="C56" s="1142"/>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7"/>
      <c r="AE56" s="2847"/>
      <c r="AF56" s="2847"/>
      <c r="AG56" s="2847"/>
      <c r="AH56" s="2847"/>
      <c r="AI56" s="2847"/>
      <c r="AJ56" s="2847"/>
      <c r="AK56" s="2847"/>
      <c r="AL56" s="2847"/>
      <c r="AM56" s="2847"/>
      <c r="AN56" s="2847"/>
      <c r="AO56" s="2847"/>
      <c r="AP56" s="2847"/>
      <c r="AQ56" s="2847"/>
      <c r="AR56" s="2847"/>
      <c r="AS56" s="2847"/>
      <c r="AT56" s="2829"/>
      <c r="AU56" s="2856"/>
      <c r="AV56" s="790">
        <f t="shared" si="11"/>
        <v>0</v>
      </c>
      <c r="AW56" s="790">
        <f t="shared" si="12"/>
        <v>0</v>
      </c>
      <c r="AX56" s="790">
        <f t="shared" si="13"/>
        <v>0</v>
      </c>
      <c r="AY56" s="1069">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4">
        <f t="shared" si="35"/>
        <v>0</v>
      </c>
    </row>
    <row r="57" spans="1:72">
      <c r="A57" s="1134"/>
      <c r="B57" s="1142"/>
      <c r="C57" s="1142"/>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7"/>
      <c r="AE57" s="2847"/>
      <c r="AF57" s="2847"/>
      <c r="AG57" s="2847"/>
      <c r="AH57" s="2847"/>
      <c r="AI57" s="2847"/>
      <c r="AJ57" s="2847"/>
      <c r="AK57" s="2847"/>
      <c r="AL57" s="2847"/>
      <c r="AM57" s="2847"/>
      <c r="AN57" s="2847"/>
      <c r="AO57" s="2847"/>
      <c r="AP57" s="2847"/>
      <c r="AQ57" s="2847"/>
      <c r="AR57" s="2847"/>
      <c r="AS57" s="2847"/>
      <c r="AT57" s="2829"/>
      <c r="AU57" s="2856"/>
      <c r="AV57" s="790">
        <f t="shared" si="11"/>
        <v>0</v>
      </c>
      <c r="AW57" s="790">
        <f t="shared" si="12"/>
        <v>0</v>
      </c>
      <c r="AX57" s="790">
        <f t="shared" si="13"/>
        <v>0</v>
      </c>
      <c r="AY57" s="1069">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4">
        <f t="shared" si="35"/>
        <v>0</v>
      </c>
    </row>
    <row r="58" spans="1:72">
      <c r="A58" s="1134"/>
      <c r="B58" s="1142"/>
      <c r="C58" s="1142"/>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7"/>
      <c r="AE58" s="2847"/>
      <c r="AF58" s="2847"/>
      <c r="AG58" s="2847"/>
      <c r="AH58" s="2847"/>
      <c r="AI58" s="2847"/>
      <c r="AJ58" s="2847"/>
      <c r="AK58" s="2847"/>
      <c r="AL58" s="2847"/>
      <c r="AM58" s="2847"/>
      <c r="AN58" s="2847"/>
      <c r="AO58" s="2847"/>
      <c r="AP58" s="2847"/>
      <c r="AQ58" s="2847"/>
      <c r="AR58" s="2847"/>
      <c r="AS58" s="2847"/>
      <c r="AT58" s="2829"/>
      <c r="AU58" s="2856"/>
      <c r="AV58" s="790">
        <f t="shared" si="11"/>
        <v>0</v>
      </c>
      <c r="AW58" s="790">
        <f t="shared" si="12"/>
        <v>0</v>
      </c>
      <c r="AX58" s="790">
        <f t="shared" si="13"/>
        <v>0</v>
      </c>
      <c r="AY58" s="1069">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4">
        <f t="shared" si="35"/>
        <v>0</v>
      </c>
    </row>
    <row r="59" spans="1:72">
      <c r="A59" s="1134"/>
      <c r="B59" s="1142"/>
      <c r="C59" s="1142"/>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7"/>
      <c r="AE59" s="2847"/>
      <c r="AF59" s="2847"/>
      <c r="AG59" s="2847"/>
      <c r="AH59" s="2847"/>
      <c r="AI59" s="2847"/>
      <c r="AJ59" s="2847"/>
      <c r="AK59" s="2847"/>
      <c r="AL59" s="2847"/>
      <c r="AM59" s="2847"/>
      <c r="AN59" s="2847"/>
      <c r="AO59" s="2847"/>
      <c r="AP59" s="2847"/>
      <c r="AQ59" s="2847"/>
      <c r="AR59" s="2847"/>
      <c r="AS59" s="2847"/>
      <c r="AT59" s="2829"/>
      <c r="AU59" s="2856"/>
      <c r="AV59" s="790">
        <f t="shared" si="11"/>
        <v>0</v>
      </c>
      <c r="AW59" s="790">
        <f t="shared" si="12"/>
        <v>0</v>
      </c>
      <c r="AX59" s="790">
        <f t="shared" si="13"/>
        <v>0</v>
      </c>
      <c r="AY59" s="1069">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4">
        <f t="shared" si="35"/>
        <v>0</v>
      </c>
    </row>
    <row r="60" spans="1:72">
      <c r="A60" s="1134"/>
      <c r="B60" s="1142"/>
      <c r="C60" s="1142"/>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7"/>
      <c r="AE60" s="2847"/>
      <c r="AF60" s="2847"/>
      <c r="AG60" s="2847"/>
      <c r="AH60" s="2847"/>
      <c r="AI60" s="2847"/>
      <c r="AJ60" s="2847"/>
      <c r="AK60" s="2847"/>
      <c r="AL60" s="2847"/>
      <c r="AM60" s="2847"/>
      <c r="AN60" s="2847"/>
      <c r="AO60" s="2847"/>
      <c r="AP60" s="2847"/>
      <c r="AQ60" s="2847"/>
      <c r="AR60" s="2847"/>
      <c r="AS60" s="2847"/>
      <c r="AT60" s="2829"/>
      <c r="AU60" s="2856"/>
      <c r="AV60" s="790">
        <f t="shared" si="11"/>
        <v>0</v>
      </c>
      <c r="AW60" s="790">
        <f t="shared" si="12"/>
        <v>0</v>
      </c>
      <c r="AX60" s="790">
        <f t="shared" si="13"/>
        <v>0</v>
      </c>
      <c r="AY60" s="1069">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4">
        <f t="shared" si="35"/>
        <v>0</v>
      </c>
    </row>
    <row r="61" spans="1:72">
      <c r="A61" s="1134"/>
      <c r="B61" s="1142"/>
      <c r="C61" s="1142"/>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7"/>
      <c r="AE61" s="2847"/>
      <c r="AF61" s="2847"/>
      <c r="AG61" s="2847"/>
      <c r="AH61" s="2847"/>
      <c r="AI61" s="2847"/>
      <c r="AJ61" s="2847"/>
      <c r="AK61" s="2847"/>
      <c r="AL61" s="2847"/>
      <c r="AM61" s="2847"/>
      <c r="AN61" s="2847"/>
      <c r="AO61" s="2847"/>
      <c r="AP61" s="2847"/>
      <c r="AQ61" s="2847"/>
      <c r="AR61" s="2847"/>
      <c r="AS61" s="2847"/>
      <c r="AT61" s="2829"/>
      <c r="AU61" s="2856"/>
      <c r="AV61" s="790">
        <f t="shared" si="11"/>
        <v>0</v>
      </c>
      <c r="AW61" s="790">
        <f t="shared" si="12"/>
        <v>0</v>
      </c>
      <c r="AX61" s="790">
        <f t="shared" si="13"/>
        <v>0</v>
      </c>
      <c r="AY61" s="1069">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4">
        <f t="shared" si="35"/>
        <v>0</v>
      </c>
    </row>
    <row r="62" spans="1:72">
      <c r="A62" s="1134"/>
      <c r="B62" s="1142"/>
      <c r="C62" s="1142"/>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7"/>
      <c r="AE62" s="2847"/>
      <c r="AF62" s="2847"/>
      <c r="AG62" s="2847"/>
      <c r="AH62" s="2847"/>
      <c r="AI62" s="2847"/>
      <c r="AJ62" s="2847"/>
      <c r="AK62" s="2847"/>
      <c r="AL62" s="2847"/>
      <c r="AM62" s="2847"/>
      <c r="AN62" s="2847"/>
      <c r="AO62" s="2847"/>
      <c r="AP62" s="2847"/>
      <c r="AQ62" s="2847"/>
      <c r="AR62" s="2847"/>
      <c r="AS62" s="2847"/>
      <c r="AT62" s="2829"/>
      <c r="AU62" s="2856"/>
      <c r="AV62" s="790">
        <f t="shared" si="11"/>
        <v>0</v>
      </c>
      <c r="AW62" s="790">
        <f t="shared" si="12"/>
        <v>0</v>
      </c>
      <c r="AX62" s="790">
        <f t="shared" si="13"/>
        <v>0</v>
      </c>
      <c r="AY62" s="1069">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4">
        <f t="shared" si="35"/>
        <v>0</v>
      </c>
    </row>
    <row r="63" spans="1:72">
      <c r="A63" s="1134"/>
      <c r="B63" s="1142"/>
      <c r="C63" s="1142"/>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7"/>
      <c r="AE63" s="2847"/>
      <c r="AF63" s="2847"/>
      <c r="AG63" s="2847"/>
      <c r="AH63" s="2847"/>
      <c r="AI63" s="2847"/>
      <c r="AJ63" s="2847"/>
      <c r="AK63" s="2847"/>
      <c r="AL63" s="2847"/>
      <c r="AM63" s="2847"/>
      <c r="AN63" s="2847"/>
      <c r="AO63" s="2847"/>
      <c r="AP63" s="2847"/>
      <c r="AQ63" s="2847"/>
      <c r="AR63" s="2847"/>
      <c r="AS63" s="2847"/>
      <c r="AT63" s="2829"/>
      <c r="AU63" s="2856"/>
      <c r="AV63" s="790">
        <f t="shared" si="11"/>
        <v>0</v>
      </c>
      <c r="AW63" s="790">
        <f t="shared" si="12"/>
        <v>0</v>
      </c>
      <c r="AX63" s="790">
        <f t="shared" si="13"/>
        <v>0</v>
      </c>
      <c r="AY63" s="1069">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4">
        <f t="shared" si="35"/>
        <v>0</v>
      </c>
    </row>
    <row r="64" spans="1:72">
      <c r="A64" s="1134"/>
      <c r="B64" s="1142"/>
      <c r="C64" s="1142"/>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7"/>
      <c r="AE64" s="2847"/>
      <c r="AF64" s="2847"/>
      <c r="AG64" s="2847"/>
      <c r="AH64" s="2847"/>
      <c r="AI64" s="2847"/>
      <c r="AJ64" s="2847"/>
      <c r="AK64" s="2847"/>
      <c r="AL64" s="2847"/>
      <c r="AM64" s="2847"/>
      <c r="AN64" s="2847"/>
      <c r="AO64" s="2847"/>
      <c r="AP64" s="2847"/>
      <c r="AQ64" s="2847"/>
      <c r="AR64" s="2847"/>
      <c r="AS64" s="2847"/>
      <c r="AT64" s="2829"/>
      <c r="AU64" s="2856"/>
      <c r="AV64" s="790">
        <f t="shared" si="11"/>
        <v>0</v>
      </c>
      <c r="AW64" s="790">
        <f t="shared" si="12"/>
        <v>0</v>
      </c>
      <c r="AX64" s="790">
        <f t="shared" si="13"/>
        <v>0</v>
      </c>
      <c r="AY64" s="1069">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4">
        <f t="shared" si="35"/>
        <v>0</v>
      </c>
    </row>
    <row r="65" spans="1:72">
      <c r="A65" s="1134"/>
      <c r="B65" s="1142"/>
      <c r="C65" s="1142"/>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7"/>
      <c r="AE65" s="2847"/>
      <c r="AF65" s="2847"/>
      <c r="AG65" s="2847"/>
      <c r="AH65" s="2847"/>
      <c r="AI65" s="2847"/>
      <c r="AJ65" s="2847"/>
      <c r="AK65" s="2847"/>
      <c r="AL65" s="2847"/>
      <c r="AM65" s="2847"/>
      <c r="AN65" s="2847"/>
      <c r="AO65" s="2847"/>
      <c r="AP65" s="2847"/>
      <c r="AQ65" s="2847"/>
      <c r="AR65" s="2847"/>
      <c r="AS65" s="2847"/>
      <c r="AT65" s="2829"/>
      <c r="AU65" s="2856"/>
      <c r="AV65" s="790">
        <f t="shared" si="11"/>
        <v>0</v>
      </c>
      <c r="AW65" s="790">
        <f t="shared" si="12"/>
        <v>0</v>
      </c>
      <c r="AX65" s="790">
        <f t="shared" si="13"/>
        <v>0</v>
      </c>
      <c r="AY65" s="1069">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4">
        <f t="shared" si="35"/>
        <v>0</v>
      </c>
    </row>
    <row r="66" spans="1:72">
      <c r="A66" s="1134"/>
      <c r="B66" s="1142"/>
      <c r="C66" s="1142"/>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7"/>
      <c r="AE66" s="2847"/>
      <c r="AF66" s="2847"/>
      <c r="AG66" s="2847"/>
      <c r="AH66" s="2847"/>
      <c r="AI66" s="2847"/>
      <c r="AJ66" s="2847"/>
      <c r="AK66" s="2847"/>
      <c r="AL66" s="2847"/>
      <c r="AM66" s="2847"/>
      <c r="AN66" s="2847"/>
      <c r="AO66" s="2847"/>
      <c r="AP66" s="2847"/>
      <c r="AQ66" s="2847"/>
      <c r="AR66" s="2847"/>
      <c r="AS66" s="2847"/>
      <c r="AT66" s="2829"/>
      <c r="AU66" s="2856"/>
      <c r="AV66" s="790">
        <f t="shared" si="11"/>
        <v>0</v>
      </c>
      <c r="AW66" s="790">
        <f t="shared" si="12"/>
        <v>0</v>
      </c>
      <c r="AX66" s="790">
        <f t="shared" si="13"/>
        <v>0</v>
      </c>
      <c r="AY66" s="1069">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4">
        <f t="shared" si="35"/>
        <v>0</v>
      </c>
    </row>
    <row r="67" spans="1:72">
      <c r="A67" s="1134"/>
      <c r="B67" s="1142"/>
      <c r="C67" s="1142"/>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7"/>
      <c r="AE67" s="2847"/>
      <c r="AF67" s="2847"/>
      <c r="AG67" s="2847"/>
      <c r="AH67" s="2847"/>
      <c r="AI67" s="2847"/>
      <c r="AJ67" s="2847"/>
      <c r="AK67" s="2847"/>
      <c r="AL67" s="2847"/>
      <c r="AM67" s="2847"/>
      <c r="AN67" s="2847"/>
      <c r="AO67" s="2847"/>
      <c r="AP67" s="2847"/>
      <c r="AQ67" s="2847"/>
      <c r="AR67" s="2847"/>
      <c r="AS67" s="2847"/>
      <c r="AT67" s="2829"/>
      <c r="AU67" s="2856"/>
      <c r="AV67" s="790">
        <f t="shared" si="11"/>
        <v>0</v>
      </c>
      <c r="AW67" s="790">
        <f t="shared" si="12"/>
        <v>0</v>
      </c>
      <c r="AX67" s="790">
        <f t="shared" si="13"/>
        <v>0</v>
      </c>
      <c r="AY67" s="1069">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4">
        <f t="shared" si="35"/>
        <v>0</v>
      </c>
    </row>
    <row r="68" spans="1:72">
      <c r="A68" s="1134"/>
      <c r="B68" s="1142"/>
      <c r="C68" s="1142"/>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7"/>
      <c r="AE68" s="2847"/>
      <c r="AF68" s="2847"/>
      <c r="AG68" s="2847"/>
      <c r="AH68" s="2847"/>
      <c r="AI68" s="2847"/>
      <c r="AJ68" s="2847"/>
      <c r="AK68" s="2847"/>
      <c r="AL68" s="2847"/>
      <c r="AM68" s="2847"/>
      <c r="AN68" s="2847"/>
      <c r="AO68" s="2847"/>
      <c r="AP68" s="2847"/>
      <c r="AQ68" s="2847"/>
      <c r="AR68" s="2847"/>
      <c r="AS68" s="2847"/>
      <c r="AT68" s="2829"/>
      <c r="AU68" s="2856"/>
      <c r="AV68" s="790">
        <f t="shared" si="11"/>
        <v>0</v>
      </c>
      <c r="AW68" s="790">
        <f t="shared" si="12"/>
        <v>0</v>
      </c>
      <c r="AX68" s="790">
        <f t="shared" si="13"/>
        <v>0</v>
      </c>
      <c r="AY68" s="1069">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4">
        <f t="shared" si="35"/>
        <v>0</v>
      </c>
    </row>
    <row r="69" spans="1:72">
      <c r="A69" s="1134"/>
      <c r="B69" s="1142"/>
      <c r="C69" s="1142"/>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7"/>
      <c r="AE69" s="2847"/>
      <c r="AF69" s="2847"/>
      <c r="AG69" s="2847"/>
      <c r="AH69" s="2847"/>
      <c r="AI69" s="2847"/>
      <c r="AJ69" s="2847"/>
      <c r="AK69" s="2847"/>
      <c r="AL69" s="2847"/>
      <c r="AM69" s="2847"/>
      <c r="AN69" s="2847"/>
      <c r="AO69" s="2847"/>
      <c r="AP69" s="2847"/>
      <c r="AQ69" s="2847"/>
      <c r="AR69" s="2847"/>
      <c r="AS69" s="2847"/>
      <c r="AT69" s="2829"/>
      <c r="AU69" s="2856"/>
      <c r="AV69" s="790">
        <f t="shared" si="11"/>
        <v>0</v>
      </c>
      <c r="AW69" s="790">
        <f t="shared" si="12"/>
        <v>0</v>
      </c>
      <c r="AX69" s="790">
        <f t="shared" si="13"/>
        <v>0</v>
      </c>
      <c r="AY69" s="1069">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4">
        <f t="shared" si="35"/>
        <v>0</v>
      </c>
    </row>
    <row r="70" spans="1:72">
      <c r="A70" s="1134"/>
      <c r="B70" s="1142"/>
      <c r="C70" s="1142"/>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7"/>
      <c r="AE70" s="2847"/>
      <c r="AF70" s="2847"/>
      <c r="AG70" s="2847"/>
      <c r="AH70" s="2847"/>
      <c r="AI70" s="2847"/>
      <c r="AJ70" s="2847"/>
      <c r="AK70" s="2847"/>
      <c r="AL70" s="2847"/>
      <c r="AM70" s="2847"/>
      <c r="AN70" s="2847"/>
      <c r="AO70" s="2847"/>
      <c r="AP70" s="2847"/>
      <c r="AQ70" s="2847"/>
      <c r="AR70" s="2847"/>
      <c r="AS70" s="2847"/>
      <c r="AT70" s="2829"/>
      <c r="AU70" s="2856"/>
      <c r="AV70" s="790">
        <f t="shared" si="11"/>
        <v>0</v>
      </c>
      <c r="AW70" s="790">
        <f t="shared" si="12"/>
        <v>0</v>
      </c>
      <c r="AX70" s="790">
        <f t="shared" si="13"/>
        <v>0</v>
      </c>
      <c r="AY70" s="1069">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4">
        <f t="shared" si="35"/>
        <v>0</v>
      </c>
    </row>
    <row r="71" spans="1:72">
      <c r="A71" s="1134"/>
      <c r="B71" s="1142"/>
      <c r="C71" s="1142"/>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7"/>
      <c r="AE71" s="2847"/>
      <c r="AF71" s="2847"/>
      <c r="AG71" s="2847"/>
      <c r="AH71" s="2847"/>
      <c r="AI71" s="2847"/>
      <c r="AJ71" s="2847"/>
      <c r="AK71" s="2847"/>
      <c r="AL71" s="2847"/>
      <c r="AM71" s="2847"/>
      <c r="AN71" s="2847"/>
      <c r="AO71" s="2847"/>
      <c r="AP71" s="2847"/>
      <c r="AQ71" s="2847"/>
      <c r="AR71" s="2847"/>
      <c r="AS71" s="2847"/>
      <c r="AT71" s="2829"/>
      <c r="AU71" s="2856"/>
      <c r="AV71" s="790">
        <f t="shared" si="11"/>
        <v>0</v>
      </c>
      <c r="AW71" s="790">
        <f t="shared" si="12"/>
        <v>0</v>
      </c>
      <c r="AX71" s="790">
        <f t="shared" si="13"/>
        <v>0</v>
      </c>
      <c r="AY71" s="1069">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4">
        <f t="shared" si="35"/>
        <v>0</v>
      </c>
    </row>
    <row r="72" spans="1:72">
      <c r="A72" s="1134"/>
      <c r="B72" s="1142"/>
      <c r="C72" s="1142"/>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7"/>
      <c r="AE72" s="2847"/>
      <c r="AF72" s="2847"/>
      <c r="AG72" s="2847"/>
      <c r="AH72" s="2847"/>
      <c r="AI72" s="2847"/>
      <c r="AJ72" s="2847"/>
      <c r="AK72" s="2847"/>
      <c r="AL72" s="2847"/>
      <c r="AM72" s="2847"/>
      <c r="AN72" s="2847"/>
      <c r="AO72" s="2847"/>
      <c r="AP72" s="2847"/>
      <c r="AQ72" s="2847"/>
      <c r="AR72" s="2847"/>
      <c r="AS72" s="2847"/>
      <c r="AT72" s="2829"/>
      <c r="AU72" s="2856"/>
      <c r="AV72" s="790">
        <f t="shared" si="11"/>
        <v>0</v>
      </c>
      <c r="AW72" s="790">
        <f t="shared" si="12"/>
        <v>0</v>
      </c>
      <c r="AX72" s="790">
        <f t="shared" si="13"/>
        <v>0</v>
      </c>
      <c r="AY72" s="1069">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4">
        <f t="shared" si="35"/>
        <v>0</v>
      </c>
    </row>
    <row r="73" spans="1:72">
      <c r="A73" s="1134"/>
      <c r="B73" s="1142"/>
      <c r="C73" s="1142"/>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7"/>
      <c r="AE73" s="2847"/>
      <c r="AF73" s="2847"/>
      <c r="AG73" s="2847"/>
      <c r="AH73" s="2847"/>
      <c r="AI73" s="2847"/>
      <c r="AJ73" s="2847"/>
      <c r="AK73" s="2847"/>
      <c r="AL73" s="2847"/>
      <c r="AM73" s="2847"/>
      <c r="AN73" s="2847"/>
      <c r="AO73" s="2847"/>
      <c r="AP73" s="2847"/>
      <c r="AQ73" s="2847"/>
      <c r="AR73" s="2847"/>
      <c r="AS73" s="2847"/>
      <c r="AT73" s="2829"/>
      <c r="AU73" s="2856"/>
      <c r="AV73" s="790">
        <f t="shared" si="11"/>
        <v>0</v>
      </c>
      <c r="AW73" s="790">
        <f t="shared" si="12"/>
        <v>0</v>
      </c>
      <c r="AX73" s="790">
        <f t="shared" si="13"/>
        <v>0</v>
      </c>
      <c r="AY73" s="1069">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4">
        <f t="shared" si="35"/>
        <v>0</v>
      </c>
    </row>
    <row r="74" spans="1:72">
      <c r="A74" s="1134"/>
      <c r="B74" s="1142"/>
      <c r="C74" s="1142"/>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7"/>
      <c r="AE74" s="2847"/>
      <c r="AF74" s="2847"/>
      <c r="AG74" s="2847"/>
      <c r="AH74" s="2847"/>
      <c r="AI74" s="2847"/>
      <c r="AJ74" s="2847"/>
      <c r="AK74" s="2847"/>
      <c r="AL74" s="2847"/>
      <c r="AM74" s="2847"/>
      <c r="AN74" s="2847"/>
      <c r="AO74" s="2847"/>
      <c r="AP74" s="2847"/>
      <c r="AQ74" s="2847"/>
      <c r="AR74" s="2847"/>
      <c r="AS74" s="2847"/>
      <c r="AT74" s="2829"/>
      <c r="AU74" s="2856"/>
      <c r="AV74" s="790">
        <f t="shared" si="11"/>
        <v>0</v>
      </c>
      <c r="AW74" s="790">
        <f t="shared" si="12"/>
        <v>0</v>
      </c>
      <c r="AX74" s="790">
        <f t="shared" si="13"/>
        <v>0</v>
      </c>
      <c r="AY74" s="1069">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4">
        <f t="shared" si="35"/>
        <v>0</v>
      </c>
    </row>
    <row r="75" spans="1:72">
      <c r="A75" s="1134"/>
      <c r="B75" s="1142"/>
      <c r="C75" s="1142"/>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7"/>
      <c r="AE75" s="2847"/>
      <c r="AF75" s="2847"/>
      <c r="AG75" s="2847"/>
      <c r="AH75" s="2847"/>
      <c r="AI75" s="2847"/>
      <c r="AJ75" s="2847"/>
      <c r="AK75" s="2847"/>
      <c r="AL75" s="2847"/>
      <c r="AM75" s="2847"/>
      <c r="AN75" s="2847"/>
      <c r="AO75" s="2847"/>
      <c r="AP75" s="2847"/>
      <c r="AQ75" s="2847"/>
      <c r="AR75" s="2847"/>
      <c r="AS75" s="2847"/>
      <c r="AT75" s="2829"/>
      <c r="AU75" s="2856"/>
      <c r="AV75" s="790">
        <f t="shared" si="11"/>
        <v>0</v>
      </c>
      <c r="AW75" s="790">
        <f t="shared" si="12"/>
        <v>0</v>
      </c>
      <c r="AX75" s="790">
        <f t="shared" si="13"/>
        <v>0</v>
      </c>
      <c r="AY75" s="1069">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4">
        <f t="shared" si="35"/>
        <v>0</v>
      </c>
    </row>
    <row r="76" spans="1:72">
      <c r="A76" s="1134"/>
      <c r="B76" s="1142"/>
      <c r="C76" s="1142"/>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7"/>
      <c r="AE76" s="2847"/>
      <c r="AF76" s="2847"/>
      <c r="AG76" s="2847"/>
      <c r="AH76" s="2847"/>
      <c r="AI76" s="2847"/>
      <c r="AJ76" s="2847"/>
      <c r="AK76" s="2847"/>
      <c r="AL76" s="2847"/>
      <c r="AM76" s="2847"/>
      <c r="AN76" s="2847"/>
      <c r="AO76" s="2847"/>
      <c r="AP76" s="2847"/>
      <c r="AQ76" s="2847"/>
      <c r="AR76" s="2847"/>
      <c r="AS76" s="2847"/>
      <c r="AT76" s="2829"/>
      <c r="AU76" s="2856"/>
      <c r="AV76" s="790">
        <f t="shared" si="11"/>
        <v>0</v>
      </c>
      <c r="AW76" s="790">
        <f t="shared" si="12"/>
        <v>0</v>
      </c>
      <c r="AX76" s="790">
        <f t="shared" si="13"/>
        <v>0</v>
      </c>
      <c r="AY76" s="1069">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4">
        <f t="shared" si="35"/>
        <v>0</v>
      </c>
    </row>
    <row r="77" spans="1:72">
      <c r="A77" s="1134"/>
      <c r="B77" s="1142"/>
      <c r="C77" s="1142"/>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7"/>
      <c r="AE77" s="2847"/>
      <c r="AF77" s="2847"/>
      <c r="AG77" s="2847"/>
      <c r="AH77" s="2847"/>
      <c r="AI77" s="2847"/>
      <c r="AJ77" s="2847"/>
      <c r="AK77" s="2847"/>
      <c r="AL77" s="2847"/>
      <c r="AM77" s="2847"/>
      <c r="AN77" s="2847"/>
      <c r="AO77" s="2847"/>
      <c r="AP77" s="2847"/>
      <c r="AQ77" s="2847"/>
      <c r="AR77" s="2847"/>
      <c r="AS77" s="2847"/>
      <c r="AT77" s="2829"/>
      <c r="AU77" s="2856"/>
      <c r="AV77" s="790">
        <f t="shared" si="11"/>
        <v>0</v>
      </c>
      <c r="AW77" s="790">
        <f t="shared" si="12"/>
        <v>0</v>
      </c>
      <c r="AX77" s="790">
        <f t="shared" si="13"/>
        <v>0</v>
      </c>
      <c r="AY77" s="1069">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4">
        <f t="shared" si="35"/>
        <v>0</v>
      </c>
    </row>
    <row r="78" spans="1:72">
      <c r="A78" s="1134"/>
      <c r="B78" s="1142"/>
      <c r="C78" s="1142"/>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7"/>
      <c r="AE78" s="2847"/>
      <c r="AF78" s="2847"/>
      <c r="AG78" s="2847"/>
      <c r="AH78" s="2847"/>
      <c r="AI78" s="2847"/>
      <c r="AJ78" s="2847"/>
      <c r="AK78" s="2847"/>
      <c r="AL78" s="2847"/>
      <c r="AM78" s="2847"/>
      <c r="AN78" s="2847"/>
      <c r="AO78" s="2847"/>
      <c r="AP78" s="2847"/>
      <c r="AQ78" s="2847"/>
      <c r="AR78" s="2847"/>
      <c r="AS78" s="2847"/>
      <c r="AT78" s="2829"/>
      <c r="AU78" s="2856"/>
      <c r="AV78" s="790">
        <f t="shared" si="11"/>
        <v>0</v>
      </c>
      <c r="AW78" s="790">
        <f t="shared" si="12"/>
        <v>0</v>
      </c>
      <c r="AX78" s="790">
        <f t="shared" si="13"/>
        <v>0</v>
      </c>
      <c r="AY78" s="1069">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4">
        <f t="shared" si="35"/>
        <v>0</v>
      </c>
    </row>
    <row r="79" spans="1:72">
      <c r="A79" s="1134"/>
      <c r="B79" s="1142"/>
      <c r="C79" s="1142"/>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7"/>
      <c r="AE79" s="2847"/>
      <c r="AF79" s="2847"/>
      <c r="AG79" s="2847"/>
      <c r="AH79" s="2847"/>
      <c r="AI79" s="2847"/>
      <c r="AJ79" s="2847"/>
      <c r="AK79" s="2847"/>
      <c r="AL79" s="2847"/>
      <c r="AM79" s="2847"/>
      <c r="AN79" s="2847"/>
      <c r="AO79" s="2847"/>
      <c r="AP79" s="2847"/>
      <c r="AQ79" s="2847"/>
      <c r="AR79" s="2847"/>
      <c r="AS79" s="2847"/>
      <c r="AT79" s="2829"/>
      <c r="AU79" s="2856"/>
      <c r="AV79" s="790">
        <f t="shared" si="11"/>
        <v>0</v>
      </c>
      <c r="AW79" s="790">
        <f t="shared" si="12"/>
        <v>0</v>
      </c>
      <c r="AX79" s="790">
        <f t="shared" si="13"/>
        <v>0</v>
      </c>
      <c r="AY79" s="1069">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4">
        <f t="shared" si="35"/>
        <v>0</v>
      </c>
    </row>
    <row r="80" spans="1:72">
      <c r="A80" s="1134"/>
      <c r="B80" s="1142"/>
      <c r="C80" s="1142"/>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7"/>
      <c r="AE80" s="2847"/>
      <c r="AF80" s="2847"/>
      <c r="AG80" s="2847"/>
      <c r="AH80" s="2847"/>
      <c r="AI80" s="2847"/>
      <c r="AJ80" s="2847"/>
      <c r="AK80" s="2847"/>
      <c r="AL80" s="2847"/>
      <c r="AM80" s="2847"/>
      <c r="AN80" s="2847"/>
      <c r="AO80" s="2847"/>
      <c r="AP80" s="2847"/>
      <c r="AQ80" s="2847"/>
      <c r="AR80" s="2847"/>
      <c r="AS80" s="2847"/>
      <c r="AT80" s="2829"/>
      <c r="AU80" s="2856"/>
      <c r="AV80" s="790">
        <f t="shared" si="11"/>
        <v>0</v>
      </c>
      <c r="AW80" s="790">
        <f t="shared" si="12"/>
        <v>0</v>
      </c>
      <c r="AX80" s="790">
        <f t="shared" si="13"/>
        <v>0</v>
      </c>
      <c r="AY80" s="1069">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4">
        <f t="shared" si="35"/>
        <v>0</v>
      </c>
    </row>
    <row r="81" spans="1:72">
      <c r="A81" s="1134"/>
      <c r="B81" s="1142"/>
      <c r="C81" s="1142"/>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7"/>
      <c r="AE81" s="2847"/>
      <c r="AF81" s="2847"/>
      <c r="AG81" s="2847"/>
      <c r="AH81" s="2847"/>
      <c r="AI81" s="2847"/>
      <c r="AJ81" s="2847"/>
      <c r="AK81" s="2847"/>
      <c r="AL81" s="2847"/>
      <c r="AM81" s="2847"/>
      <c r="AN81" s="2847"/>
      <c r="AO81" s="2847"/>
      <c r="AP81" s="2847"/>
      <c r="AQ81" s="2847"/>
      <c r="AR81" s="2847"/>
      <c r="AS81" s="2847"/>
      <c r="AT81" s="2829"/>
      <c r="AU81" s="2856"/>
      <c r="AV81" s="790">
        <f t="shared" si="11"/>
        <v>0</v>
      </c>
      <c r="AW81" s="790">
        <f t="shared" si="12"/>
        <v>0</v>
      </c>
      <c r="AX81" s="790">
        <f t="shared" si="13"/>
        <v>0</v>
      </c>
      <c r="AY81" s="1069">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4">
        <f t="shared" si="35"/>
        <v>0</v>
      </c>
    </row>
    <row r="82" spans="1:72">
      <c r="A82" s="1134"/>
      <c r="B82" s="1142"/>
      <c r="C82" s="1142"/>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7"/>
      <c r="AE82" s="2847"/>
      <c r="AF82" s="2847"/>
      <c r="AG82" s="2847"/>
      <c r="AH82" s="2847"/>
      <c r="AI82" s="2847"/>
      <c r="AJ82" s="2847"/>
      <c r="AK82" s="2847"/>
      <c r="AL82" s="2847"/>
      <c r="AM82" s="2847"/>
      <c r="AN82" s="2847"/>
      <c r="AO82" s="2847"/>
      <c r="AP82" s="2847"/>
      <c r="AQ82" s="2847"/>
      <c r="AR82" s="2847"/>
      <c r="AS82" s="2847"/>
      <c r="AT82" s="2829"/>
      <c r="AU82" s="2856"/>
      <c r="AV82" s="790">
        <f t="shared" si="11"/>
        <v>0</v>
      </c>
      <c r="AW82" s="790">
        <f t="shared" si="12"/>
        <v>0</v>
      </c>
      <c r="AX82" s="790">
        <f t="shared" si="13"/>
        <v>0</v>
      </c>
      <c r="AY82" s="1069">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4">
        <f t="shared" si="35"/>
        <v>0</v>
      </c>
    </row>
    <row r="83" spans="1:72">
      <c r="A83" s="1134"/>
      <c r="B83" s="1142"/>
      <c r="C83" s="1142"/>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7"/>
      <c r="AE83" s="2847"/>
      <c r="AF83" s="2847"/>
      <c r="AG83" s="2847"/>
      <c r="AH83" s="2847"/>
      <c r="AI83" s="2847"/>
      <c r="AJ83" s="2847"/>
      <c r="AK83" s="2847"/>
      <c r="AL83" s="2847"/>
      <c r="AM83" s="2847"/>
      <c r="AN83" s="2847"/>
      <c r="AO83" s="2847"/>
      <c r="AP83" s="2847"/>
      <c r="AQ83" s="2847"/>
      <c r="AR83" s="2847"/>
      <c r="AS83" s="2847"/>
      <c r="AT83" s="2829"/>
      <c r="AU83" s="2856"/>
      <c r="AV83" s="790">
        <f t="shared" si="11"/>
        <v>0</v>
      </c>
      <c r="AW83" s="790">
        <f t="shared" si="12"/>
        <v>0</v>
      </c>
      <c r="AX83" s="790">
        <f t="shared" si="13"/>
        <v>0</v>
      </c>
      <c r="AY83" s="1069">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4">
        <f t="shared" si="35"/>
        <v>0</v>
      </c>
    </row>
    <row r="84" spans="1:72">
      <c r="A84" s="1134"/>
      <c r="B84" s="1142"/>
      <c r="C84" s="1142"/>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7"/>
      <c r="AE84" s="2847"/>
      <c r="AF84" s="2847"/>
      <c r="AG84" s="2847"/>
      <c r="AH84" s="2847"/>
      <c r="AI84" s="2847"/>
      <c r="AJ84" s="2847"/>
      <c r="AK84" s="2847"/>
      <c r="AL84" s="2847"/>
      <c r="AM84" s="2847"/>
      <c r="AN84" s="2847"/>
      <c r="AO84" s="2847"/>
      <c r="AP84" s="2847"/>
      <c r="AQ84" s="2847"/>
      <c r="AR84" s="2847"/>
      <c r="AS84" s="2847"/>
      <c r="AT84" s="2829"/>
      <c r="AU84" s="2856"/>
      <c r="AV84" s="790">
        <f t="shared" si="11"/>
        <v>0</v>
      </c>
      <c r="AW84" s="790">
        <f t="shared" si="12"/>
        <v>0</v>
      </c>
      <c r="AX84" s="790">
        <f t="shared" si="13"/>
        <v>0</v>
      </c>
      <c r="AY84" s="1069">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4">
        <f t="shared" si="35"/>
        <v>0</v>
      </c>
    </row>
    <row r="85" spans="1:72">
      <c r="A85" s="1134"/>
      <c r="B85" s="1142"/>
      <c r="C85" s="1142"/>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7"/>
      <c r="AE85" s="2847"/>
      <c r="AF85" s="2847"/>
      <c r="AG85" s="2847"/>
      <c r="AH85" s="2847"/>
      <c r="AI85" s="2847"/>
      <c r="AJ85" s="2847"/>
      <c r="AK85" s="2847"/>
      <c r="AL85" s="2847"/>
      <c r="AM85" s="2847"/>
      <c r="AN85" s="2847"/>
      <c r="AO85" s="2847"/>
      <c r="AP85" s="2847"/>
      <c r="AQ85" s="2847"/>
      <c r="AR85" s="2847"/>
      <c r="AS85" s="2847"/>
      <c r="AT85" s="2829"/>
      <c r="AU85" s="2856"/>
      <c r="AV85" s="790">
        <f t="shared" si="11"/>
        <v>0</v>
      </c>
      <c r="AW85" s="790">
        <f t="shared" si="12"/>
        <v>0</v>
      </c>
      <c r="AX85" s="790">
        <f t="shared" si="13"/>
        <v>0</v>
      </c>
      <c r="AY85" s="1069">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4">
        <f t="shared" si="35"/>
        <v>0</v>
      </c>
    </row>
    <row r="86" spans="1:72">
      <c r="A86" s="1134"/>
      <c r="B86" s="1142"/>
      <c r="C86" s="1142"/>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7"/>
      <c r="AE86" s="2847"/>
      <c r="AF86" s="2847"/>
      <c r="AG86" s="2847"/>
      <c r="AH86" s="2847"/>
      <c r="AI86" s="2847"/>
      <c r="AJ86" s="2847"/>
      <c r="AK86" s="2847"/>
      <c r="AL86" s="2847"/>
      <c r="AM86" s="2847"/>
      <c r="AN86" s="2847"/>
      <c r="AO86" s="2847"/>
      <c r="AP86" s="2847"/>
      <c r="AQ86" s="2847"/>
      <c r="AR86" s="2847"/>
      <c r="AS86" s="2847"/>
      <c r="AT86" s="2829"/>
      <c r="AU86" s="2856"/>
      <c r="AV86" s="790">
        <f t="shared" si="11"/>
        <v>0</v>
      </c>
      <c r="AW86" s="790">
        <f t="shared" si="12"/>
        <v>0</v>
      </c>
      <c r="AX86" s="790">
        <f t="shared" si="13"/>
        <v>0</v>
      </c>
      <c r="AY86" s="1069">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4">
        <f t="shared" si="35"/>
        <v>0</v>
      </c>
    </row>
    <row r="87" spans="1:72">
      <c r="A87" s="1134"/>
      <c r="B87" s="1142"/>
      <c r="C87" s="1142"/>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7"/>
      <c r="AE87" s="2847"/>
      <c r="AF87" s="2847"/>
      <c r="AG87" s="2847"/>
      <c r="AH87" s="2847"/>
      <c r="AI87" s="2847"/>
      <c r="AJ87" s="2847"/>
      <c r="AK87" s="2847"/>
      <c r="AL87" s="2847"/>
      <c r="AM87" s="2847"/>
      <c r="AN87" s="2847"/>
      <c r="AO87" s="2847"/>
      <c r="AP87" s="2847"/>
      <c r="AQ87" s="2847"/>
      <c r="AR87" s="2847"/>
      <c r="AS87" s="2847"/>
      <c r="AT87" s="2829"/>
      <c r="AU87" s="2856"/>
      <c r="AV87" s="790">
        <f t="shared" si="11"/>
        <v>0</v>
      </c>
      <c r="AW87" s="790">
        <f t="shared" si="12"/>
        <v>0</v>
      </c>
      <c r="AX87" s="790">
        <f t="shared" si="13"/>
        <v>0</v>
      </c>
      <c r="AY87" s="1069">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4">
        <f t="shared" si="35"/>
        <v>0</v>
      </c>
    </row>
    <row r="88" spans="1:72">
      <c r="A88" s="1134"/>
      <c r="B88" s="1142"/>
      <c r="C88" s="1142"/>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7"/>
      <c r="AE88" s="2847"/>
      <c r="AF88" s="2847"/>
      <c r="AG88" s="2847"/>
      <c r="AH88" s="2847"/>
      <c r="AI88" s="2847"/>
      <c r="AJ88" s="2847"/>
      <c r="AK88" s="2847"/>
      <c r="AL88" s="2847"/>
      <c r="AM88" s="2847"/>
      <c r="AN88" s="2847"/>
      <c r="AO88" s="2847"/>
      <c r="AP88" s="2847"/>
      <c r="AQ88" s="2847"/>
      <c r="AR88" s="2847"/>
      <c r="AS88" s="2847"/>
      <c r="AT88" s="2829"/>
      <c r="AU88" s="2856"/>
      <c r="AV88" s="790">
        <f t="shared" si="11"/>
        <v>0</v>
      </c>
      <c r="AW88" s="790">
        <f t="shared" si="12"/>
        <v>0</v>
      </c>
      <c r="AX88" s="790">
        <f t="shared" si="13"/>
        <v>0</v>
      </c>
      <c r="AY88" s="1069">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4">
        <f t="shared" si="35"/>
        <v>0</v>
      </c>
    </row>
    <row r="89" spans="1:72">
      <c r="A89" s="1134"/>
      <c r="B89" s="1142"/>
      <c r="C89" s="1142"/>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7"/>
      <c r="AE89" s="2847"/>
      <c r="AF89" s="2847"/>
      <c r="AG89" s="2847"/>
      <c r="AH89" s="2847"/>
      <c r="AI89" s="2847"/>
      <c r="AJ89" s="2847"/>
      <c r="AK89" s="2847"/>
      <c r="AL89" s="2847"/>
      <c r="AM89" s="2847"/>
      <c r="AN89" s="2847"/>
      <c r="AO89" s="2847"/>
      <c r="AP89" s="2847"/>
      <c r="AQ89" s="2847"/>
      <c r="AR89" s="2847"/>
      <c r="AS89" s="2847"/>
      <c r="AT89" s="2829"/>
      <c r="AU89" s="2856"/>
      <c r="AV89" s="790">
        <f t="shared" si="11"/>
        <v>0</v>
      </c>
      <c r="AW89" s="790">
        <f t="shared" si="12"/>
        <v>0</v>
      </c>
      <c r="AX89" s="790">
        <f t="shared" si="13"/>
        <v>0</v>
      </c>
      <c r="AY89" s="1069">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4">
        <f t="shared" si="35"/>
        <v>0</v>
      </c>
    </row>
    <row r="90" spans="1:72">
      <c r="A90" s="1134"/>
      <c r="B90" s="1142"/>
      <c r="C90" s="1142"/>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7"/>
      <c r="AE90" s="2847"/>
      <c r="AF90" s="2847"/>
      <c r="AG90" s="2847"/>
      <c r="AH90" s="2847"/>
      <c r="AI90" s="2847"/>
      <c r="AJ90" s="2847"/>
      <c r="AK90" s="2847"/>
      <c r="AL90" s="2847"/>
      <c r="AM90" s="2847"/>
      <c r="AN90" s="2847"/>
      <c r="AO90" s="2847"/>
      <c r="AP90" s="2847"/>
      <c r="AQ90" s="2847"/>
      <c r="AR90" s="2847"/>
      <c r="AS90" s="2847"/>
      <c r="AT90" s="2829"/>
      <c r="AU90" s="2856"/>
      <c r="AV90" s="790">
        <f t="shared" si="11"/>
        <v>0</v>
      </c>
      <c r="AW90" s="790">
        <f t="shared" si="12"/>
        <v>0</v>
      </c>
      <c r="AX90" s="790">
        <f t="shared" si="13"/>
        <v>0</v>
      </c>
      <c r="AY90" s="1069">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4">
        <f t="shared" si="35"/>
        <v>0</v>
      </c>
    </row>
    <row r="91" spans="1:72">
      <c r="A91" s="1134"/>
      <c r="B91" s="1142"/>
      <c r="C91" s="1142"/>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7"/>
      <c r="AE91" s="2847"/>
      <c r="AF91" s="2847"/>
      <c r="AG91" s="2847"/>
      <c r="AH91" s="2847"/>
      <c r="AI91" s="2847"/>
      <c r="AJ91" s="2847"/>
      <c r="AK91" s="2847"/>
      <c r="AL91" s="2847"/>
      <c r="AM91" s="2847"/>
      <c r="AN91" s="2847"/>
      <c r="AO91" s="2847"/>
      <c r="AP91" s="2847"/>
      <c r="AQ91" s="2847"/>
      <c r="AR91" s="2847"/>
      <c r="AS91" s="2847"/>
      <c r="AT91" s="2829"/>
      <c r="AU91" s="2856"/>
      <c r="AV91" s="790">
        <f t="shared" si="11"/>
        <v>0</v>
      </c>
      <c r="AW91" s="790">
        <f t="shared" si="12"/>
        <v>0</v>
      </c>
      <c r="AX91" s="790">
        <f t="shared" si="13"/>
        <v>0</v>
      </c>
      <c r="AY91" s="1069">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4">
        <f t="shared" si="35"/>
        <v>0</v>
      </c>
    </row>
    <row r="92" spans="1:72">
      <c r="A92" s="1134"/>
      <c r="B92" s="1142"/>
      <c r="C92" s="1142"/>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7"/>
      <c r="AE92" s="2847"/>
      <c r="AF92" s="2847"/>
      <c r="AG92" s="2847"/>
      <c r="AH92" s="2847"/>
      <c r="AI92" s="2847"/>
      <c r="AJ92" s="2847"/>
      <c r="AK92" s="2847"/>
      <c r="AL92" s="2847"/>
      <c r="AM92" s="2847"/>
      <c r="AN92" s="2847"/>
      <c r="AO92" s="2847"/>
      <c r="AP92" s="2847"/>
      <c r="AQ92" s="2847"/>
      <c r="AR92" s="2847"/>
      <c r="AS92" s="2847"/>
      <c r="AT92" s="2829"/>
      <c r="AU92" s="2856"/>
      <c r="AV92" s="790">
        <f t="shared" si="11"/>
        <v>0</v>
      </c>
      <c r="AW92" s="790">
        <f t="shared" si="12"/>
        <v>0</v>
      </c>
      <c r="AX92" s="790">
        <f t="shared" si="13"/>
        <v>0</v>
      </c>
      <c r="AY92" s="1069">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4">
        <f t="shared" si="35"/>
        <v>0</v>
      </c>
    </row>
    <row r="93" spans="1:72">
      <c r="A93" s="1134"/>
      <c r="B93" s="1142"/>
      <c r="C93" s="1142"/>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7"/>
      <c r="AE93" s="2847"/>
      <c r="AF93" s="2847"/>
      <c r="AG93" s="2847"/>
      <c r="AH93" s="2847"/>
      <c r="AI93" s="2847"/>
      <c r="AJ93" s="2847"/>
      <c r="AK93" s="2847"/>
      <c r="AL93" s="2847"/>
      <c r="AM93" s="2847"/>
      <c r="AN93" s="2847"/>
      <c r="AO93" s="2847"/>
      <c r="AP93" s="2847"/>
      <c r="AQ93" s="2847"/>
      <c r="AR93" s="2847"/>
      <c r="AS93" s="2847"/>
      <c r="AT93" s="2829"/>
      <c r="AU93" s="2856"/>
      <c r="AV93" s="790">
        <f t="shared" si="11"/>
        <v>0</v>
      </c>
      <c r="AW93" s="790">
        <f t="shared" si="12"/>
        <v>0</v>
      </c>
      <c r="AX93" s="790">
        <f t="shared" si="13"/>
        <v>0</v>
      </c>
      <c r="AY93" s="1069">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4">
        <f t="shared" si="35"/>
        <v>0</v>
      </c>
    </row>
    <row r="94" spans="1:72">
      <c r="A94" s="1134"/>
      <c r="B94" s="1142"/>
      <c r="C94" s="1142"/>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7"/>
      <c r="AE94" s="2847"/>
      <c r="AF94" s="2847"/>
      <c r="AG94" s="2847"/>
      <c r="AH94" s="2847"/>
      <c r="AI94" s="2847"/>
      <c r="AJ94" s="2847"/>
      <c r="AK94" s="2847"/>
      <c r="AL94" s="2847"/>
      <c r="AM94" s="2847"/>
      <c r="AN94" s="2847"/>
      <c r="AO94" s="2847"/>
      <c r="AP94" s="2847"/>
      <c r="AQ94" s="2847"/>
      <c r="AR94" s="2847"/>
      <c r="AS94" s="2847"/>
      <c r="AT94" s="2829"/>
      <c r="AU94" s="2856"/>
      <c r="AV94" s="790">
        <f t="shared" si="11"/>
        <v>0</v>
      </c>
      <c r="AW94" s="790">
        <f t="shared" si="12"/>
        <v>0</v>
      </c>
      <c r="AX94" s="790">
        <f t="shared" si="13"/>
        <v>0</v>
      </c>
      <c r="AY94" s="1069">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4">
        <f t="shared" si="35"/>
        <v>0</v>
      </c>
    </row>
    <row r="95" spans="1:72">
      <c r="A95" s="1134"/>
      <c r="B95" s="1142"/>
      <c r="C95" s="1142"/>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7"/>
      <c r="AE95" s="2847"/>
      <c r="AF95" s="2847"/>
      <c r="AG95" s="2847"/>
      <c r="AH95" s="2847"/>
      <c r="AI95" s="2847"/>
      <c r="AJ95" s="2847"/>
      <c r="AK95" s="2847"/>
      <c r="AL95" s="2847"/>
      <c r="AM95" s="2847"/>
      <c r="AN95" s="2847"/>
      <c r="AO95" s="2847"/>
      <c r="AP95" s="2847"/>
      <c r="AQ95" s="2847"/>
      <c r="AR95" s="2847"/>
      <c r="AS95" s="2847"/>
      <c r="AT95" s="2829"/>
      <c r="AU95" s="2856"/>
      <c r="AV95" s="790">
        <f t="shared" si="11"/>
        <v>0</v>
      </c>
      <c r="AW95" s="790">
        <f t="shared" si="12"/>
        <v>0</v>
      </c>
      <c r="AX95" s="790">
        <f t="shared" si="13"/>
        <v>0</v>
      </c>
      <c r="AY95" s="1069">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4">
        <f t="shared" si="35"/>
        <v>0</v>
      </c>
    </row>
    <row r="96" spans="1:72">
      <c r="A96" s="1134"/>
      <c r="B96" s="1142"/>
      <c r="C96" s="1142"/>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7"/>
      <c r="AE96" s="2847"/>
      <c r="AF96" s="2847"/>
      <c r="AG96" s="2847"/>
      <c r="AH96" s="2847"/>
      <c r="AI96" s="2847"/>
      <c r="AJ96" s="2847"/>
      <c r="AK96" s="2847"/>
      <c r="AL96" s="2847"/>
      <c r="AM96" s="2847"/>
      <c r="AN96" s="2847"/>
      <c r="AO96" s="2847"/>
      <c r="AP96" s="2847"/>
      <c r="AQ96" s="2847"/>
      <c r="AR96" s="2847"/>
      <c r="AS96" s="2847"/>
      <c r="AT96" s="2829"/>
      <c r="AU96" s="2856"/>
      <c r="AV96" s="790">
        <f t="shared" si="11"/>
        <v>0</v>
      </c>
      <c r="AW96" s="790">
        <f t="shared" si="12"/>
        <v>0</v>
      </c>
      <c r="AX96" s="790">
        <f t="shared" si="13"/>
        <v>0</v>
      </c>
      <c r="AY96" s="1069">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4">
        <f t="shared" si="35"/>
        <v>0</v>
      </c>
    </row>
    <row r="97" spans="1:72">
      <c r="A97" s="1134"/>
      <c r="B97" s="1142"/>
      <c r="C97" s="1142"/>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7"/>
      <c r="AE97" s="2847"/>
      <c r="AF97" s="2847"/>
      <c r="AG97" s="2847"/>
      <c r="AH97" s="2847"/>
      <c r="AI97" s="2847"/>
      <c r="AJ97" s="2847"/>
      <c r="AK97" s="2847"/>
      <c r="AL97" s="2847"/>
      <c r="AM97" s="2847"/>
      <c r="AN97" s="2847"/>
      <c r="AO97" s="2847"/>
      <c r="AP97" s="2847"/>
      <c r="AQ97" s="2847"/>
      <c r="AR97" s="2847"/>
      <c r="AS97" s="2847"/>
      <c r="AT97" s="2829"/>
      <c r="AU97" s="2856"/>
      <c r="AV97" s="790">
        <f t="shared" si="11"/>
        <v>0</v>
      </c>
      <c r="AW97" s="790">
        <f t="shared" si="12"/>
        <v>0</v>
      </c>
      <c r="AX97" s="790">
        <f t="shared" si="13"/>
        <v>0</v>
      </c>
      <c r="AY97" s="1069">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4">
        <f t="shared" si="35"/>
        <v>0</v>
      </c>
    </row>
    <row r="98" spans="1:72">
      <c r="A98" s="1134"/>
      <c r="B98" s="1142"/>
      <c r="C98" s="1142"/>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7"/>
      <c r="AE98" s="2847"/>
      <c r="AF98" s="2847"/>
      <c r="AG98" s="2847"/>
      <c r="AH98" s="2847"/>
      <c r="AI98" s="2847"/>
      <c r="AJ98" s="2847"/>
      <c r="AK98" s="2847"/>
      <c r="AL98" s="2847"/>
      <c r="AM98" s="2847"/>
      <c r="AN98" s="2847"/>
      <c r="AO98" s="2847"/>
      <c r="AP98" s="2847"/>
      <c r="AQ98" s="2847"/>
      <c r="AR98" s="2847"/>
      <c r="AS98" s="2847"/>
      <c r="AT98" s="2829"/>
      <c r="AU98" s="2856"/>
      <c r="AV98" s="790">
        <f t="shared" si="11"/>
        <v>0</v>
      </c>
      <c r="AW98" s="790">
        <f t="shared" si="12"/>
        <v>0</v>
      </c>
      <c r="AX98" s="790">
        <f t="shared" si="13"/>
        <v>0</v>
      </c>
      <c r="AY98" s="1069">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4">
        <f t="shared" si="35"/>
        <v>0</v>
      </c>
    </row>
    <row r="99" spans="1:72">
      <c r="A99" s="1134"/>
      <c r="B99" s="1142"/>
      <c r="C99" s="1142"/>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7"/>
      <c r="AE99" s="2847"/>
      <c r="AF99" s="2847"/>
      <c r="AG99" s="2847"/>
      <c r="AH99" s="2847"/>
      <c r="AI99" s="2847"/>
      <c r="AJ99" s="2847"/>
      <c r="AK99" s="2847"/>
      <c r="AL99" s="2847"/>
      <c r="AM99" s="2847"/>
      <c r="AN99" s="2847"/>
      <c r="AO99" s="2847"/>
      <c r="AP99" s="2847"/>
      <c r="AQ99" s="2847"/>
      <c r="AR99" s="2847"/>
      <c r="AS99" s="2847"/>
      <c r="AT99" s="2829"/>
      <c r="AU99" s="2856"/>
      <c r="AV99" s="790">
        <f t="shared" si="11"/>
        <v>0</v>
      </c>
      <c r="AW99" s="790">
        <f t="shared" si="12"/>
        <v>0</v>
      </c>
      <c r="AX99" s="790">
        <f t="shared" si="13"/>
        <v>0</v>
      </c>
      <c r="AY99" s="1069">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4">
        <f t="shared" si="35"/>
        <v>0</v>
      </c>
    </row>
    <row r="100" spans="1:72">
      <c r="A100" s="1134"/>
      <c r="B100" s="1142"/>
      <c r="C100" s="1142"/>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7"/>
      <c r="AE100" s="2847"/>
      <c r="AF100" s="2847"/>
      <c r="AG100" s="2847"/>
      <c r="AH100" s="2847"/>
      <c r="AI100" s="2847"/>
      <c r="AJ100" s="2847"/>
      <c r="AK100" s="2847"/>
      <c r="AL100" s="2847"/>
      <c r="AM100" s="2847"/>
      <c r="AN100" s="2847"/>
      <c r="AO100" s="2847"/>
      <c r="AP100" s="2847"/>
      <c r="AQ100" s="2847"/>
      <c r="AR100" s="2847"/>
      <c r="AS100" s="2847"/>
      <c r="AT100" s="2829"/>
      <c r="AU100" s="2856"/>
      <c r="AV100" s="790">
        <f t="shared" si="11"/>
        <v>0</v>
      </c>
      <c r="AW100" s="790">
        <f t="shared" si="12"/>
        <v>0</v>
      </c>
      <c r="AX100" s="790">
        <f t="shared" si="13"/>
        <v>0</v>
      </c>
      <c r="AY100" s="1069">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4">
        <f t="shared" si="35"/>
        <v>0</v>
      </c>
    </row>
    <row r="101" spans="1:72">
      <c r="A101" s="1134"/>
      <c r="B101" s="1142"/>
      <c r="C101" s="1142"/>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7"/>
      <c r="AE101" s="2847"/>
      <c r="AF101" s="2847"/>
      <c r="AG101" s="2847"/>
      <c r="AH101" s="2847"/>
      <c r="AI101" s="2847"/>
      <c r="AJ101" s="2847"/>
      <c r="AK101" s="2847"/>
      <c r="AL101" s="2847"/>
      <c r="AM101" s="2847"/>
      <c r="AN101" s="2847"/>
      <c r="AO101" s="2847"/>
      <c r="AP101" s="2847"/>
      <c r="AQ101" s="2847"/>
      <c r="AR101" s="2847"/>
      <c r="AS101" s="2847"/>
      <c r="AT101" s="2829"/>
      <c r="AU101" s="2856"/>
      <c r="AV101" s="790">
        <f t="shared" si="11"/>
        <v>0</v>
      </c>
      <c r="AW101" s="790">
        <f t="shared" si="12"/>
        <v>0</v>
      </c>
      <c r="AX101" s="790">
        <f t="shared" si="13"/>
        <v>0</v>
      </c>
      <c r="AY101" s="1069">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4">
        <f t="shared" si="35"/>
        <v>0</v>
      </c>
    </row>
    <row r="102" spans="1:72">
      <c r="A102" s="1134"/>
      <c r="B102" s="1142"/>
      <c r="C102" s="1142"/>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7"/>
      <c r="AE102" s="2847"/>
      <c r="AF102" s="2847"/>
      <c r="AG102" s="2847"/>
      <c r="AH102" s="2847"/>
      <c r="AI102" s="2847"/>
      <c r="AJ102" s="2847"/>
      <c r="AK102" s="2847"/>
      <c r="AL102" s="2847"/>
      <c r="AM102" s="2847"/>
      <c r="AN102" s="2847"/>
      <c r="AO102" s="2847"/>
      <c r="AP102" s="2847"/>
      <c r="AQ102" s="2847"/>
      <c r="AR102" s="2847"/>
      <c r="AS102" s="2847"/>
      <c r="AT102" s="2829"/>
      <c r="AU102" s="2856"/>
      <c r="AV102" s="790">
        <f t="shared" si="11"/>
        <v>0</v>
      </c>
      <c r="AW102" s="790">
        <f t="shared" si="12"/>
        <v>0</v>
      </c>
      <c r="AX102" s="790">
        <f t="shared" si="13"/>
        <v>0</v>
      </c>
      <c r="AY102" s="1069">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4">
        <f t="shared" si="35"/>
        <v>0</v>
      </c>
    </row>
    <row r="103" spans="1:72">
      <c r="A103" s="1134"/>
      <c r="B103" s="1142"/>
      <c r="C103" s="1142"/>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7"/>
      <c r="AE103" s="2847"/>
      <c r="AF103" s="2847"/>
      <c r="AG103" s="2847"/>
      <c r="AH103" s="2847"/>
      <c r="AI103" s="2847"/>
      <c r="AJ103" s="2847"/>
      <c r="AK103" s="2847"/>
      <c r="AL103" s="2847"/>
      <c r="AM103" s="2847"/>
      <c r="AN103" s="2847"/>
      <c r="AO103" s="2847"/>
      <c r="AP103" s="2847"/>
      <c r="AQ103" s="2847"/>
      <c r="AR103" s="2847"/>
      <c r="AS103" s="2847"/>
      <c r="AT103" s="2829"/>
      <c r="AU103" s="2856"/>
      <c r="AV103" s="790">
        <f t="shared" si="11"/>
        <v>0</v>
      </c>
      <c r="AW103" s="790">
        <f t="shared" si="12"/>
        <v>0</v>
      </c>
      <c r="AX103" s="790">
        <f t="shared" si="13"/>
        <v>0</v>
      </c>
      <c r="AY103" s="1069">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4">
        <f t="shared" si="35"/>
        <v>0</v>
      </c>
    </row>
    <row r="104" spans="1:72">
      <c r="A104" s="1134"/>
      <c r="B104" s="1142"/>
      <c r="C104" s="1142"/>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7"/>
      <c r="AE104" s="2847"/>
      <c r="AF104" s="2847"/>
      <c r="AG104" s="2847"/>
      <c r="AH104" s="2847"/>
      <c r="AI104" s="2847"/>
      <c r="AJ104" s="2847"/>
      <c r="AK104" s="2847"/>
      <c r="AL104" s="2847"/>
      <c r="AM104" s="2847"/>
      <c r="AN104" s="2847"/>
      <c r="AO104" s="2847"/>
      <c r="AP104" s="2847"/>
      <c r="AQ104" s="2847"/>
      <c r="AR104" s="2847"/>
      <c r="AS104" s="2847"/>
      <c r="AT104" s="2829"/>
      <c r="AU104" s="2856"/>
      <c r="AV104" s="790">
        <f t="shared" si="11"/>
        <v>0</v>
      </c>
      <c r="AW104" s="790">
        <f t="shared" si="12"/>
        <v>0</v>
      </c>
      <c r="AX104" s="790">
        <f t="shared" si="13"/>
        <v>0</v>
      </c>
      <c r="AY104" s="1069">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4">
        <f t="shared" si="35"/>
        <v>0</v>
      </c>
    </row>
    <row r="105" spans="1:72">
      <c r="A105" s="1134"/>
      <c r="B105" s="1142"/>
      <c r="C105" s="1142"/>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7"/>
      <c r="AE105" s="2847"/>
      <c r="AF105" s="2847"/>
      <c r="AG105" s="2847"/>
      <c r="AH105" s="2847"/>
      <c r="AI105" s="2847"/>
      <c r="AJ105" s="2847"/>
      <c r="AK105" s="2847"/>
      <c r="AL105" s="2847"/>
      <c r="AM105" s="2847"/>
      <c r="AN105" s="2847"/>
      <c r="AO105" s="2847"/>
      <c r="AP105" s="2847"/>
      <c r="AQ105" s="2847"/>
      <c r="AR105" s="2847"/>
      <c r="AS105" s="2847"/>
      <c r="AT105" s="2829"/>
      <c r="AU105" s="2856"/>
      <c r="AV105" s="790">
        <f t="shared" si="11"/>
        <v>0</v>
      </c>
      <c r="AW105" s="790">
        <f t="shared" si="12"/>
        <v>0</v>
      </c>
      <c r="AX105" s="790">
        <f t="shared" si="13"/>
        <v>0</v>
      </c>
      <c r="AY105" s="1069">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4">
        <f t="shared" si="35"/>
        <v>0</v>
      </c>
    </row>
    <row r="106" spans="1:72">
      <c r="A106" s="1134"/>
      <c r="B106" s="1142"/>
      <c r="C106" s="1142"/>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7"/>
      <c r="AE106" s="2847"/>
      <c r="AF106" s="2847"/>
      <c r="AG106" s="2847"/>
      <c r="AH106" s="2847"/>
      <c r="AI106" s="2847"/>
      <c r="AJ106" s="2847"/>
      <c r="AK106" s="2847"/>
      <c r="AL106" s="2847"/>
      <c r="AM106" s="2847"/>
      <c r="AN106" s="2847"/>
      <c r="AO106" s="2847"/>
      <c r="AP106" s="2847"/>
      <c r="AQ106" s="2847"/>
      <c r="AR106" s="2847"/>
      <c r="AS106" s="2847"/>
      <c r="AT106" s="2829"/>
      <c r="AU106" s="2856"/>
      <c r="AV106" s="790">
        <f t="shared" si="11"/>
        <v>0</v>
      </c>
      <c r="AW106" s="790">
        <f t="shared" si="12"/>
        <v>0</v>
      </c>
      <c r="AX106" s="790">
        <f t="shared" si="13"/>
        <v>0</v>
      </c>
      <c r="AY106" s="1069">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4">
        <f t="shared" si="35"/>
        <v>0</v>
      </c>
    </row>
    <row r="107" spans="1:72">
      <c r="A107" s="1134"/>
      <c r="B107" s="1142"/>
      <c r="C107" s="1142"/>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7"/>
      <c r="AE107" s="2847"/>
      <c r="AF107" s="2847"/>
      <c r="AG107" s="2847"/>
      <c r="AH107" s="2847"/>
      <c r="AI107" s="2847"/>
      <c r="AJ107" s="2847"/>
      <c r="AK107" s="2847"/>
      <c r="AL107" s="2847"/>
      <c r="AM107" s="2847"/>
      <c r="AN107" s="2847"/>
      <c r="AO107" s="2847"/>
      <c r="AP107" s="2847"/>
      <c r="AQ107" s="2847"/>
      <c r="AR107" s="2847"/>
      <c r="AS107" s="2847"/>
      <c r="AT107" s="2829"/>
      <c r="AU107" s="2856"/>
      <c r="AV107" s="790">
        <f t="shared" si="11"/>
        <v>0</v>
      </c>
      <c r="AW107" s="790">
        <f t="shared" si="12"/>
        <v>0</v>
      </c>
      <c r="AX107" s="790">
        <f t="shared" si="13"/>
        <v>0</v>
      </c>
      <c r="AY107" s="1069">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4">
        <f t="shared" si="35"/>
        <v>0</v>
      </c>
    </row>
    <row r="108" spans="1:72">
      <c r="A108" s="1134"/>
      <c r="B108" s="1142"/>
      <c r="C108" s="1142"/>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7"/>
      <c r="AE108" s="2847"/>
      <c r="AF108" s="2847"/>
      <c r="AG108" s="2847"/>
      <c r="AH108" s="2847"/>
      <c r="AI108" s="2847"/>
      <c r="AJ108" s="2847"/>
      <c r="AK108" s="2847"/>
      <c r="AL108" s="2847"/>
      <c r="AM108" s="2847"/>
      <c r="AN108" s="2847"/>
      <c r="AO108" s="2847"/>
      <c r="AP108" s="2847"/>
      <c r="AQ108" s="2847"/>
      <c r="AR108" s="2847"/>
      <c r="AS108" s="2847"/>
      <c r="AT108" s="2829"/>
      <c r="AU108" s="2856"/>
      <c r="AV108" s="790">
        <f t="shared" si="11"/>
        <v>0</v>
      </c>
      <c r="AW108" s="790">
        <f t="shared" si="12"/>
        <v>0</v>
      </c>
      <c r="AX108" s="790">
        <f t="shared" si="13"/>
        <v>0</v>
      </c>
      <c r="AY108" s="1069">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4">
        <f t="shared" si="35"/>
        <v>0</v>
      </c>
    </row>
    <row r="109" spans="1:72">
      <c r="A109" s="1134"/>
      <c r="B109" s="1142"/>
      <c r="C109" s="1142"/>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7"/>
      <c r="AE109" s="2847"/>
      <c r="AF109" s="2847"/>
      <c r="AG109" s="2847"/>
      <c r="AH109" s="2847"/>
      <c r="AI109" s="2847"/>
      <c r="AJ109" s="2847"/>
      <c r="AK109" s="2847"/>
      <c r="AL109" s="2847"/>
      <c r="AM109" s="2847"/>
      <c r="AN109" s="2847"/>
      <c r="AO109" s="2847"/>
      <c r="AP109" s="2847"/>
      <c r="AQ109" s="2847"/>
      <c r="AR109" s="2847"/>
      <c r="AS109" s="2847"/>
      <c r="AT109" s="2829"/>
      <c r="AU109" s="2856"/>
      <c r="AV109" s="790">
        <f t="shared" si="11"/>
        <v>0</v>
      </c>
      <c r="AW109" s="790">
        <f t="shared" si="12"/>
        <v>0</v>
      </c>
      <c r="AX109" s="790">
        <f t="shared" si="13"/>
        <v>0</v>
      </c>
      <c r="AY109" s="1069">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4">
        <f t="shared" si="35"/>
        <v>0</v>
      </c>
    </row>
    <row r="110" spans="1:72">
      <c r="A110" s="1134"/>
      <c r="B110" s="1134"/>
      <c r="C110" s="1134"/>
      <c r="D110" s="2827"/>
      <c r="E110" s="2828">
        <f t="shared" si="7"/>
        <v>0</v>
      </c>
      <c r="F110" s="2847"/>
      <c r="G110" s="2830">
        <f t="shared" ref="G110:G141" si="36">H110+AC110+AT110</f>
        <v>0</v>
      </c>
      <c r="H110" s="2831">
        <f t="shared" ref="H110:H141" si="37">SUMIF(I$12:AB$12,"总值",I110:AB110)</f>
        <v>0</v>
      </c>
      <c r="I110" s="2875"/>
      <c r="J110" s="2875"/>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7"/>
      <c r="AE110" s="2847"/>
      <c r="AF110" s="2847"/>
      <c r="AG110" s="2847"/>
      <c r="AH110" s="2847"/>
      <c r="AI110" s="2847"/>
      <c r="AJ110" s="2847"/>
      <c r="AK110" s="2847"/>
      <c r="AL110" s="2847"/>
      <c r="AM110" s="2847"/>
      <c r="AN110" s="2847"/>
      <c r="AO110" s="2847"/>
      <c r="AP110" s="2847"/>
      <c r="AQ110" s="2847"/>
      <c r="AR110" s="2847"/>
      <c r="AS110" s="2847"/>
      <c r="AT110" s="2847"/>
      <c r="AU110" s="1177"/>
      <c r="AV110" s="790">
        <f t="shared" si="11"/>
        <v>0</v>
      </c>
      <c r="AW110" s="790">
        <f t="shared" si="12"/>
        <v>0</v>
      </c>
      <c r="AX110" s="790">
        <f t="shared" si="13"/>
        <v>0</v>
      </c>
      <c r="AY110" s="1069">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4">
        <f t="shared" ref="BT110:BT141" si="60">IF($D110="是",AR110-AS110,0)</f>
        <v>0</v>
      </c>
    </row>
    <row r="111" spans="1:72">
      <c r="A111" s="1134"/>
      <c r="B111" s="1134"/>
      <c r="C111" s="1134"/>
      <c r="D111" s="2827"/>
      <c r="E111" s="2828">
        <f t="shared" si="7"/>
        <v>0</v>
      </c>
      <c r="F111" s="2847"/>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7"/>
      <c r="AE111" s="2847"/>
      <c r="AF111" s="2847"/>
      <c r="AG111" s="2847"/>
      <c r="AH111" s="2847"/>
      <c r="AI111" s="2847"/>
      <c r="AJ111" s="2847"/>
      <c r="AK111" s="2847"/>
      <c r="AL111" s="2847"/>
      <c r="AM111" s="2847"/>
      <c r="AN111" s="2847"/>
      <c r="AO111" s="2847"/>
      <c r="AP111" s="2847"/>
      <c r="AQ111" s="2847"/>
      <c r="AR111" s="2847"/>
      <c r="AS111" s="2847"/>
      <c r="AT111" s="2847"/>
      <c r="AU111" s="1177"/>
      <c r="AV111" s="790">
        <f t="shared" si="11"/>
        <v>0</v>
      </c>
      <c r="AW111" s="790">
        <f t="shared" si="12"/>
        <v>0</v>
      </c>
      <c r="AX111" s="790">
        <f t="shared" si="13"/>
        <v>0</v>
      </c>
      <c r="AY111" s="1069">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4">
        <f t="shared" si="60"/>
        <v>0</v>
      </c>
    </row>
    <row r="112" spans="1:72">
      <c r="A112" s="1134"/>
      <c r="B112" s="1134"/>
      <c r="C112" s="1134"/>
      <c r="D112" s="2827"/>
      <c r="E112" s="2828">
        <f t="shared" si="7"/>
        <v>0</v>
      </c>
      <c r="F112" s="2847"/>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7"/>
      <c r="AE112" s="2847"/>
      <c r="AF112" s="2847"/>
      <c r="AG112" s="2847"/>
      <c r="AH112" s="2847"/>
      <c r="AI112" s="2847"/>
      <c r="AJ112" s="2847"/>
      <c r="AK112" s="2847"/>
      <c r="AL112" s="2847"/>
      <c r="AM112" s="2847"/>
      <c r="AN112" s="2847"/>
      <c r="AO112" s="2847"/>
      <c r="AP112" s="2847"/>
      <c r="AQ112" s="2847"/>
      <c r="AR112" s="2847"/>
      <c r="AS112" s="2847"/>
      <c r="AT112" s="2847"/>
      <c r="AU112" s="1177"/>
      <c r="AV112" s="790">
        <f t="shared" si="11"/>
        <v>0</v>
      </c>
      <c r="AW112" s="790">
        <f t="shared" si="12"/>
        <v>0</v>
      </c>
      <c r="AX112" s="790">
        <f t="shared" si="13"/>
        <v>0</v>
      </c>
      <c r="AY112" s="1069">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4">
        <f t="shared" si="60"/>
        <v>0</v>
      </c>
    </row>
    <row r="113" spans="1:72">
      <c r="A113" s="1134"/>
      <c r="B113" s="1142"/>
      <c r="C113" s="1142"/>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7"/>
      <c r="AE113" s="2847"/>
      <c r="AF113" s="2847"/>
      <c r="AG113" s="2847"/>
      <c r="AH113" s="2847"/>
      <c r="AI113" s="2847"/>
      <c r="AJ113" s="2847"/>
      <c r="AK113" s="2847"/>
      <c r="AL113" s="2847"/>
      <c r="AM113" s="2847"/>
      <c r="AN113" s="2847"/>
      <c r="AO113" s="2847"/>
      <c r="AP113" s="2847"/>
      <c r="AQ113" s="2847"/>
      <c r="AR113" s="2847"/>
      <c r="AS113" s="2847"/>
      <c r="AT113" s="2829"/>
      <c r="AU113" s="2856"/>
      <c r="AV113" s="790">
        <f t="shared" ref="AV113:AV144" si="62">A113</f>
        <v>0</v>
      </c>
      <c r="AW113" s="790">
        <f t="shared" ref="AW113:AW144" si="63">B113</f>
        <v>0</v>
      </c>
      <c r="AX113" s="790">
        <f t="shared" ref="AX113:AX144" si="64">C113</f>
        <v>0</v>
      </c>
      <c r="AY113" s="1069">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4">
        <f t="shared" si="60"/>
        <v>0</v>
      </c>
    </row>
    <row r="114" spans="1:72">
      <c r="A114" s="1134"/>
      <c r="B114" s="1142"/>
      <c r="C114" s="1142"/>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7"/>
      <c r="AE114" s="2847"/>
      <c r="AF114" s="2847"/>
      <c r="AG114" s="2847"/>
      <c r="AH114" s="2847"/>
      <c r="AI114" s="2847"/>
      <c r="AJ114" s="2847"/>
      <c r="AK114" s="2847"/>
      <c r="AL114" s="2847"/>
      <c r="AM114" s="2847"/>
      <c r="AN114" s="2847"/>
      <c r="AO114" s="2847"/>
      <c r="AP114" s="2847"/>
      <c r="AQ114" s="2847"/>
      <c r="AR114" s="2847"/>
      <c r="AS114" s="2847"/>
      <c r="AT114" s="2829"/>
      <c r="AU114" s="2856"/>
      <c r="AV114" s="790">
        <f t="shared" si="62"/>
        <v>0</v>
      </c>
      <c r="AW114" s="790">
        <f t="shared" si="63"/>
        <v>0</v>
      </c>
      <c r="AX114" s="790">
        <f t="shared" si="64"/>
        <v>0</v>
      </c>
      <c r="AY114" s="1069">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4">
        <f t="shared" si="60"/>
        <v>0</v>
      </c>
    </row>
    <row r="115" spans="1:72">
      <c r="A115" s="1134"/>
      <c r="B115" s="1142"/>
      <c r="C115" s="1142"/>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7"/>
      <c r="AE115" s="2847"/>
      <c r="AF115" s="2847"/>
      <c r="AG115" s="2847"/>
      <c r="AH115" s="2847"/>
      <c r="AI115" s="2847"/>
      <c r="AJ115" s="2847"/>
      <c r="AK115" s="2847"/>
      <c r="AL115" s="2847"/>
      <c r="AM115" s="2847"/>
      <c r="AN115" s="2847"/>
      <c r="AO115" s="2847"/>
      <c r="AP115" s="2847"/>
      <c r="AQ115" s="2847"/>
      <c r="AR115" s="2847"/>
      <c r="AS115" s="2847"/>
      <c r="AT115" s="2829"/>
      <c r="AU115" s="2856"/>
      <c r="AV115" s="790">
        <f t="shared" si="62"/>
        <v>0</v>
      </c>
      <c r="AW115" s="790">
        <f t="shared" si="63"/>
        <v>0</v>
      </c>
      <c r="AX115" s="790">
        <f t="shared" si="64"/>
        <v>0</v>
      </c>
      <c r="AY115" s="1069">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4">
        <f t="shared" si="60"/>
        <v>0</v>
      </c>
    </row>
    <row r="116" spans="1:72">
      <c r="A116" s="1134"/>
      <c r="B116" s="1142"/>
      <c r="C116" s="1142"/>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7"/>
      <c r="AE116" s="2847"/>
      <c r="AF116" s="2847"/>
      <c r="AG116" s="2847"/>
      <c r="AH116" s="2847"/>
      <c r="AI116" s="2847"/>
      <c r="AJ116" s="2847"/>
      <c r="AK116" s="2847"/>
      <c r="AL116" s="2847"/>
      <c r="AM116" s="2847"/>
      <c r="AN116" s="2847"/>
      <c r="AO116" s="2847"/>
      <c r="AP116" s="2847"/>
      <c r="AQ116" s="2847"/>
      <c r="AR116" s="2847"/>
      <c r="AS116" s="2847"/>
      <c r="AT116" s="2829"/>
      <c r="AU116" s="2856"/>
      <c r="AV116" s="790">
        <f t="shared" si="62"/>
        <v>0</v>
      </c>
      <c r="AW116" s="790">
        <f t="shared" si="63"/>
        <v>0</v>
      </c>
      <c r="AX116" s="790">
        <f t="shared" si="64"/>
        <v>0</v>
      </c>
      <c r="AY116" s="1069">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4">
        <f t="shared" si="60"/>
        <v>0</v>
      </c>
    </row>
    <row r="117" spans="1:72">
      <c r="A117" s="1134"/>
      <c r="B117" s="1142"/>
      <c r="C117" s="1142"/>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7"/>
      <c r="AE117" s="2847"/>
      <c r="AF117" s="2847"/>
      <c r="AG117" s="2847"/>
      <c r="AH117" s="2847"/>
      <c r="AI117" s="2847"/>
      <c r="AJ117" s="2847"/>
      <c r="AK117" s="2847"/>
      <c r="AL117" s="2847"/>
      <c r="AM117" s="2847"/>
      <c r="AN117" s="2847"/>
      <c r="AO117" s="2847"/>
      <c r="AP117" s="2847"/>
      <c r="AQ117" s="2847"/>
      <c r="AR117" s="2847"/>
      <c r="AS117" s="2847"/>
      <c r="AT117" s="2829"/>
      <c r="AU117" s="2856"/>
      <c r="AV117" s="790">
        <f t="shared" si="62"/>
        <v>0</v>
      </c>
      <c r="AW117" s="790">
        <f t="shared" si="63"/>
        <v>0</v>
      </c>
      <c r="AX117" s="790">
        <f t="shared" si="64"/>
        <v>0</v>
      </c>
      <c r="AY117" s="1069">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4">
        <f t="shared" si="60"/>
        <v>0</v>
      </c>
    </row>
    <row r="118" spans="1:72">
      <c r="A118" s="1134"/>
      <c r="B118" s="1142"/>
      <c r="C118" s="1142"/>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7"/>
      <c r="AE118" s="2847"/>
      <c r="AF118" s="2847"/>
      <c r="AG118" s="2847"/>
      <c r="AH118" s="2847"/>
      <c r="AI118" s="2847"/>
      <c r="AJ118" s="2847"/>
      <c r="AK118" s="2847"/>
      <c r="AL118" s="2847"/>
      <c r="AM118" s="2847"/>
      <c r="AN118" s="2847"/>
      <c r="AO118" s="2847"/>
      <c r="AP118" s="2847"/>
      <c r="AQ118" s="2847"/>
      <c r="AR118" s="2847"/>
      <c r="AS118" s="2847"/>
      <c r="AT118" s="2829"/>
      <c r="AU118" s="2856"/>
      <c r="AV118" s="790">
        <f t="shared" si="62"/>
        <v>0</v>
      </c>
      <c r="AW118" s="790">
        <f t="shared" si="63"/>
        <v>0</v>
      </c>
      <c r="AX118" s="790">
        <f t="shared" si="64"/>
        <v>0</v>
      </c>
      <c r="AY118" s="1069">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4">
        <f t="shared" si="60"/>
        <v>0</v>
      </c>
    </row>
    <row r="119" spans="1:72">
      <c r="A119" s="1134"/>
      <c r="B119" s="1142"/>
      <c r="C119" s="1142"/>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7"/>
      <c r="AE119" s="2847"/>
      <c r="AF119" s="2847"/>
      <c r="AG119" s="2847"/>
      <c r="AH119" s="2847"/>
      <c r="AI119" s="2847"/>
      <c r="AJ119" s="2847"/>
      <c r="AK119" s="2847"/>
      <c r="AL119" s="2847"/>
      <c r="AM119" s="2847"/>
      <c r="AN119" s="2847"/>
      <c r="AO119" s="2847"/>
      <c r="AP119" s="2847"/>
      <c r="AQ119" s="2847"/>
      <c r="AR119" s="2847"/>
      <c r="AS119" s="2847"/>
      <c r="AT119" s="2829"/>
      <c r="AU119" s="2856"/>
      <c r="AV119" s="790">
        <f t="shared" si="62"/>
        <v>0</v>
      </c>
      <c r="AW119" s="790">
        <f t="shared" si="63"/>
        <v>0</v>
      </c>
      <c r="AX119" s="790">
        <f t="shared" si="64"/>
        <v>0</v>
      </c>
      <c r="AY119" s="1069">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4">
        <f t="shared" si="60"/>
        <v>0</v>
      </c>
    </row>
    <row r="120" spans="1:72">
      <c r="A120" s="1134"/>
      <c r="B120" s="1142"/>
      <c r="C120" s="1142"/>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7"/>
      <c r="AE120" s="2847"/>
      <c r="AF120" s="2847"/>
      <c r="AG120" s="2847"/>
      <c r="AH120" s="2847"/>
      <c r="AI120" s="2847"/>
      <c r="AJ120" s="2847"/>
      <c r="AK120" s="2847"/>
      <c r="AL120" s="2847"/>
      <c r="AM120" s="2847"/>
      <c r="AN120" s="2847"/>
      <c r="AO120" s="2847"/>
      <c r="AP120" s="2847"/>
      <c r="AQ120" s="2847"/>
      <c r="AR120" s="2847"/>
      <c r="AS120" s="2847"/>
      <c r="AT120" s="2829"/>
      <c r="AU120" s="2856"/>
      <c r="AV120" s="790">
        <f t="shared" si="62"/>
        <v>0</v>
      </c>
      <c r="AW120" s="790">
        <f t="shared" si="63"/>
        <v>0</v>
      </c>
      <c r="AX120" s="790">
        <f t="shared" si="64"/>
        <v>0</v>
      </c>
      <c r="AY120" s="1069">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4">
        <f t="shared" si="60"/>
        <v>0</v>
      </c>
    </row>
    <row r="121" spans="1:72">
      <c r="A121" s="1134"/>
      <c r="B121" s="1142"/>
      <c r="C121" s="1142"/>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7"/>
      <c r="AE121" s="2847"/>
      <c r="AF121" s="2847"/>
      <c r="AG121" s="2847"/>
      <c r="AH121" s="2847"/>
      <c r="AI121" s="2847"/>
      <c r="AJ121" s="2847"/>
      <c r="AK121" s="2847"/>
      <c r="AL121" s="2847"/>
      <c r="AM121" s="2847"/>
      <c r="AN121" s="2847"/>
      <c r="AO121" s="2847"/>
      <c r="AP121" s="2847"/>
      <c r="AQ121" s="2847"/>
      <c r="AR121" s="2847"/>
      <c r="AS121" s="2847"/>
      <c r="AT121" s="2829"/>
      <c r="AU121" s="2856"/>
      <c r="AV121" s="790">
        <f t="shared" si="62"/>
        <v>0</v>
      </c>
      <c r="AW121" s="790">
        <f t="shared" si="63"/>
        <v>0</v>
      </c>
      <c r="AX121" s="790">
        <f t="shared" si="64"/>
        <v>0</v>
      </c>
      <c r="AY121" s="1069">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4">
        <f t="shared" si="60"/>
        <v>0</v>
      </c>
    </row>
    <row r="122" spans="1:72">
      <c r="A122" s="1134"/>
      <c r="B122" s="1142"/>
      <c r="C122" s="1142"/>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7"/>
      <c r="AE122" s="2847"/>
      <c r="AF122" s="2847"/>
      <c r="AG122" s="2847"/>
      <c r="AH122" s="2847"/>
      <c r="AI122" s="2847"/>
      <c r="AJ122" s="2847"/>
      <c r="AK122" s="2847"/>
      <c r="AL122" s="2847"/>
      <c r="AM122" s="2847"/>
      <c r="AN122" s="2847"/>
      <c r="AO122" s="2847"/>
      <c r="AP122" s="2847"/>
      <c r="AQ122" s="2847"/>
      <c r="AR122" s="2847"/>
      <c r="AS122" s="2847"/>
      <c r="AT122" s="2829"/>
      <c r="AU122" s="2856"/>
      <c r="AV122" s="790">
        <f t="shared" si="62"/>
        <v>0</v>
      </c>
      <c r="AW122" s="790">
        <f t="shared" si="63"/>
        <v>0</v>
      </c>
      <c r="AX122" s="790">
        <f t="shared" si="64"/>
        <v>0</v>
      </c>
      <c r="AY122" s="1069">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4">
        <f t="shared" si="60"/>
        <v>0</v>
      </c>
    </row>
    <row r="123" spans="1:72">
      <c r="A123" s="1134"/>
      <c r="B123" s="1142"/>
      <c r="C123" s="1142"/>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7"/>
      <c r="AE123" s="2847"/>
      <c r="AF123" s="2847"/>
      <c r="AG123" s="2847"/>
      <c r="AH123" s="2847"/>
      <c r="AI123" s="2847"/>
      <c r="AJ123" s="2847"/>
      <c r="AK123" s="2847"/>
      <c r="AL123" s="2847"/>
      <c r="AM123" s="2847"/>
      <c r="AN123" s="2847"/>
      <c r="AO123" s="2847"/>
      <c r="AP123" s="2847"/>
      <c r="AQ123" s="2847"/>
      <c r="AR123" s="2847"/>
      <c r="AS123" s="2847"/>
      <c r="AT123" s="2829"/>
      <c r="AU123" s="2856"/>
      <c r="AV123" s="790">
        <f t="shared" si="62"/>
        <v>0</v>
      </c>
      <c r="AW123" s="790">
        <f t="shared" si="63"/>
        <v>0</v>
      </c>
      <c r="AX123" s="790">
        <f t="shared" si="64"/>
        <v>0</v>
      </c>
      <c r="AY123" s="1069">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4">
        <f t="shared" si="60"/>
        <v>0</v>
      </c>
    </row>
    <row r="124" spans="1:72">
      <c r="A124" s="1134"/>
      <c r="B124" s="1142"/>
      <c r="C124" s="1142"/>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7"/>
      <c r="AE124" s="2847"/>
      <c r="AF124" s="2847"/>
      <c r="AG124" s="2847"/>
      <c r="AH124" s="2847"/>
      <c r="AI124" s="2847"/>
      <c r="AJ124" s="2847"/>
      <c r="AK124" s="2847"/>
      <c r="AL124" s="2847"/>
      <c r="AM124" s="2847"/>
      <c r="AN124" s="2847"/>
      <c r="AO124" s="2847"/>
      <c r="AP124" s="2847"/>
      <c r="AQ124" s="2847"/>
      <c r="AR124" s="2847"/>
      <c r="AS124" s="2847"/>
      <c r="AT124" s="2829"/>
      <c r="AU124" s="2856"/>
      <c r="AV124" s="790">
        <f t="shared" si="62"/>
        <v>0</v>
      </c>
      <c r="AW124" s="790">
        <f t="shared" si="63"/>
        <v>0</v>
      </c>
      <c r="AX124" s="790">
        <f t="shared" si="64"/>
        <v>0</v>
      </c>
      <c r="AY124" s="1069">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4">
        <f t="shared" si="60"/>
        <v>0</v>
      </c>
    </row>
    <row r="125" spans="1:72">
      <c r="A125" s="1134"/>
      <c r="B125" s="1142"/>
      <c r="C125" s="1142"/>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7"/>
      <c r="AE125" s="2847"/>
      <c r="AF125" s="2847"/>
      <c r="AG125" s="2847"/>
      <c r="AH125" s="2847"/>
      <c r="AI125" s="2847"/>
      <c r="AJ125" s="2847"/>
      <c r="AK125" s="2847"/>
      <c r="AL125" s="2847"/>
      <c r="AM125" s="2847"/>
      <c r="AN125" s="2847"/>
      <c r="AO125" s="2847"/>
      <c r="AP125" s="2847"/>
      <c r="AQ125" s="2847"/>
      <c r="AR125" s="2847"/>
      <c r="AS125" s="2847"/>
      <c r="AT125" s="2829"/>
      <c r="AU125" s="2856"/>
      <c r="AV125" s="790">
        <f t="shared" si="62"/>
        <v>0</v>
      </c>
      <c r="AW125" s="790">
        <f t="shared" si="63"/>
        <v>0</v>
      </c>
      <c r="AX125" s="790">
        <f t="shared" si="64"/>
        <v>0</v>
      </c>
      <c r="AY125" s="1069">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4">
        <f t="shared" si="60"/>
        <v>0</v>
      </c>
    </row>
    <row r="126" spans="1:72">
      <c r="A126" s="1134"/>
      <c r="B126" s="1142"/>
      <c r="C126" s="1142"/>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7"/>
      <c r="AE126" s="2847"/>
      <c r="AF126" s="2847"/>
      <c r="AG126" s="2847"/>
      <c r="AH126" s="2847"/>
      <c r="AI126" s="2847"/>
      <c r="AJ126" s="2847"/>
      <c r="AK126" s="2847"/>
      <c r="AL126" s="2847"/>
      <c r="AM126" s="2847"/>
      <c r="AN126" s="2847"/>
      <c r="AO126" s="2847"/>
      <c r="AP126" s="2847"/>
      <c r="AQ126" s="2847"/>
      <c r="AR126" s="2847"/>
      <c r="AS126" s="2847"/>
      <c r="AT126" s="2829"/>
      <c r="AU126" s="2856"/>
      <c r="AV126" s="790">
        <f t="shared" si="62"/>
        <v>0</v>
      </c>
      <c r="AW126" s="790">
        <f t="shared" si="63"/>
        <v>0</v>
      </c>
      <c r="AX126" s="790">
        <f t="shared" si="64"/>
        <v>0</v>
      </c>
      <c r="AY126" s="1069">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4">
        <f t="shared" si="60"/>
        <v>0</v>
      </c>
    </row>
    <row r="127" spans="1:72">
      <c r="A127" s="1134"/>
      <c r="B127" s="1142"/>
      <c r="C127" s="1142"/>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7"/>
      <c r="AE127" s="2847"/>
      <c r="AF127" s="2847"/>
      <c r="AG127" s="2847"/>
      <c r="AH127" s="2847"/>
      <c r="AI127" s="2847"/>
      <c r="AJ127" s="2847"/>
      <c r="AK127" s="2847"/>
      <c r="AL127" s="2847"/>
      <c r="AM127" s="2847"/>
      <c r="AN127" s="2847"/>
      <c r="AO127" s="2847"/>
      <c r="AP127" s="2847"/>
      <c r="AQ127" s="2847"/>
      <c r="AR127" s="2847"/>
      <c r="AS127" s="2847"/>
      <c r="AT127" s="2829"/>
      <c r="AU127" s="2856"/>
      <c r="AV127" s="790">
        <f t="shared" si="62"/>
        <v>0</v>
      </c>
      <c r="AW127" s="790">
        <f t="shared" si="63"/>
        <v>0</v>
      </c>
      <c r="AX127" s="790">
        <f t="shared" si="64"/>
        <v>0</v>
      </c>
      <c r="AY127" s="1069">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4">
        <f t="shared" si="60"/>
        <v>0</v>
      </c>
    </row>
    <row r="128" spans="1:72">
      <c r="A128" s="1134"/>
      <c r="B128" s="1142"/>
      <c r="C128" s="1142"/>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7"/>
      <c r="AE128" s="2847"/>
      <c r="AF128" s="2847"/>
      <c r="AG128" s="2847"/>
      <c r="AH128" s="2847"/>
      <c r="AI128" s="2847"/>
      <c r="AJ128" s="2847"/>
      <c r="AK128" s="2847"/>
      <c r="AL128" s="2847"/>
      <c r="AM128" s="2847"/>
      <c r="AN128" s="2847"/>
      <c r="AO128" s="2847"/>
      <c r="AP128" s="2847"/>
      <c r="AQ128" s="2847"/>
      <c r="AR128" s="2847"/>
      <c r="AS128" s="2847"/>
      <c r="AT128" s="2829"/>
      <c r="AU128" s="2856"/>
      <c r="AV128" s="790">
        <f t="shared" si="62"/>
        <v>0</v>
      </c>
      <c r="AW128" s="790">
        <f t="shared" si="63"/>
        <v>0</v>
      </c>
      <c r="AX128" s="790">
        <f t="shared" si="64"/>
        <v>0</v>
      </c>
      <c r="AY128" s="1069">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4">
        <f t="shared" si="60"/>
        <v>0</v>
      </c>
    </row>
    <row r="129" spans="1:72">
      <c r="A129" s="1134"/>
      <c r="B129" s="1142"/>
      <c r="C129" s="1142"/>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7"/>
      <c r="AE129" s="2847"/>
      <c r="AF129" s="2847"/>
      <c r="AG129" s="2847"/>
      <c r="AH129" s="2847"/>
      <c r="AI129" s="2847"/>
      <c r="AJ129" s="2847"/>
      <c r="AK129" s="2847"/>
      <c r="AL129" s="2847"/>
      <c r="AM129" s="2847"/>
      <c r="AN129" s="2847"/>
      <c r="AO129" s="2847"/>
      <c r="AP129" s="2847"/>
      <c r="AQ129" s="2847"/>
      <c r="AR129" s="2847"/>
      <c r="AS129" s="2847"/>
      <c r="AT129" s="2829"/>
      <c r="AU129" s="2856"/>
      <c r="AV129" s="790">
        <f t="shared" si="62"/>
        <v>0</v>
      </c>
      <c r="AW129" s="790">
        <f t="shared" si="63"/>
        <v>0</v>
      </c>
      <c r="AX129" s="790">
        <f t="shared" si="64"/>
        <v>0</v>
      </c>
      <c r="AY129" s="1069">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4">
        <f t="shared" si="60"/>
        <v>0</v>
      </c>
    </row>
    <row r="130" spans="1:72">
      <c r="A130" s="1134"/>
      <c r="B130" s="1142"/>
      <c r="C130" s="1142"/>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7"/>
      <c r="AE130" s="2847"/>
      <c r="AF130" s="2847"/>
      <c r="AG130" s="2847"/>
      <c r="AH130" s="2847"/>
      <c r="AI130" s="2847"/>
      <c r="AJ130" s="2847"/>
      <c r="AK130" s="2847"/>
      <c r="AL130" s="2847"/>
      <c r="AM130" s="2847"/>
      <c r="AN130" s="2847"/>
      <c r="AO130" s="2847"/>
      <c r="AP130" s="2847"/>
      <c r="AQ130" s="2847"/>
      <c r="AR130" s="2847"/>
      <c r="AS130" s="2847"/>
      <c r="AT130" s="2829"/>
      <c r="AU130" s="2856"/>
      <c r="AV130" s="790">
        <f t="shared" si="62"/>
        <v>0</v>
      </c>
      <c r="AW130" s="790">
        <f t="shared" si="63"/>
        <v>0</v>
      </c>
      <c r="AX130" s="790">
        <f t="shared" si="64"/>
        <v>0</v>
      </c>
      <c r="AY130" s="1069">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4">
        <f t="shared" si="60"/>
        <v>0</v>
      </c>
    </row>
    <row r="131" spans="1:72">
      <c r="A131" s="1134"/>
      <c r="B131" s="1142"/>
      <c r="C131" s="1142"/>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7"/>
      <c r="AE131" s="2847"/>
      <c r="AF131" s="2847"/>
      <c r="AG131" s="2847"/>
      <c r="AH131" s="2847"/>
      <c r="AI131" s="2847"/>
      <c r="AJ131" s="2847"/>
      <c r="AK131" s="2847"/>
      <c r="AL131" s="2847"/>
      <c r="AM131" s="2847"/>
      <c r="AN131" s="2847"/>
      <c r="AO131" s="2847"/>
      <c r="AP131" s="2847"/>
      <c r="AQ131" s="2847"/>
      <c r="AR131" s="2847"/>
      <c r="AS131" s="2847"/>
      <c r="AT131" s="2829"/>
      <c r="AU131" s="2856"/>
      <c r="AV131" s="790">
        <f t="shared" si="62"/>
        <v>0</v>
      </c>
      <c r="AW131" s="790">
        <f t="shared" si="63"/>
        <v>0</v>
      </c>
      <c r="AX131" s="790">
        <f t="shared" si="64"/>
        <v>0</v>
      </c>
      <c r="AY131" s="1069">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4">
        <f t="shared" si="60"/>
        <v>0</v>
      </c>
    </row>
    <row r="132" spans="1:72">
      <c r="A132" s="1134"/>
      <c r="B132" s="1142"/>
      <c r="C132" s="1142"/>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7"/>
      <c r="AE132" s="2847"/>
      <c r="AF132" s="2847"/>
      <c r="AG132" s="2847"/>
      <c r="AH132" s="2847"/>
      <c r="AI132" s="2847"/>
      <c r="AJ132" s="2847"/>
      <c r="AK132" s="2847"/>
      <c r="AL132" s="2847"/>
      <c r="AM132" s="2847"/>
      <c r="AN132" s="2847"/>
      <c r="AO132" s="2847"/>
      <c r="AP132" s="2847"/>
      <c r="AQ132" s="2847"/>
      <c r="AR132" s="2847"/>
      <c r="AS132" s="2847"/>
      <c r="AT132" s="2829"/>
      <c r="AU132" s="2856"/>
      <c r="AV132" s="790">
        <f t="shared" si="62"/>
        <v>0</v>
      </c>
      <c r="AW132" s="790">
        <f t="shared" si="63"/>
        <v>0</v>
      </c>
      <c r="AX132" s="790">
        <f t="shared" si="64"/>
        <v>0</v>
      </c>
      <c r="AY132" s="1069">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4">
        <f t="shared" si="60"/>
        <v>0</v>
      </c>
    </row>
    <row r="133" spans="1:72">
      <c r="A133" s="1134"/>
      <c r="B133" s="1142"/>
      <c r="C133" s="1142"/>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7"/>
      <c r="AE133" s="2847"/>
      <c r="AF133" s="2847"/>
      <c r="AG133" s="2847"/>
      <c r="AH133" s="2847"/>
      <c r="AI133" s="2847"/>
      <c r="AJ133" s="2847"/>
      <c r="AK133" s="2847"/>
      <c r="AL133" s="2847"/>
      <c r="AM133" s="2847"/>
      <c r="AN133" s="2847"/>
      <c r="AO133" s="2847"/>
      <c r="AP133" s="2847"/>
      <c r="AQ133" s="2847"/>
      <c r="AR133" s="2847"/>
      <c r="AS133" s="2847"/>
      <c r="AT133" s="2829"/>
      <c r="AU133" s="2856"/>
      <c r="AV133" s="790">
        <f t="shared" si="62"/>
        <v>0</v>
      </c>
      <c r="AW133" s="790">
        <f t="shared" si="63"/>
        <v>0</v>
      </c>
      <c r="AX133" s="790">
        <f t="shared" si="64"/>
        <v>0</v>
      </c>
      <c r="AY133" s="1069">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4">
        <f t="shared" si="60"/>
        <v>0</v>
      </c>
    </row>
    <row r="134" spans="1:72">
      <c r="A134" s="1134"/>
      <c r="B134" s="1142"/>
      <c r="C134" s="1142"/>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7"/>
      <c r="AE134" s="2847"/>
      <c r="AF134" s="2847"/>
      <c r="AG134" s="2847"/>
      <c r="AH134" s="2847"/>
      <c r="AI134" s="2847"/>
      <c r="AJ134" s="2847"/>
      <c r="AK134" s="2847"/>
      <c r="AL134" s="2847"/>
      <c r="AM134" s="2847"/>
      <c r="AN134" s="2847"/>
      <c r="AO134" s="2847"/>
      <c r="AP134" s="2847"/>
      <c r="AQ134" s="2847"/>
      <c r="AR134" s="2847"/>
      <c r="AS134" s="2847"/>
      <c r="AT134" s="2829"/>
      <c r="AU134" s="2856"/>
      <c r="AV134" s="790">
        <f t="shared" si="62"/>
        <v>0</v>
      </c>
      <c r="AW134" s="790">
        <f t="shared" si="63"/>
        <v>0</v>
      </c>
      <c r="AX134" s="790">
        <f t="shared" si="64"/>
        <v>0</v>
      </c>
      <c r="AY134" s="1069">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4">
        <f t="shared" si="60"/>
        <v>0</v>
      </c>
    </row>
    <row r="135" spans="1:72">
      <c r="A135" s="1134"/>
      <c r="B135" s="1142"/>
      <c r="C135" s="1142"/>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7"/>
      <c r="AE135" s="2847"/>
      <c r="AF135" s="2847"/>
      <c r="AG135" s="2847"/>
      <c r="AH135" s="2847"/>
      <c r="AI135" s="2847"/>
      <c r="AJ135" s="2847"/>
      <c r="AK135" s="2847"/>
      <c r="AL135" s="2847"/>
      <c r="AM135" s="2847"/>
      <c r="AN135" s="2847"/>
      <c r="AO135" s="2847"/>
      <c r="AP135" s="2847"/>
      <c r="AQ135" s="2847"/>
      <c r="AR135" s="2847"/>
      <c r="AS135" s="2847"/>
      <c r="AT135" s="2829"/>
      <c r="AU135" s="2856"/>
      <c r="AV135" s="790">
        <f t="shared" si="62"/>
        <v>0</v>
      </c>
      <c r="AW135" s="790">
        <f t="shared" si="63"/>
        <v>0</v>
      </c>
      <c r="AX135" s="790">
        <f t="shared" si="64"/>
        <v>0</v>
      </c>
      <c r="AY135" s="1069">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4">
        <f t="shared" si="60"/>
        <v>0</v>
      </c>
    </row>
    <row r="136" spans="1:72">
      <c r="A136" s="1134"/>
      <c r="B136" s="1142"/>
      <c r="C136" s="1142"/>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7"/>
      <c r="AE136" s="2847"/>
      <c r="AF136" s="2847"/>
      <c r="AG136" s="2847"/>
      <c r="AH136" s="2847"/>
      <c r="AI136" s="2847"/>
      <c r="AJ136" s="2847"/>
      <c r="AK136" s="2847"/>
      <c r="AL136" s="2847"/>
      <c r="AM136" s="2847"/>
      <c r="AN136" s="2847"/>
      <c r="AO136" s="2847"/>
      <c r="AP136" s="2847"/>
      <c r="AQ136" s="2847"/>
      <c r="AR136" s="2847"/>
      <c r="AS136" s="2847"/>
      <c r="AT136" s="2829"/>
      <c r="AU136" s="2856"/>
      <c r="AV136" s="790">
        <f t="shared" si="62"/>
        <v>0</v>
      </c>
      <c r="AW136" s="790">
        <f t="shared" si="63"/>
        <v>0</v>
      </c>
      <c r="AX136" s="790">
        <f t="shared" si="64"/>
        <v>0</v>
      </c>
      <c r="AY136" s="1069">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4">
        <f t="shared" si="60"/>
        <v>0</v>
      </c>
    </row>
    <row r="137" spans="1:72">
      <c r="A137" s="1134"/>
      <c r="B137" s="1142"/>
      <c r="C137" s="1142"/>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7"/>
      <c r="AE137" s="2847"/>
      <c r="AF137" s="2847"/>
      <c r="AG137" s="2847"/>
      <c r="AH137" s="2847"/>
      <c r="AI137" s="2847"/>
      <c r="AJ137" s="2847"/>
      <c r="AK137" s="2847"/>
      <c r="AL137" s="2847"/>
      <c r="AM137" s="2847"/>
      <c r="AN137" s="2847"/>
      <c r="AO137" s="2847"/>
      <c r="AP137" s="2847"/>
      <c r="AQ137" s="2847"/>
      <c r="AR137" s="2847"/>
      <c r="AS137" s="2847"/>
      <c r="AT137" s="2829"/>
      <c r="AU137" s="2856"/>
      <c r="AV137" s="790">
        <f t="shared" si="62"/>
        <v>0</v>
      </c>
      <c r="AW137" s="790">
        <f t="shared" si="63"/>
        <v>0</v>
      </c>
      <c r="AX137" s="790">
        <f t="shared" si="64"/>
        <v>0</v>
      </c>
      <c r="AY137" s="1069">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4">
        <f t="shared" si="60"/>
        <v>0</v>
      </c>
    </row>
    <row r="138" spans="1:72">
      <c r="A138" s="1134"/>
      <c r="B138" s="1142"/>
      <c r="C138" s="1142"/>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7"/>
      <c r="AE138" s="2847"/>
      <c r="AF138" s="2847"/>
      <c r="AG138" s="2847"/>
      <c r="AH138" s="2847"/>
      <c r="AI138" s="2847"/>
      <c r="AJ138" s="2847"/>
      <c r="AK138" s="2847"/>
      <c r="AL138" s="2847"/>
      <c r="AM138" s="2847"/>
      <c r="AN138" s="2847"/>
      <c r="AO138" s="2847"/>
      <c r="AP138" s="2847"/>
      <c r="AQ138" s="2847"/>
      <c r="AR138" s="2847"/>
      <c r="AS138" s="2847"/>
      <c r="AT138" s="2829"/>
      <c r="AU138" s="2856"/>
      <c r="AV138" s="790">
        <f t="shared" si="62"/>
        <v>0</v>
      </c>
      <c r="AW138" s="790">
        <f t="shared" si="63"/>
        <v>0</v>
      </c>
      <c r="AX138" s="790">
        <f t="shared" si="64"/>
        <v>0</v>
      </c>
      <c r="AY138" s="1069">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4">
        <f t="shared" si="60"/>
        <v>0</v>
      </c>
    </row>
    <row r="139" spans="1:72">
      <c r="A139" s="1134"/>
      <c r="B139" s="1142"/>
      <c r="C139" s="1142"/>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7"/>
      <c r="AE139" s="2847"/>
      <c r="AF139" s="2847"/>
      <c r="AG139" s="2847"/>
      <c r="AH139" s="2847"/>
      <c r="AI139" s="2847"/>
      <c r="AJ139" s="2847"/>
      <c r="AK139" s="2847"/>
      <c r="AL139" s="2847"/>
      <c r="AM139" s="2847"/>
      <c r="AN139" s="2847"/>
      <c r="AO139" s="2847"/>
      <c r="AP139" s="2847"/>
      <c r="AQ139" s="2847"/>
      <c r="AR139" s="2847"/>
      <c r="AS139" s="2847"/>
      <c r="AT139" s="2829"/>
      <c r="AU139" s="2856"/>
      <c r="AV139" s="790">
        <f t="shared" si="62"/>
        <v>0</v>
      </c>
      <c r="AW139" s="790">
        <f t="shared" si="63"/>
        <v>0</v>
      </c>
      <c r="AX139" s="790">
        <f t="shared" si="64"/>
        <v>0</v>
      </c>
      <c r="AY139" s="1069">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4">
        <f t="shared" si="60"/>
        <v>0</v>
      </c>
    </row>
    <row r="140" spans="1:72">
      <c r="A140" s="1134"/>
      <c r="B140" s="1142"/>
      <c r="C140" s="1142"/>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7"/>
      <c r="AE140" s="2847"/>
      <c r="AF140" s="2847"/>
      <c r="AG140" s="2847"/>
      <c r="AH140" s="2847"/>
      <c r="AI140" s="2847"/>
      <c r="AJ140" s="2847"/>
      <c r="AK140" s="2847"/>
      <c r="AL140" s="2847"/>
      <c r="AM140" s="2847"/>
      <c r="AN140" s="2847"/>
      <c r="AO140" s="2847"/>
      <c r="AP140" s="2847"/>
      <c r="AQ140" s="2847"/>
      <c r="AR140" s="2847"/>
      <c r="AS140" s="2847"/>
      <c r="AT140" s="2829"/>
      <c r="AU140" s="2856"/>
      <c r="AV140" s="790">
        <f t="shared" si="62"/>
        <v>0</v>
      </c>
      <c r="AW140" s="790">
        <f t="shared" si="63"/>
        <v>0</v>
      </c>
      <c r="AX140" s="790">
        <f t="shared" si="64"/>
        <v>0</v>
      </c>
      <c r="AY140" s="1069">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4">
        <f t="shared" si="60"/>
        <v>0</v>
      </c>
    </row>
    <row r="141" spans="1:72">
      <c r="A141" s="1134"/>
      <c r="B141" s="1142"/>
      <c r="C141" s="1142"/>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7"/>
      <c r="AE141" s="2847"/>
      <c r="AF141" s="2847"/>
      <c r="AG141" s="2847"/>
      <c r="AH141" s="2847"/>
      <c r="AI141" s="2847"/>
      <c r="AJ141" s="2847"/>
      <c r="AK141" s="2847"/>
      <c r="AL141" s="2847"/>
      <c r="AM141" s="2847"/>
      <c r="AN141" s="2847"/>
      <c r="AO141" s="2847"/>
      <c r="AP141" s="2847"/>
      <c r="AQ141" s="2847"/>
      <c r="AR141" s="2847"/>
      <c r="AS141" s="2847"/>
      <c r="AT141" s="2829"/>
      <c r="AU141" s="2856"/>
      <c r="AV141" s="790">
        <f t="shared" si="62"/>
        <v>0</v>
      </c>
      <c r="AW141" s="790">
        <f t="shared" si="63"/>
        <v>0</v>
      </c>
      <c r="AX141" s="790">
        <f t="shared" si="64"/>
        <v>0</v>
      </c>
      <c r="AY141" s="1069">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4">
        <f t="shared" si="60"/>
        <v>0</v>
      </c>
    </row>
    <row r="142" spans="1:72">
      <c r="A142" s="1134"/>
      <c r="B142" s="1142"/>
      <c r="C142" s="1142"/>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7"/>
      <c r="AE142" s="2847"/>
      <c r="AF142" s="2847"/>
      <c r="AG142" s="2847"/>
      <c r="AH142" s="2847"/>
      <c r="AI142" s="2847"/>
      <c r="AJ142" s="2847"/>
      <c r="AK142" s="2847"/>
      <c r="AL142" s="2847"/>
      <c r="AM142" s="2847"/>
      <c r="AN142" s="2847"/>
      <c r="AO142" s="2847"/>
      <c r="AP142" s="2847"/>
      <c r="AQ142" s="2847"/>
      <c r="AR142" s="2847"/>
      <c r="AS142" s="2847"/>
      <c r="AT142" s="2829"/>
      <c r="AU142" s="2856"/>
      <c r="AV142" s="790">
        <f t="shared" si="62"/>
        <v>0</v>
      </c>
      <c r="AW142" s="790">
        <f t="shared" si="63"/>
        <v>0</v>
      </c>
      <c r="AX142" s="790">
        <f t="shared" si="64"/>
        <v>0</v>
      </c>
      <c r="AY142" s="1069">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4">
        <f t="shared" ref="BT142:BT173" si="89">IF($D142="是",AR142-AS142,0)</f>
        <v>0</v>
      </c>
    </row>
    <row r="143" spans="1:72">
      <c r="A143" s="1134"/>
      <c r="B143" s="1142"/>
      <c r="C143" s="1142"/>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7"/>
      <c r="AE143" s="2847"/>
      <c r="AF143" s="2847"/>
      <c r="AG143" s="2847"/>
      <c r="AH143" s="2847"/>
      <c r="AI143" s="2847"/>
      <c r="AJ143" s="2847"/>
      <c r="AK143" s="2847"/>
      <c r="AL143" s="2847"/>
      <c r="AM143" s="2847"/>
      <c r="AN143" s="2847"/>
      <c r="AO143" s="2847"/>
      <c r="AP143" s="2847"/>
      <c r="AQ143" s="2847"/>
      <c r="AR143" s="2847"/>
      <c r="AS143" s="2847"/>
      <c r="AT143" s="2829"/>
      <c r="AU143" s="2856"/>
      <c r="AV143" s="790">
        <f t="shared" si="62"/>
        <v>0</v>
      </c>
      <c r="AW143" s="790">
        <f t="shared" si="63"/>
        <v>0</v>
      </c>
      <c r="AX143" s="790">
        <f t="shared" si="64"/>
        <v>0</v>
      </c>
      <c r="AY143" s="1069">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4">
        <f t="shared" si="89"/>
        <v>0</v>
      </c>
    </row>
    <row r="144" spans="1:72">
      <c r="A144" s="1134"/>
      <c r="B144" s="1142"/>
      <c r="C144" s="1142"/>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7"/>
      <c r="AE144" s="2847"/>
      <c r="AF144" s="2847"/>
      <c r="AG144" s="2847"/>
      <c r="AH144" s="2847"/>
      <c r="AI144" s="2847"/>
      <c r="AJ144" s="2847"/>
      <c r="AK144" s="2847"/>
      <c r="AL144" s="2847"/>
      <c r="AM144" s="2847"/>
      <c r="AN144" s="2847"/>
      <c r="AO144" s="2847"/>
      <c r="AP144" s="2847"/>
      <c r="AQ144" s="2847"/>
      <c r="AR144" s="2847"/>
      <c r="AS144" s="2847"/>
      <c r="AT144" s="2829"/>
      <c r="AU144" s="2856"/>
      <c r="AV144" s="790">
        <f t="shared" si="62"/>
        <v>0</v>
      </c>
      <c r="AW144" s="790">
        <f t="shared" si="63"/>
        <v>0</v>
      </c>
      <c r="AX144" s="790">
        <f t="shared" si="64"/>
        <v>0</v>
      </c>
      <c r="AY144" s="1069">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4">
        <f t="shared" si="89"/>
        <v>0</v>
      </c>
    </row>
    <row r="145" spans="1:72">
      <c r="A145" s="1134"/>
      <c r="B145" s="1142"/>
      <c r="C145" s="1142"/>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7"/>
      <c r="AE145" s="2847"/>
      <c r="AF145" s="2847"/>
      <c r="AG145" s="2847"/>
      <c r="AH145" s="2847"/>
      <c r="AI145" s="2847"/>
      <c r="AJ145" s="2847"/>
      <c r="AK145" s="2847"/>
      <c r="AL145" s="2847"/>
      <c r="AM145" s="2847"/>
      <c r="AN145" s="2847"/>
      <c r="AO145" s="2847"/>
      <c r="AP145" s="2847"/>
      <c r="AQ145" s="2847"/>
      <c r="AR145" s="2847"/>
      <c r="AS145" s="2847"/>
      <c r="AT145" s="2829"/>
      <c r="AU145" s="2856"/>
      <c r="AV145" s="790">
        <f t="shared" ref="AV145:AV176" si="91">A145</f>
        <v>0</v>
      </c>
      <c r="AW145" s="790">
        <f t="shared" ref="AW145:AW176" si="92">B145</f>
        <v>0</v>
      </c>
      <c r="AX145" s="790">
        <f t="shared" ref="AX145:AX176" si="93">C145</f>
        <v>0</v>
      </c>
      <c r="AY145" s="1069">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4">
        <f t="shared" si="89"/>
        <v>0</v>
      </c>
    </row>
    <row r="146" spans="1:72">
      <c r="A146" s="1134"/>
      <c r="B146" s="1142"/>
      <c r="C146" s="1142"/>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7"/>
      <c r="AE146" s="2847"/>
      <c r="AF146" s="2847"/>
      <c r="AG146" s="2847"/>
      <c r="AH146" s="2847"/>
      <c r="AI146" s="2847"/>
      <c r="AJ146" s="2847"/>
      <c r="AK146" s="2847"/>
      <c r="AL146" s="2847"/>
      <c r="AM146" s="2847"/>
      <c r="AN146" s="2847"/>
      <c r="AO146" s="2847"/>
      <c r="AP146" s="2847"/>
      <c r="AQ146" s="2847"/>
      <c r="AR146" s="2847"/>
      <c r="AS146" s="2847"/>
      <c r="AT146" s="2829"/>
      <c r="AU146" s="2856"/>
      <c r="AV146" s="790">
        <f t="shared" si="91"/>
        <v>0</v>
      </c>
      <c r="AW146" s="790">
        <f t="shared" si="92"/>
        <v>0</v>
      </c>
      <c r="AX146" s="790">
        <f t="shared" si="93"/>
        <v>0</v>
      </c>
      <c r="AY146" s="1069">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4">
        <f t="shared" si="89"/>
        <v>0</v>
      </c>
    </row>
    <row r="147" spans="1:72">
      <c r="A147" s="1134"/>
      <c r="B147" s="1142"/>
      <c r="C147" s="1142"/>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7"/>
      <c r="AE147" s="2847"/>
      <c r="AF147" s="2847"/>
      <c r="AG147" s="2847"/>
      <c r="AH147" s="2847"/>
      <c r="AI147" s="2847"/>
      <c r="AJ147" s="2847"/>
      <c r="AK147" s="2847"/>
      <c r="AL147" s="2847"/>
      <c r="AM147" s="2847"/>
      <c r="AN147" s="2847"/>
      <c r="AO147" s="2847"/>
      <c r="AP147" s="2847"/>
      <c r="AQ147" s="2847"/>
      <c r="AR147" s="2847"/>
      <c r="AS147" s="2847"/>
      <c r="AT147" s="2829"/>
      <c r="AU147" s="2856"/>
      <c r="AV147" s="790">
        <f t="shared" si="91"/>
        <v>0</v>
      </c>
      <c r="AW147" s="790">
        <f t="shared" si="92"/>
        <v>0</v>
      </c>
      <c r="AX147" s="790">
        <f t="shared" si="93"/>
        <v>0</v>
      </c>
      <c r="AY147" s="1069">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4">
        <f t="shared" si="89"/>
        <v>0</v>
      </c>
    </row>
    <row r="148" spans="1:72">
      <c r="A148" s="1134"/>
      <c r="B148" s="1142"/>
      <c r="C148" s="1142"/>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7"/>
      <c r="AE148" s="2847"/>
      <c r="AF148" s="2847"/>
      <c r="AG148" s="2847"/>
      <c r="AH148" s="2847"/>
      <c r="AI148" s="2847"/>
      <c r="AJ148" s="2847"/>
      <c r="AK148" s="2847"/>
      <c r="AL148" s="2847"/>
      <c r="AM148" s="2847"/>
      <c r="AN148" s="2847"/>
      <c r="AO148" s="2847"/>
      <c r="AP148" s="2847"/>
      <c r="AQ148" s="2847"/>
      <c r="AR148" s="2847"/>
      <c r="AS148" s="2847"/>
      <c r="AT148" s="2829"/>
      <c r="AU148" s="2856"/>
      <c r="AV148" s="790">
        <f t="shared" si="91"/>
        <v>0</v>
      </c>
      <c r="AW148" s="790">
        <f t="shared" si="92"/>
        <v>0</v>
      </c>
      <c r="AX148" s="790">
        <f t="shared" si="93"/>
        <v>0</v>
      </c>
      <c r="AY148" s="1069">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4">
        <f t="shared" si="89"/>
        <v>0</v>
      </c>
    </row>
    <row r="149" spans="1:72">
      <c r="A149" s="1134"/>
      <c r="B149" s="1142"/>
      <c r="C149" s="1142"/>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7"/>
      <c r="AE149" s="2847"/>
      <c r="AF149" s="2847"/>
      <c r="AG149" s="2847"/>
      <c r="AH149" s="2847"/>
      <c r="AI149" s="2847"/>
      <c r="AJ149" s="2847"/>
      <c r="AK149" s="2847"/>
      <c r="AL149" s="2847"/>
      <c r="AM149" s="2847"/>
      <c r="AN149" s="2847"/>
      <c r="AO149" s="2847"/>
      <c r="AP149" s="2847"/>
      <c r="AQ149" s="2847"/>
      <c r="AR149" s="2847"/>
      <c r="AS149" s="2847"/>
      <c r="AT149" s="2829"/>
      <c r="AU149" s="2856"/>
      <c r="AV149" s="790">
        <f t="shared" si="91"/>
        <v>0</v>
      </c>
      <c r="AW149" s="790">
        <f t="shared" si="92"/>
        <v>0</v>
      </c>
      <c r="AX149" s="790">
        <f t="shared" si="93"/>
        <v>0</v>
      </c>
      <c r="AY149" s="1069">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4">
        <f t="shared" si="89"/>
        <v>0</v>
      </c>
    </row>
    <row r="150" spans="1:72">
      <c r="A150" s="1134"/>
      <c r="B150" s="1142"/>
      <c r="C150" s="1142"/>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7"/>
      <c r="AE150" s="2847"/>
      <c r="AF150" s="2847"/>
      <c r="AG150" s="2847"/>
      <c r="AH150" s="2847"/>
      <c r="AI150" s="2847"/>
      <c r="AJ150" s="2847"/>
      <c r="AK150" s="2847"/>
      <c r="AL150" s="2847"/>
      <c r="AM150" s="2847"/>
      <c r="AN150" s="2847"/>
      <c r="AO150" s="2847"/>
      <c r="AP150" s="2847"/>
      <c r="AQ150" s="2847"/>
      <c r="AR150" s="2847"/>
      <c r="AS150" s="2847"/>
      <c r="AT150" s="2829"/>
      <c r="AU150" s="2856"/>
      <c r="AV150" s="790">
        <f t="shared" si="91"/>
        <v>0</v>
      </c>
      <c r="AW150" s="790">
        <f t="shared" si="92"/>
        <v>0</v>
      </c>
      <c r="AX150" s="790">
        <f t="shared" si="93"/>
        <v>0</v>
      </c>
      <c r="AY150" s="1069">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4">
        <f t="shared" si="89"/>
        <v>0</v>
      </c>
    </row>
    <row r="151" spans="1:72">
      <c r="A151" s="1134"/>
      <c r="B151" s="1142"/>
      <c r="C151" s="1142"/>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7"/>
      <c r="AE151" s="2847"/>
      <c r="AF151" s="2847"/>
      <c r="AG151" s="2847"/>
      <c r="AH151" s="2847"/>
      <c r="AI151" s="2847"/>
      <c r="AJ151" s="2847"/>
      <c r="AK151" s="2847"/>
      <c r="AL151" s="2847"/>
      <c r="AM151" s="2847"/>
      <c r="AN151" s="2847"/>
      <c r="AO151" s="2847"/>
      <c r="AP151" s="2847"/>
      <c r="AQ151" s="2847"/>
      <c r="AR151" s="2847"/>
      <c r="AS151" s="2847"/>
      <c r="AT151" s="2829"/>
      <c r="AU151" s="2856"/>
      <c r="AV151" s="790">
        <f t="shared" si="91"/>
        <v>0</v>
      </c>
      <c r="AW151" s="790">
        <f t="shared" si="92"/>
        <v>0</v>
      </c>
      <c r="AX151" s="790">
        <f t="shared" si="93"/>
        <v>0</v>
      </c>
      <c r="AY151" s="1069">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4">
        <f t="shared" si="89"/>
        <v>0</v>
      </c>
    </row>
    <row r="152" spans="1:72">
      <c r="A152" s="1134"/>
      <c r="B152" s="1142"/>
      <c r="C152" s="1142"/>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7"/>
      <c r="AE152" s="2847"/>
      <c r="AF152" s="2847"/>
      <c r="AG152" s="2847"/>
      <c r="AH152" s="2847"/>
      <c r="AI152" s="2847"/>
      <c r="AJ152" s="2847"/>
      <c r="AK152" s="2847"/>
      <c r="AL152" s="2847"/>
      <c r="AM152" s="2847"/>
      <c r="AN152" s="2847"/>
      <c r="AO152" s="2847"/>
      <c r="AP152" s="2847"/>
      <c r="AQ152" s="2847"/>
      <c r="AR152" s="2847"/>
      <c r="AS152" s="2847"/>
      <c r="AT152" s="2829"/>
      <c r="AU152" s="2856"/>
      <c r="AV152" s="790">
        <f t="shared" si="91"/>
        <v>0</v>
      </c>
      <c r="AW152" s="790">
        <f t="shared" si="92"/>
        <v>0</v>
      </c>
      <c r="AX152" s="790">
        <f t="shared" si="93"/>
        <v>0</v>
      </c>
      <c r="AY152" s="1069">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4">
        <f t="shared" si="89"/>
        <v>0</v>
      </c>
    </row>
    <row r="153" spans="1:72">
      <c r="A153" s="1134"/>
      <c r="B153" s="1142"/>
      <c r="C153" s="1142"/>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7"/>
      <c r="AE153" s="2847"/>
      <c r="AF153" s="2847"/>
      <c r="AG153" s="2847"/>
      <c r="AH153" s="2847"/>
      <c r="AI153" s="2847"/>
      <c r="AJ153" s="2847"/>
      <c r="AK153" s="2847"/>
      <c r="AL153" s="2847"/>
      <c r="AM153" s="2847"/>
      <c r="AN153" s="2847"/>
      <c r="AO153" s="2847"/>
      <c r="AP153" s="2847"/>
      <c r="AQ153" s="2847"/>
      <c r="AR153" s="2847"/>
      <c r="AS153" s="2847"/>
      <c r="AT153" s="2829"/>
      <c r="AU153" s="2856"/>
      <c r="AV153" s="790">
        <f t="shared" si="91"/>
        <v>0</v>
      </c>
      <c r="AW153" s="790">
        <f t="shared" si="92"/>
        <v>0</v>
      </c>
      <c r="AX153" s="790">
        <f t="shared" si="93"/>
        <v>0</v>
      </c>
      <c r="AY153" s="1069">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4">
        <f t="shared" si="89"/>
        <v>0</v>
      </c>
    </row>
    <row r="154" spans="1:72">
      <c r="A154" s="1134"/>
      <c r="B154" s="1142"/>
      <c r="C154" s="1142"/>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7"/>
      <c r="AE154" s="2847"/>
      <c r="AF154" s="2847"/>
      <c r="AG154" s="2847"/>
      <c r="AH154" s="2847"/>
      <c r="AI154" s="2847"/>
      <c r="AJ154" s="2847"/>
      <c r="AK154" s="2847"/>
      <c r="AL154" s="2847"/>
      <c r="AM154" s="2847"/>
      <c r="AN154" s="2847"/>
      <c r="AO154" s="2847"/>
      <c r="AP154" s="2847"/>
      <c r="AQ154" s="2847"/>
      <c r="AR154" s="2847"/>
      <c r="AS154" s="2847"/>
      <c r="AT154" s="2829"/>
      <c r="AU154" s="2856"/>
      <c r="AV154" s="790">
        <f t="shared" si="91"/>
        <v>0</v>
      </c>
      <c r="AW154" s="790">
        <f t="shared" si="92"/>
        <v>0</v>
      </c>
      <c r="AX154" s="790">
        <f t="shared" si="93"/>
        <v>0</v>
      </c>
      <c r="AY154" s="1069">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4">
        <f t="shared" si="89"/>
        <v>0</v>
      </c>
    </row>
    <row r="155" spans="1:72">
      <c r="A155" s="1134"/>
      <c r="B155" s="1142"/>
      <c r="C155" s="1142"/>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7"/>
      <c r="AE155" s="2847"/>
      <c r="AF155" s="2847"/>
      <c r="AG155" s="2847"/>
      <c r="AH155" s="2847"/>
      <c r="AI155" s="2847"/>
      <c r="AJ155" s="2847"/>
      <c r="AK155" s="2847"/>
      <c r="AL155" s="2847"/>
      <c r="AM155" s="2847"/>
      <c r="AN155" s="2847"/>
      <c r="AO155" s="2847"/>
      <c r="AP155" s="2847"/>
      <c r="AQ155" s="2847"/>
      <c r="AR155" s="2847"/>
      <c r="AS155" s="2847"/>
      <c r="AT155" s="2829"/>
      <c r="AU155" s="2856"/>
      <c r="AV155" s="790">
        <f t="shared" si="91"/>
        <v>0</v>
      </c>
      <c r="AW155" s="790">
        <f t="shared" si="92"/>
        <v>0</v>
      </c>
      <c r="AX155" s="790">
        <f t="shared" si="93"/>
        <v>0</v>
      </c>
      <c r="AY155" s="1069">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4">
        <f t="shared" si="89"/>
        <v>0</v>
      </c>
    </row>
    <row r="156" spans="1:72">
      <c r="A156" s="1134"/>
      <c r="B156" s="1142"/>
      <c r="C156" s="1142"/>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7"/>
      <c r="AE156" s="2847"/>
      <c r="AF156" s="2847"/>
      <c r="AG156" s="2847"/>
      <c r="AH156" s="2847"/>
      <c r="AI156" s="2847"/>
      <c r="AJ156" s="2847"/>
      <c r="AK156" s="2847"/>
      <c r="AL156" s="2847"/>
      <c r="AM156" s="2847"/>
      <c r="AN156" s="2847"/>
      <c r="AO156" s="2847"/>
      <c r="AP156" s="2847"/>
      <c r="AQ156" s="2847"/>
      <c r="AR156" s="2847"/>
      <c r="AS156" s="2847"/>
      <c r="AT156" s="2829"/>
      <c r="AU156" s="2856"/>
      <c r="AV156" s="790">
        <f t="shared" si="91"/>
        <v>0</v>
      </c>
      <c r="AW156" s="790">
        <f t="shared" si="92"/>
        <v>0</v>
      </c>
      <c r="AX156" s="790">
        <f t="shared" si="93"/>
        <v>0</v>
      </c>
      <c r="AY156" s="1069">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4">
        <f t="shared" si="89"/>
        <v>0</v>
      </c>
    </row>
    <row r="157" spans="1:72">
      <c r="A157" s="1134"/>
      <c r="B157" s="1142"/>
      <c r="C157" s="1142"/>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7"/>
      <c r="AE157" s="2847"/>
      <c r="AF157" s="2847"/>
      <c r="AG157" s="2847"/>
      <c r="AH157" s="2847"/>
      <c r="AI157" s="2847"/>
      <c r="AJ157" s="2847"/>
      <c r="AK157" s="2847"/>
      <c r="AL157" s="2847"/>
      <c r="AM157" s="2847"/>
      <c r="AN157" s="2847"/>
      <c r="AO157" s="2847"/>
      <c r="AP157" s="2847"/>
      <c r="AQ157" s="2847"/>
      <c r="AR157" s="2847"/>
      <c r="AS157" s="2847"/>
      <c r="AT157" s="2829"/>
      <c r="AU157" s="2856"/>
      <c r="AV157" s="790">
        <f t="shared" si="91"/>
        <v>0</v>
      </c>
      <c r="AW157" s="790">
        <f t="shared" si="92"/>
        <v>0</v>
      </c>
      <c r="AX157" s="790">
        <f t="shared" si="93"/>
        <v>0</v>
      </c>
      <c r="AY157" s="1069">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4">
        <f t="shared" si="89"/>
        <v>0</v>
      </c>
    </row>
    <row r="158" spans="1:72">
      <c r="A158" s="1134"/>
      <c r="B158" s="1142"/>
      <c r="C158" s="1142"/>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7"/>
      <c r="AE158" s="2847"/>
      <c r="AF158" s="2847"/>
      <c r="AG158" s="2847"/>
      <c r="AH158" s="2847"/>
      <c r="AI158" s="2847"/>
      <c r="AJ158" s="2847"/>
      <c r="AK158" s="2847"/>
      <c r="AL158" s="2847"/>
      <c r="AM158" s="2847"/>
      <c r="AN158" s="2847"/>
      <c r="AO158" s="2847"/>
      <c r="AP158" s="2847"/>
      <c r="AQ158" s="2847"/>
      <c r="AR158" s="2847"/>
      <c r="AS158" s="2847"/>
      <c r="AT158" s="2829"/>
      <c r="AU158" s="2856"/>
      <c r="AV158" s="790">
        <f t="shared" si="91"/>
        <v>0</v>
      </c>
      <c r="AW158" s="790">
        <f t="shared" si="92"/>
        <v>0</v>
      </c>
      <c r="AX158" s="790">
        <f t="shared" si="93"/>
        <v>0</v>
      </c>
      <c r="AY158" s="1069">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4">
        <f t="shared" si="89"/>
        <v>0</v>
      </c>
    </row>
    <row r="159" spans="1:72">
      <c r="A159" s="1134"/>
      <c r="B159" s="1142"/>
      <c r="C159" s="1142"/>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7"/>
      <c r="AE159" s="2847"/>
      <c r="AF159" s="2847"/>
      <c r="AG159" s="2847"/>
      <c r="AH159" s="2847"/>
      <c r="AI159" s="2847"/>
      <c r="AJ159" s="2847"/>
      <c r="AK159" s="2847"/>
      <c r="AL159" s="2847"/>
      <c r="AM159" s="2847"/>
      <c r="AN159" s="2847"/>
      <c r="AO159" s="2847"/>
      <c r="AP159" s="2847"/>
      <c r="AQ159" s="2847"/>
      <c r="AR159" s="2847"/>
      <c r="AS159" s="2847"/>
      <c r="AT159" s="2829"/>
      <c r="AU159" s="2856"/>
      <c r="AV159" s="790">
        <f t="shared" si="91"/>
        <v>0</v>
      </c>
      <c r="AW159" s="790">
        <f t="shared" si="92"/>
        <v>0</v>
      </c>
      <c r="AX159" s="790">
        <f t="shared" si="93"/>
        <v>0</v>
      </c>
      <c r="AY159" s="1069">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4">
        <f t="shared" si="89"/>
        <v>0</v>
      </c>
    </row>
    <row r="160" spans="1:72">
      <c r="A160" s="1134"/>
      <c r="B160" s="1142"/>
      <c r="C160" s="1142"/>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7"/>
      <c r="AE160" s="2847"/>
      <c r="AF160" s="2847"/>
      <c r="AG160" s="2847"/>
      <c r="AH160" s="2847"/>
      <c r="AI160" s="2847"/>
      <c r="AJ160" s="2847"/>
      <c r="AK160" s="2847"/>
      <c r="AL160" s="2847"/>
      <c r="AM160" s="2847"/>
      <c r="AN160" s="2847"/>
      <c r="AO160" s="2847"/>
      <c r="AP160" s="2847"/>
      <c r="AQ160" s="2847"/>
      <c r="AR160" s="2847"/>
      <c r="AS160" s="2847"/>
      <c r="AT160" s="2829"/>
      <c r="AU160" s="2856"/>
      <c r="AV160" s="790">
        <f t="shared" si="91"/>
        <v>0</v>
      </c>
      <c r="AW160" s="790">
        <f t="shared" si="92"/>
        <v>0</v>
      </c>
      <c r="AX160" s="790">
        <f t="shared" si="93"/>
        <v>0</v>
      </c>
      <c r="AY160" s="1069">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4">
        <f t="shared" si="89"/>
        <v>0</v>
      </c>
    </row>
    <row r="161" spans="1:72">
      <c r="A161" s="1134"/>
      <c r="B161" s="1142"/>
      <c r="C161" s="1142"/>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7"/>
      <c r="AE161" s="2847"/>
      <c r="AF161" s="2847"/>
      <c r="AG161" s="2847"/>
      <c r="AH161" s="2847"/>
      <c r="AI161" s="2847"/>
      <c r="AJ161" s="2847"/>
      <c r="AK161" s="2847"/>
      <c r="AL161" s="2847"/>
      <c r="AM161" s="2847"/>
      <c r="AN161" s="2847"/>
      <c r="AO161" s="2847"/>
      <c r="AP161" s="2847"/>
      <c r="AQ161" s="2847"/>
      <c r="AR161" s="2847"/>
      <c r="AS161" s="2847"/>
      <c r="AT161" s="2829"/>
      <c r="AU161" s="2856"/>
      <c r="AV161" s="790">
        <f t="shared" si="91"/>
        <v>0</v>
      </c>
      <c r="AW161" s="790">
        <f t="shared" si="92"/>
        <v>0</v>
      </c>
      <c r="AX161" s="790">
        <f t="shared" si="93"/>
        <v>0</v>
      </c>
      <c r="AY161" s="1069">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4">
        <f t="shared" si="89"/>
        <v>0</v>
      </c>
    </row>
    <row r="162" spans="1:72">
      <c r="A162" s="1134"/>
      <c r="B162" s="1142"/>
      <c r="C162" s="1142"/>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7"/>
      <c r="AE162" s="2847"/>
      <c r="AF162" s="2847"/>
      <c r="AG162" s="2847"/>
      <c r="AH162" s="2847"/>
      <c r="AI162" s="2847"/>
      <c r="AJ162" s="2847"/>
      <c r="AK162" s="2847"/>
      <c r="AL162" s="2847"/>
      <c r="AM162" s="2847"/>
      <c r="AN162" s="2847"/>
      <c r="AO162" s="2847"/>
      <c r="AP162" s="2847"/>
      <c r="AQ162" s="2847"/>
      <c r="AR162" s="2847"/>
      <c r="AS162" s="2847"/>
      <c r="AT162" s="2829"/>
      <c r="AU162" s="2856"/>
      <c r="AV162" s="790">
        <f t="shared" si="91"/>
        <v>0</v>
      </c>
      <c r="AW162" s="790">
        <f t="shared" si="92"/>
        <v>0</v>
      </c>
      <c r="AX162" s="790">
        <f t="shared" si="93"/>
        <v>0</v>
      </c>
      <c r="AY162" s="1069">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4">
        <f t="shared" si="89"/>
        <v>0</v>
      </c>
    </row>
    <row r="163" spans="1:72">
      <c r="A163" s="1134"/>
      <c r="B163" s="1142"/>
      <c r="C163" s="1142"/>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7"/>
      <c r="AE163" s="2847"/>
      <c r="AF163" s="2847"/>
      <c r="AG163" s="2847"/>
      <c r="AH163" s="2847"/>
      <c r="AI163" s="2847"/>
      <c r="AJ163" s="2847"/>
      <c r="AK163" s="2847"/>
      <c r="AL163" s="2847"/>
      <c r="AM163" s="2847"/>
      <c r="AN163" s="2847"/>
      <c r="AO163" s="2847"/>
      <c r="AP163" s="2847"/>
      <c r="AQ163" s="2847"/>
      <c r="AR163" s="2847"/>
      <c r="AS163" s="2847"/>
      <c r="AT163" s="2829"/>
      <c r="AU163" s="2856"/>
      <c r="AV163" s="790">
        <f t="shared" si="91"/>
        <v>0</v>
      </c>
      <c r="AW163" s="790">
        <f t="shared" si="92"/>
        <v>0</v>
      </c>
      <c r="AX163" s="790">
        <f t="shared" si="93"/>
        <v>0</v>
      </c>
      <c r="AY163" s="1069">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4">
        <f t="shared" si="89"/>
        <v>0</v>
      </c>
    </row>
    <row r="164" spans="1:72">
      <c r="A164" s="1134"/>
      <c r="B164" s="1142"/>
      <c r="C164" s="1142"/>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7"/>
      <c r="AE164" s="2847"/>
      <c r="AF164" s="2847"/>
      <c r="AG164" s="2847"/>
      <c r="AH164" s="2847"/>
      <c r="AI164" s="2847"/>
      <c r="AJ164" s="2847"/>
      <c r="AK164" s="2847"/>
      <c r="AL164" s="2847"/>
      <c r="AM164" s="2847"/>
      <c r="AN164" s="2847"/>
      <c r="AO164" s="2847"/>
      <c r="AP164" s="2847"/>
      <c r="AQ164" s="2847"/>
      <c r="AR164" s="2847"/>
      <c r="AS164" s="2847"/>
      <c r="AT164" s="2829"/>
      <c r="AU164" s="2856"/>
      <c r="AV164" s="790">
        <f t="shared" si="91"/>
        <v>0</v>
      </c>
      <c r="AW164" s="790">
        <f t="shared" si="92"/>
        <v>0</v>
      </c>
      <c r="AX164" s="790">
        <f t="shared" si="93"/>
        <v>0</v>
      </c>
      <c r="AY164" s="1069">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4">
        <f t="shared" si="89"/>
        <v>0</v>
      </c>
    </row>
    <row r="165" spans="1:72">
      <c r="A165" s="1134"/>
      <c r="B165" s="1142"/>
      <c r="C165" s="1142"/>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7"/>
      <c r="AE165" s="2847"/>
      <c r="AF165" s="2847"/>
      <c r="AG165" s="2847"/>
      <c r="AH165" s="2847"/>
      <c r="AI165" s="2847"/>
      <c r="AJ165" s="2847"/>
      <c r="AK165" s="2847"/>
      <c r="AL165" s="2847"/>
      <c r="AM165" s="2847"/>
      <c r="AN165" s="2847"/>
      <c r="AO165" s="2847"/>
      <c r="AP165" s="2847"/>
      <c r="AQ165" s="2847"/>
      <c r="AR165" s="2847"/>
      <c r="AS165" s="2847"/>
      <c r="AT165" s="2829"/>
      <c r="AU165" s="2856"/>
      <c r="AV165" s="790">
        <f t="shared" si="91"/>
        <v>0</v>
      </c>
      <c r="AW165" s="790">
        <f t="shared" si="92"/>
        <v>0</v>
      </c>
      <c r="AX165" s="790">
        <f t="shared" si="93"/>
        <v>0</v>
      </c>
      <c r="AY165" s="1069">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4">
        <f t="shared" si="89"/>
        <v>0</v>
      </c>
    </row>
    <row r="166" spans="1:72">
      <c r="A166" s="1134"/>
      <c r="B166" s="1142"/>
      <c r="C166" s="1142"/>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7"/>
      <c r="AE166" s="2847"/>
      <c r="AF166" s="2847"/>
      <c r="AG166" s="2847"/>
      <c r="AH166" s="2847"/>
      <c r="AI166" s="2847"/>
      <c r="AJ166" s="2847"/>
      <c r="AK166" s="2847"/>
      <c r="AL166" s="2847"/>
      <c r="AM166" s="2847"/>
      <c r="AN166" s="2847"/>
      <c r="AO166" s="2847"/>
      <c r="AP166" s="2847"/>
      <c r="AQ166" s="2847"/>
      <c r="AR166" s="2847"/>
      <c r="AS166" s="2847"/>
      <c r="AT166" s="2829"/>
      <c r="AU166" s="2856"/>
      <c r="AV166" s="790">
        <f t="shared" si="91"/>
        <v>0</v>
      </c>
      <c r="AW166" s="790">
        <f t="shared" si="92"/>
        <v>0</v>
      </c>
      <c r="AX166" s="790">
        <f t="shared" si="93"/>
        <v>0</v>
      </c>
      <c r="AY166" s="1069">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4">
        <f t="shared" si="89"/>
        <v>0</v>
      </c>
    </row>
    <row r="167" spans="1:72">
      <c r="A167" s="1134"/>
      <c r="B167" s="1142"/>
      <c r="C167" s="1142"/>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7"/>
      <c r="AE167" s="2847"/>
      <c r="AF167" s="2847"/>
      <c r="AG167" s="2847"/>
      <c r="AH167" s="2847"/>
      <c r="AI167" s="2847"/>
      <c r="AJ167" s="2847"/>
      <c r="AK167" s="2847"/>
      <c r="AL167" s="2847"/>
      <c r="AM167" s="2847"/>
      <c r="AN167" s="2847"/>
      <c r="AO167" s="2847"/>
      <c r="AP167" s="2847"/>
      <c r="AQ167" s="2847"/>
      <c r="AR167" s="2847"/>
      <c r="AS167" s="2847"/>
      <c r="AT167" s="2829"/>
      <c r="AU167" s="2856"/>
      <c r="AV167" s="790">
        <f t="shared" si="91"/>
        <v>0</v>
      </c>
      <c r="AW167" s="790">
        <f t="shared" si="92"/>
        <v>0</v>
      </c>
      <c r="AX167" s="790">
        <f t="shared" si="93"/>
        <v>0</v>
      </c>
      <c r="AY167" s="1069">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4">
        <f t="shared" si="89"/>
        <v>0</v>
      </c>
    </row>
    <row r="168" spans="1:72">
      <c r="A168" s="1134"/>
      <c r="B168" s="1142"/>
      <c r="C168" s="1142"/>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7"/>
      <c r="AE168" s="2847"/>
      <c r="AF168" s="2847"/>
      <c r="AG168" s="2847"/>
      <c r="AH168" s="2847"/>
      <c r="AI168" s="2847"/>
      <c r="AJ168" s="2847"/>
      <c r="AK168" s="2847"/>
      <c r="AL168" s="2847"/>
      <c r="AM168" s="2847"/>
      <c r="AN168" s="2847"/>
      <c r="AO168" s="2847"/>
      <c r="AP168" s="2847"/>
      <c r="AQ168" s="2847"/>
      <c r="AR168" s="2847"/>
      <c r="AS168" s="2847"/>
      <c r="AT168" s="2829"/>
      <c r="AU168" s="2856"/>
      <c r="AV168" s="790">
        <f t="shared" si="91"/>
        <v>0</v>
      </c>
      <c r="AW168" s="790">
        <f t="shared" si="92"/>
        <v>0</v>
      </c>
      <c r="AX168" s="790">
        <f t="shared" si="93"/>
        <v>0</v>
      </c>
      <c r="AY168" s="1069">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4">
        <f t="shared" si="89"/>
        <v>0</v>
      </c>
    </row>
    <row r="169" spans="1:72">
      <c r="A169" s="1134"/>
      <c r="B169" s="1142"/>
      <c r="C169" s="1142"/>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7"/>
      <c r="AE169" s="2847"/>
      <c r="AF169" s="2847"/>
      <c r="AG169" s="2847"/>
      <c r="AH169" s="2847"/>
      <c r="AI169" s="2847"/>
      <c r="AJ169" s="2847"/>
      <c r="AK169" s="2847"/>
      <c r="AL169" s="2847"/>
      <c r="AM169" s="2847"/>
      <c r="AN169" s="2847"/>
      <c r="AO169" s="2847"/>
      <c r="AP169" s="2847"/>
      <c r="AQ169" s="2847"/>
      <c r="AR169" s="2847"/>
      <c r="AS169" s="2847"/>
      <c r="AT169" s="2829"/>
      <c r="AU169" s="2856"/>
      <c r="AV169" s="790">
        <f t="shared" si="91"/>
        <v>0</v>
      </c>
      <c r="AW169" s="790">
        <f t="shared" si="92"/>
        <v>0</v>
      </c>
      <c r="AX169" s="790">
        <f t="shared" si="93"/>
        <v>0</v>
      </c>
      <c r="AY169" s="1069">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4">
        <f t="shared" si="89"/>
        <v>0</v>
      </c>
    </row>
    <row r="170" spans="1:72">
      <c r="A170" s="1134"/>
      <c r="B170" s="1142"/>
      <c r="C170" s="1142"/>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7"/>
      <c r="AE170" s="2847"/>
      <c r="AF170" s="2847"/>
      <c r="AG170" s="2847"/>
      <c r="AH170" s="2847"/>
      <c r="AI170" s="2847"/>
      <c r="AJ170" s="2847"/>
      <c r="AK170" s="2847"/>
      <c r="AL170" s="2847"/>
      <c r="AM170" s="2847"/>
      <c r="AN170" s="2847"/>
      <c r="AO170" s="2847"/>
      <c r="AP170" s="2847"/>
      <c r="AQ170" s="2847"/>
      <c r="AR170" s="2847"/>
      <c r="AS170" s="2847"/>
      <c r="AT170" s="2829"/>
      <c r="AU170" s="2856"/>
      <c r="AV170" s="790">
        <f t="shared" si="91"/>
        <v>0</v>
      </c>
      <c r="AW170" s="790">
        <f t="shared" si="92"/>
        <v>0</v>
      </c>
      <c r="AX170" s="790">
        <f t="shared" si="93"/>
        <v>0</v>
      </c>
      <c r="AY170" s="1069">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4">
        <f t="shared" si="89"/>
        <v>0</v>
      </c>
    </row>
    <row r="171" spans="1:72">
      <c r="A171" s="1134"/>
      <c r="B171" s="1142"/>
      <c r="C171" s="1142"/>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7"/>
      <c r="AE171" s="2847"/>
      <c r="AF171" s="2847"/>
      <c r="AG171" s="2847"/>
      <c r="AH171" s="2847"/>
      <c r="AI171" s="2847"/>
      <c r="AJ171" s="2847"/>
      <c r="AK171" s="2847"/>
      <c r="AL171" s="2847"/>
      <c r="AM171" s="2847"/>
      <c r="AN171" s="2847"/>
      <c r="AO171" s="2847"/>
      <c r="AP171" s="2847"/>
      <c r="AQ171" s="2847"/>
      <c r="AR171" s="2847"/>
      <c r="AS171" s="2847"/>
      <c r="AT171" s="2829"/>
      <c r="AU171" s="2856"/>
      <c r="AV171" s="790">
        <f t="shared" si="91"/>
        <v>0</v>
      </c>
      <c r="AW171" s="790">
        <f t="shared" si="92"/>
        <v>0</v>
      </c>
      <c r="AX171" s="790">
        <f t="shared" si="93"/>
        <v>0</v>
      </c>
      <c r="AY171" s="1069">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4">
        <f t="shared" si="89"/>
        <v>0</v>
      </c>
    </row>
    <row r="172" spans="1:72">
      <c r="A172" s="1134"/>
      <c r="B172" s="1142"/>
      <c r="C172" s="1142"/>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7"/>
      <c r="AE172" s="2847"/>
      <c r="AF172" s="2847"/>
      <c r="AG172" s="2847"/>
      <c r="AH172" s="2847"/>
      <c r="AI172" s="2847"/>
      <c r="AJ172" s="2847"/>
      <c r="AK172" s="2847"/>
      <c r="AL172" s="2847"/>
      <c r="AM172" s="2847"/>
      <c r="AN172" s="2847"/>
      <c r="AO172" s="2847"/>
      <c r="AP172" s="2847"/>
      <c r="AQ172" s="2847"/>
      <c r="AR172" s="2847"/>
      <c r="AS172" s="2847"/>
      <c r="AT172" s="2829"/>
      <c r="AU172" s="2856"/>
      <c r="AV172" s="790">
        <f t="shared" si="91"/>
        <v>0</v>
      </c>
      <c r="AW172" s="790">
        <f t="shared" si="92"/>
        <v>0</v>
      </c>
      <c r="AX172" s="790">
        <f t="shared" si="93"/>
        <v>0</v>
      </c>
      <c r="AY172" s="1069">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4">
        <f t="shared" si="89"/>
        <v>0</v>
      </c>
    </row>
    <row r="173" spans="1:72">
      <c r="A173" s="1134"/>
      <c r="B173" s="1142"/>
      <c r="C173" s="1142"/>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7"/>
      <c r="AE173" s="2847"/>
      <c r="AF173" s="2847"/>
      <c r="AG173" s="2847"/>
      <c r="AH173" s="2847"/>
      <c r="AI173" s="2847"/>
      <c r="AJ173" s="2847"/>
      <c r="AK173" s="2847"/>
      <c r="AL173" s="2847"/>
      <c r="AM173" s="2847"/>
      <c r="AN173" s="2847"/>
      <c r="AO173" s="2847"/>
      <c r="AP173" s="2847"/>
      <c r="AQ173" s="2847"/>
      <c r="AR173" s="2847"/>
      <c r="AS173" s="2847"/>
      <c r="AT173" s="2829"/>
      <c r="AU173" s="2856"/>
      <c r="AV173" s="790">
        <f t="shared" si="91"/>
        <v>0</v>
      </c>
      <c r="AW173" s="790">
        <f t="shared" si="92"/>
        <v>0</v>
      </c>
      <c r="AX173" s="790">
        <f t="shared" si="93"/>
        <v>0</v>
      </c>
      <c r="AY173" s="1069">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4">
        <f t="shared" si="89"/>
        <v>0</v>
      </c>
    </row>
    <row r="174" spans="1:72">
      <c r="A174" s="1134"/>
      <c r="B174" s="1142"/>
      <c r="C174" s="1142"/>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7"/>
      <c r="AE174" s="2847"/>
      <c r="AF174" s="2847"/>
      <c r="AG174" s="2847"/>
      <c r="AH174" s="2847"/>
      <c r="AI174" s="2847"/>
      <c r="AJ174" s="2847"/>
      <c r="AK174" s="2847"/>
      <c r="AL174" s="2847"/>
      <c r="AM174" s="2847"/>
      <c r="AN174" s="2847"/>
      <c r="AO174" s="2847"/>
      <c r="AP174" s="2847"/>
      <c r="AQ174" s="2847"/>
      <c r="AR174" s="2847"/>
      <c r="AS174" s="2847"/>
      <c r="AT174" s="2829"/>
      <c r="AU174" s="2856"/>
      <c r="AV174" s="790">
        <f t="shared" si="91"/>
        <v>0</v>
      </c>
      <c r="AW174" s="790">
        <f t="shared" si="92"/>
        <v>0</v>
      </c>
      <c r="AX174" s="790">
        <f t="shared" si="93"/>
        <v>0</v>
      </c>
      <c r="AY174" s="1069">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4">
        <f t="shared" ref="BT174:BT207" si="118">IF($D174="是",AR174-AS174,0)</f>
        <v>0</v>
      </c>
    </row>
    <row r="175" spans="1:72">
      <c r="A175" s="1134"/>
      <c r="B175" s="1142"/>
      <c r="C175" s="1142"/>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7"/>
      <c r="AE175" s="2847"/>
      <c r="AF175" s="2847"/>
      <c r="AG175" s="2847"/>
      <c r="AH175" s="2847"/>
      <c r="AI175" s="2847"/>
      <c r="AJ175" s="2847"/>
      <c r="AK175" s="2847"/>
      <c r="AL175" s="2847"/>
      <c r="AM175" s="2847"/>
      <c r="AN175" s="2847"/>
      <c r="AO175" s="2847"/>
      <c r="AP175" s="2847"/>
      <c r="AQ175" s="2847"/>
      <c r="AR175" s="2847"/>
      <c r="AS175" s="2847"/>
      <c r="AT175" s="2829"/>
      <c r="AU175" s="2856"/>
      <c r="AV175" s="790">
        <f t="shared" si="91"/>
        <v>0</v>
      </c>
      <c r="AW175" s="790">
        <f t="shared" si="92"/>
        <v>0</v>
      </c>
      <c r="AX175" s="790">
        <f t="shared" si="93"/>
        <v>0</v>
      </c>
      <c r="AY175" s="1069">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4">
        <f t="shared" si="118"/>
        <v>0</v>
      </c>
    </row>
    <row r="176" spans="1:72">
      <c r="A176" s="1134"/>
      <c r="B176" s="1142"/>
      <c r="C176" s="1142"/>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7"/>
      <c r="AE176" s="2847"/>
      <c r="AF176" s="2847"/>
      <c r="AG176" s="2847"/>
      <c r="AH176" s="2847"/>
      <c r="AI176" s="2847"/>
      <c r="AJ176" s="2847"/>
      <c r="AK176" s="2847"/>
      <c r="AL176" s="2847"/>
      <c r="AM176" s="2847"/>
      <c r="AN176" s="2847"/>
      <c r="AO176" s="2847"/>
      <c r="AP176" s="2847"/>
      <c r="AQ176" s="2847"/>
      <c r="AR176" s="2847"/>
      <c r="AS176" s="2847"/>
      <c r="AT176" s="2829"/>
      <c r="AU176" s="2856"/>
      <c r="AV176" s="790">
        <f t="shared" si="91"/>
        <v>0</v>
      </c>
      <c r="AW176" s="790">
        <f t="shared" si="92"/>
        <v>0</v>
      </c>
      <c r="AX176" s="790">
        <f t="shared" si="93"/>
        <v>0</v>
      </c>
      <c r="AY176" s="1069">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4">
        <f t="shared" si="118"/>
        <v>0</v>
      </c>
    </row>
    <row r="177" spans="1:72">
      <c r="A177" s="1134"/>
      <c r="B177" s="1142"/>
      <c r="C177" s="1142"/>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7"/>
      <c r="AE177" s="2847"/>
      <c r="AF177" s="2847"/>
      <c r="AG177" s="2847"/>
      <c r="AH177" s="2847"/>
      <c r="AI177" s="2847"/>
      <c r="AJ177" s="2847"/>
      <c r="AK177" s="2847"/>
      <c r="AL177" s="2847"/>
      <c r="AM177" s="2847"/>
      <c r="AN177" s="2847"/>
      <c r="AO177" s="2847"/>
      <c r="AP177" s="2847"/>
      <c r="AQ177" s="2847"/>
      <c r="AR177" s="2847"/>
      <c r="AS177" s="2847"/>
      <c r="AT177" s="2829"/>
      <c r="AU177" s="2856"/>
      <c r="AV177" s="790">
        <f t="shared" ref="AV177:AV207" si="120">A177</f>
        <v>0</v>
      </c>
      <c r="AW177" s="790">
        <f t="shared" ref="AW177:AW207" si="121">B177</f>
        <v>0</v>
      </c>
      <c r="AX177" s="790">
        <f t="shared" ref="AX177:AX207" si="122">C177</f>
        <v>0</v>
      </c>
      <c r="AY177" s="1069">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4">
        <f t="shared" si="118"/>
        <v>0</v>
      </c>
    </row>
    <row r="178" spans="1:72">
      <c r="A178" s="1134"/>
      <c r="B178" s="1142"/>
      <c r="C178" s="1142"/>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7"/>
      <c r="AE178" s="2847"/>
      <c r="AF178" s="2847"/>
      <c r="AG178" s="2847"/>
      <c r="AH178" s="2847"/>
      <c r="AI178" s="2847"/>
      <c r="AJ178" s="2847"/>
      <c r="AK178" s="2847"/>
      <c r="AL178" s="2847"/>
      <c r="AM178" s="2847"/>
      <c r="AN178" s="2847"/>
      <c r="AO178" s="2847"/>
      <c r="AP178" s="2847"/>
      <c r="AQ178" s="2847"/>
      <c r="AR178" s="2847"/>
      <c r="AS178" s="2847"/>
      <c r="AT178" s="2829"/>
      <c r="AU178" s="2856"/>
      <c r="AV178" s="790">
        <f t="shared" si="120"/>
        <v>0</v>
      </c>
      <c r="AW178" s="790">
        <f t="shared" si="121"/>
        <v>0</v>
      </c>
      <c r="AX178" s="790">
        <f t="shared" si="122"/>
        <v>0</v>
      </c>
      <c r="AY178" s="1069">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4">
        <f t="shared" si="118"/>
        <v>0</v>
      </c>
    </row>
    <row r="179" spans="1:72">
      <c r="A179" s="1134"/>
      <c r="B179" s="1142"/>
      <c r="C179" s="1142"/>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7"/>
      <c r="AE179" s="2847"/>
      <c r="AF179" s="2847"/>
      <c r="AG179" s="2847"/>
      <c r="AH179" s="2847"/>
      <c r="AI179" s="2847"/>
      <c r="AJ179" s="2847"/>
      <c r="AK179" s="2847"/>
      <c r="AL179" s="2847"/>
      <c r="AM179" s="2847"/>
      <c r="AN179" s="2847"/>
      <c r="AO179" s="2847"/>
      <c r="AP179" s="2847"/>
      <c r="AQ179" s="2847"/>
      <c r="AR179" s="2847"/>
      <c r="AS179" s="2847"/>
      <c r="AT179" s="2829"/>
      <c r="AU179" s="2856"/>
      <c r="AV179" s="790">
        <f t="shared" si="120"/>
        <v>0</v>
      </c>
      <c r="AW179" s="790">
        <f t="shared" si="121"/>
        <v>0</v>
      </c>
      <c r="AX179" s="790">
        <f t="shared" si="122"/>
        <v>0</v>
      </c>
      <c r="AY179" s="1069">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4">
        <f t="shared" si="118"/>
        <v>0</v>
      </c>
    </row>
    <row r="180" spans="1:72">
      <c r="A180" s="1134"/>
      <c r="B180" s="1142"/>
      <c r="C180" s="1142"/>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7"/>
      <c r="AE180" s="2847"/>
      <c r="AF180" s="2847"/>
      <c r="AG180" s="2847"/>
      <c r="AH180" s="2847"/>
      <c r="AI180" s="2847"/>
      <c r="AJ180" s="2847"/>
      <c r="AK180" s="2847"/>
      <c r="AL180" s="2847"/>
      <c r="AM180" s="2847"/>
      <c r="AN180" s="2847"/>
      <c r="AO180" s="2847"/>
      <c r="AP180" s="2847"/>
      <c r="AQ180" s="2847"/>
      <c r="AR180" s="2847"/>
      <c r="AS180" s="2847"/>
      <c r="AT180" s="2829"/>
      <c r="AU180" s="2856"/>
      <c r="AV180" s="790">
        <f t="shared" si="120"/>
        <v>0</v>
      </c>
      <c r="AW180" s="790">
        <f t="shared" si="121"/>
        <v>0</v>
      </c>
      <c r="AX180" s="790">
        <f t="shared" si="122"/>
        <v>0</v>
      </c>
      <c r="AY180" s="1069">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4">
        <f t="shared" si="118"/>
        <v>0</v>
      </c>
    </row>
    <row r="181" spans="1:72">
      <c r="A181" s="1134"/>
      <c r="B181" s="1142"/>
      <c r="C181" s="1142"/>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7"/>
      <c r="AE181" s="2847"/>
      <c r="AF181" s="2847"/>
      <c r="AG181" s="2847"/>
      <c r="AH181" s="2847"/>
      <c r="AI181" s="2847"/>
      <c r="AJ181" s="2847"/>
      <c r="AK181" s="2847"/>
      <c r="AL181" s="2847"/>
      <c r="AM181" s="2847"/>
      <c r="AN181" s="2847"/>
      <c r="AO181" s="2847"/>
      <c r="AP181" s="2847"/>
      <c r="AQ181" s="2847"/>
      <c r="AR181" s="2847"/>
      <c r="AS181" s="2847"/>
      <c r="AT181" s="2829"/>
      <c r="AU181" s="2856"/>
      <c r="AV181" s="790">
        <f t="shared" si="120"/>
        <v>0</v>
      </c>
      <c r="AW181" s="790">
        <f t="shared" si="121"/>
        <v>0</v>
      </c>
      <c r="AX181" s="790">
        <f t="shared" si="122"/>
        <v>0</v>
      </c>
      <c r="AY181" s="1069">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4">
        <f t="shared" si="118"/>
        <v>0</v>
      </c>
    </row>
    <row r="182" spans="1:72">
      <c r="A182" s="1134"/>
      <c r="B182" s="1142"/>
      <c r="C182" s="1142"/>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7"/>
      <c r="AE182" s="2847"/>
      <c r="AF182" s="2847"/>
      <c r="AG182" s="2847"/>
      <c r="AH182" s="2847"/>
      <c r="AI182" s="2847"/>
      <c r="AJ182" s="2847"/>
      <c r="AK182" s="2847"/>
      <c r="AL182" s="2847"/>
      <c r="AM182" s="2847"/>
      <c r="AN182" s="2847"/>
      <c r="AO182" s="2847"/>
      <c r="AP182" s="2847"/>
      <c r="AQ182" s="2847"/>
      <c r="AR182" s="2847"/>
      <c r="AS182" s="2847"/>
      <c r="AT182" s="2829"/>
      <c r="AU182" s="2856"/>
      <c r="AV182" s="790">
        <f t="shared" si="120"/>
        <v>0</v>
      </c>
      <c r="AW182" s="790">
        <f t="shared" si="121"/>
        <v>0</v>
      </c>
      <c r="AX182" s="790">
        <f t="shared" si="122"/>
        <v>0</v>
      </c>
      <c r="AY182" s="1069">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4">
        <f t="shared" si="118"/>
        <v>0</v>
      </c>
    </row>
    <row r="183" spans="1:72">
      <c r="A183" s="1134"/>
      <c r="B183" s="1142"/>
      <c r="C183" s="1142"/>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7"/>
      <c r="AE183" s="2847"/>
      <c r="AF183" s="2847"/>
      <c r="AG183" s="2847"/>
      <c r="AH183" s="2847"/>
      <c r="AI183" s="2847"/>
      <c r="AJ183" s="2847"/>
      <c r="AK183" s="2847"/>
      <c r="AL183" s="2847"/>
      <c r="AM183" s="2847"/>
      <c r="AN183" s="2847"/>
      <c r="AO183" s="2847"/>
      <c r="AP183" s="2847"/>
      <c r="AQ183" s="2847"/>
      <c r="AR183" s="2847"/>
      <c r="AS183" s="2847"/>
      <c r="AT183" s="2829"/>
      <c r="AU183" s="2856"/>
      <c r="AV183" s="790">
        <f t="shared" si="120"/>
        <v>0</v>
      </c>
      <c r="AW183" s="790">
        <f t="shared" si="121"/>
        <v>0</v>
      </c>
      <c r="AX183" s="790">
        <f t="shared" si="122"/>
        <v>0</v>
      </c>
      <c r="AY183" s="1069">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4">
        <f t="shared" si="118"/>
        <v>0</v>
      </c>
    </row>
    <row r="184" spans="1:72">
      <c r="A184" s="1134"/>
      <c r="B184" s="1142"/>
      <c r="C184" s="1142"/>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7"/>
      <c r="AE184" s="2847"/>
      <c r="AF184" s="2847"/>
      <c r="AG184" s="2847"/>
      <c r="AH184" s="2847"/>
      <c r="AI184" s="2847"/>
      <c r="AJ184" s="2847"/>
      <c r="AK184" s="2847"/>
      <c r="AL184" s="2847"/>
      <c r="AM184" s="2847"/>
      <c r="AN184" s="2847"/>
      <c r="AO184" s="2847"/>
      <c r="AP184" s="2847"/>
      <c r="AQ184" s="2847"/>
      <c r="AR184" s="2847"/>
      <c r="AS184" s="2847"/>
      <c r="AT184" s="2829"/>
      <c r="AU184" s="2856"/>
      <c r="AV184" s="790">
        <f t="shared" si="120"/>
        <v>0</v>
      </c>
      <c r="AW184" s="790">
        <f t="shared" si="121"/>
        <v>0</v>
      </c>
      <c r="AX184" s="790">
        <f t="shared" si="122"/>
        <v>0</v>
      </c>
      <c r="AY184" s="1069">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4">
        <f t="shared" si="118"/>
        <v>0</v>
      </c>
    </row>
    <row r="185" spans="1:72">
      <c r="A185" s="1134"/>
      <c r="B185" s="1142"/>
      <c r="C185" s="1142"/>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7"/>
      <c r="AE185" s="2847"/>
      <c r="AF185" s="2847"/>
      <c r="AG185" s="2847"/>
      <c r="AH185" s="2847"/>
      <c r="AI185" s="2847"/>
      <c r="AJ185" s="2847"/>
      <c r="AK185" s="2847"/>
      <c r="AL185" s="2847"/>
      <c r="AM185" s="2847"/>
      <c r="AN185" s="2847"/>
      <c r="AO185" s="2847"/>
      <c r="AP185" s="2847"/>
      <c r="AQ185" s="2847"/>
      <c r="AR185" s="2847"/>
      <c r="AS185" s="2847"/>
      <c r="AT185" s="2829"/>
      <c r="AU185" s="2856"/>
      <c r="AV185" s="790">
        <f t="shared" si="120"/>
        <v>0</v>
      </c>
      <c r="AW185" s="790">
        <f t="shared" si="121"/>
        <v>0</v>
      </c>
      <c r="AX185" s="790">
        <f t="shared" si="122"/>
        <v>0</v>
      </c>
      <c r="AY185" s="1069">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4">
        <f t="shared" si="118"/>
        <v>0</v>
      </c>
    </row>
    <row r="186" spans="1:72">
      <c r="A186" s="1134"/>
      <c r="B186" s="1142"/>
      <c r="C186" s="1142"/>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7"/>
      <c r="AE186" s="2847"/>
      <c r="AF186" s="2847"/>
      <c r="AG186" s="2847"/>
      <c r="AH186" s="2847"/>
      <c r="AI186" s="2847"/>
      <c r="AJ186" s="2847"/>
      <c r="AK186" s="2847"/>
      <c r="AL186" s="2847"/>
      <c r="AM186" s="2847"/>
      <c r="AN186" s="2847"/>
      <c r="AO186" s="2847"/>
      <c r="AP186" s="2847"/>
      <c r="AQ186" s="2847"/>
      <c r="AR186" s="2847"/>
      <c r="AS186" s="2847"/>
      <c r="AT186" s="2829"/>
      <c r="AU186" s="2856"/>
      <c r="AV186" s="790">
        <f t="shared" si="120"/>
        <v>0</v>
      </c>
      <c r="AW186" s="790">
        <f t="shared" si="121"/>
        <v>0</v>
      </c>
      <c r="AX186" s="790">
        <f t="shared" si="122"/>
        <v>0</v>
      </c>
      <c r="AY186" s="1069">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4">
        <f t="shared" si="118"/>
        <v>0</v>
      </c>
    </row>
    <row r="187" spans="1:72">
      <c r="A187" s="1134"/>
      <c r="B187" s="1142"/>
      <c r="C187" s="1142"/>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7"/>
      <c r="AE187" s="2847"/>
      <c r="AF187" s="2847"/>
      <c r="AG187" s="2847"/>
      <c r="AH187" s="2847"/>
      <c r="AI187" s="2847"/>
      <c r="AJ187" s="2847"/>
      <c r="AK187" s="2847"/>
      <c r="AL187" s="2847"/>
      <c r="AM187" s="2847"/>
      <c r="AN187" s="2847"/>
      <c r="AO187" s="2847"/>
      <c r="AP187" s="2847"/>
      <c r="AQ187" s="2847"/>
      <c r="AR187" s="2847"/>
      <c r="AS187" s="2847"/>
      <c r="AT187" s="2829"/>
      <c r="AU187" s="2856"/>
      <c r="AV187" s="790">
        <f t="shared" si="120"/>
        <v>0</v>
      </c>
      <c r="AW187" s="790">
        <f t="shared" si="121"/>
        <v>0</v>
      </c>
      <c r="AX187" s="790">
        <f t="shared" si="122"/>
        <v>0</v>
      </c>
      <c r="AY187" s="1069">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4">
        <f t="shared" si="118"/>
        <v>0</v>
      </c>
    </row>
    <row r="188" spans="1:72">
      <c r="A188" s="1134"/>
      <c r="B188" s="1142"/>
      <c r="C188" s="1142"/>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7"/>
      <c r="AE188" s="2847"/>
      <c r="AF188" s="2847"/>
      <c r="AG188" s="2847"/>
      <c r="AH188" s="2847"/>
      <c r="AI188" s="2847"/>
      <c r="AJ188" s="2847"/>
      <c r="AK188" s="2847"/>
      <c r="AL188" s="2847"/>
      <c r="AM188" s="2847"/>
      <c r="AN188" s="2847"/>
      <c r="AO188" s="2847"/>
      <c r="AP188" s="2847"/>
      <c r="AQ188" s="2847"/>
      <c r="AR188" s="2847"/>
      <c r="AS188" s="2847"/>
      <c r="AT188" s="2829"/>
      <c r="AU188" s="2856"/>
      <c r="AV188" s="790">
        <f t="shared" si="120"/>
        <v>0</v>
      </c>
      <c r="AW188" s="790">
        <f t="shared" si="121"/>
        <v>0</v>
      </c>
      <c r="AX188" s="790">
        <f t="shared" si="122"/>
        <v>0</v>
      </c>
      <c r="AY188" s="1069">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4">
        <f t="shared" si="118"/>
        <v>0</v>
      </c>
    </row>
    <row r="189" spans="1:72">
      <c r="A189" s="1134"/>
      <c r="B189" s="1142"/>
      <c r="C189" s="1142"/>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7"/>
      <c r="AE189" s="2847"/>
      <c r="AF189" s="2847"/>
      <c r="AG189" s="2847"/>
      <c r="AH189" s="2847"/>
      <c r="AI189" s="2847"/>
      <c r="AJ189" s="2847"/>
      <c r="AK189" s="2847"/>
      <c r="AL189" s="2847"/>
      <c r="AM189" s="2847"/>
      <c r="AN189" s="2847"/>
      <c r="AO189" s="2847"/>
      <c r="AP189" s="2847"/>
      <c r="AQ189" s="2847"/>
      <c r="AR189" s="2847"/>
      <c r="AS189" s="2847"/>
      <c r="AT189" s="2829"/>
      <c r="AU189" s="2856"/>
      <c r="AV189" s="790">
        <f t="shared" si="120"/>
        <v>0</v>
      </c>
      <c r="AW189" s="790">
        <f t="shared" si="121"/>
        <v>0</v>
      </c>
      <c r="AX189" s="790">
        <f t="shared" si="122"/>
        <v>0</v>
      </c>
      <c r="AY189" s="1069">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4">
        <f t="shared" si="118"/>
        <v>0</v>
      </c>
    </row>
    <row r="190" spans="1:72">
      <c r="A190" s="1134"/>
      <c r="B190" s="1142"/>
      <c r="C190" s="1142"/>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7"/>
      <c r="AE190" s="2847"/>
      <c r="AF190" s="2847"/>
      <c r="AG190" s="2847"/>
      <c r="AH190" s="2847"/>
      <c r="AI190" s="2847"/>
      <c r="AJ190" s="2847"/>
      <c r="AK190" s="2847"/>
      <c r="AL190" s="2847"/>
      <c r="AM190" s="2847"/>
      <c r="AN190" s="2847"/>
      <c r="AO190" s="2847"/>
      <c r="AP190" s="2847"/>
      <c r="AQ190" s="2847"/>
      <c r="AR190" s="2847"/>
      <c r="AS190" s="2847"/>
      <c r="AT190" s="2829"/>
      <c r="AU190" s="2856"/>
      <c r="AV190" s="790">
        <f t="shared" si="120"/>
        <v>0</v>
      </c>
      <c r="AW190" s="790">
        <f t="shared" si="121"/>
        <v>0</v>
      </c>
      <c r="AX190" s="790">
        <f t="shared" si="122"/>
        <v>0</v>
      </c>
      <c r="AY190" s="1069">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4">
        <f t="shared" si="118"/>
        <v>0</v>
      </c>
    </row>
    <row r="191" spans="1:72">
      <c r="A191" s="1134"/>
      <c r="B191" s="1142"/>
      <c r="C191" s="1142"/>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7"/>
      <c r="AE191" s="2847"/>
      <c r="AF191" s="2847"/>
      <c r="AG191" s="2847"/>
      <c r="AH191" s="2847"/>
      <c r="AI191" s="2847"/>
      <c r="AJ191" s="2847"/>
      <c r="AK191" s="2847"/>
      <c r="AL191" s="2847"/>
      <c r="AM191" s="2847"/>
      <c r="AN191" s="2847"/>
      <c r="AO191" s="2847"/>
      <c r="AP191" s="2847"/>
      <c r="AQ191" s="2847"/>
      <c r="AR191" s="2847"/>
      <c r="AS191" s="2847"/>
      <c r="AT191" s="2829"/>
      <c r="AU191" s="2856"/>
      <c r="AV191" s="790">
        <f t="shared" si="120"/>
        <v>0</v>
      </c>
      <c r="AW191" s="790">
        <f t="shared" si="121"/>
        <v>0</v>
      </c>
      <c r="AX191" s="790">
        <f t="shared" si="122"/>
        <v>0</v>
      </c>
      <c r="AY191" s="1069">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4">
        <f t="shared" si="118"/>
        <v>0</v>
      </c>
    </row>
    <row r="192" spans="1:72">
      <c r="A192" s="1134"/>
      <c r="B192" s="1142"/>
      <c r="C192" s="1142"/>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7"/>
      <c r="AE192" s="2847"/>
      <c r="AF192" s="2847"/>
      <c r="AG192" s="2847"/>
      <c r="AH192" s="2847"/>
      <c r="AI192" s="2847"/>
      <c r="AJ192" s="2847"/>
      <c r="AK192" s="2847"/>
      <c r="AL192" s="2847"/>
      <c r="AM192" s="2847"/>
      <c r="AN192" s="2847"/>
      <c r="AO192" s="2847"/>
      <c r="AP192" s="2847"/>
      <c r="AQ192" s="2847"/>
      <c r="AR192" s="2847"/>
      <c r="AS192" s="2847"/>
      <c r="AT192" s="2829"/>
      <c r="AU192" s="2856"/>
      <c r="AV192" s="790">
        <f t="shared" si="120"/>
        <v>0</v>
      </c>
      <c r="AW192" s="790">
        <f t="shared" si="121"/>
        <v>0</v>
      </c>
      <c r="AX192" s="790">
        <f t="shared" si="122"/>
        <v>0</v>
      </c>
      <c r="AY192" s="1069">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4">
        <f t="shared" si="118"/>
        <v>0</v>
      </c>
    </row>
    <row r="193" spans="1:72">
      <c r="A193" s="1134"/>
      <c r="B193" s="1142"/>
      <c r="C193" s="1142"/>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7"/>
      <c r="AE193" s="2847"/>
      <c r="AF193" s="2847"/>
      <c r="AG193" s="2847"/>
      <c r="AH193" s="2847"/>
      <c r="AI193" s="2847"/>
      <c r="AJ193" s="2847"/>
      <c r="AK193" s="2847"/>
      <c r="AL193" s="2847"/>
      <c r="AM193" s="2847"/>
      <c r="AN193" s="2847"/>
      <c r="AO193" s="2847"/>
      <c r="AP193" s="2847"/>
      <c r="AQ193" s="2847"/>
      <c r="AR193" s="2847"/>
      <c r="AS193" s="2847"/>
      <c r="AT193" s="2829"/>
      <c r="AU193" s="2856"/>
      <c r="AV193" s="790">
        <f t="shared" si="120"/>
        <v>0</v>
      </c>
      <c r="AW193" s="790">
        <f t="shared" si="121"/>
        <v>0</v>
      </c>
      <c r="AX193" s="790">
        <f t="shared" si="122"/>
        <v>0</v>
      </c>
      <c r="AY193" s="1069">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4">
        <f t="shared" si="118"/>
        <v>0</v>
      </c>
    </row>
    <row r="194" spans="1:72">
      <c r="A194" s="1134"/>
      <c r="B194" s="1142"/>
      <c r="C194" s="1142"/>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7"/>
      <c r="AE194" s="2847"/>
      <c r="AF194" s="2847"/>
      <c r="AG194" s="2847"/>
      <c r="AH194" s="2847"/>
      <c r="AI194" s="2847"/>
      <c r="AJ194" s="2847"/>
      <c r="AK194" s="2847"/>
      <c r="AL194" s="2847"/>
      <c r="AM194" s="2847"/>
      <c r="AN194" s="2847"/>
      <c r="AO194" s="2847"/>
      <c r="AP194" s="2847"/>
      <c r="AQ194" s="2847"/>
      <c r="AR194" s="2847"/>
      <c r="AS194" s="2847"/>
      <c r="AT194" s="2829"/>
      <c r="AU194" s="2856"/>
      <c r="AV194" s="790">
        <f t="shared" si="120"/>
        <v>0</v>
      </c>
      <c r="AW194" s="790">
        <f t="shared" si="121"/>
        <v>0</v>
      </c>
      <c r="AX194" s="790">
        <f t="shared" si="122"/>
        <v>0</v>
      </c>
      <c r="AY194" s="1069">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4">
        <f t="shared" si="118"/>
        <v>0</v>
      </c>
    </row>
    <row r="195" spans="1:72">
      <c r="A195" s="1134"/>
      <c r="B195" s="1142"/>
      <c r="C195" s="1142"/>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7"/>
      <c r="AE195" s="2847"/>
      <c r="AF195" s="2847"/>
      <c r="AG195" s="2847"/>
      <c r="AH195" s="2847"/>
      <c r="AI195" s="2847"/>
      <c r="AJ195" s="2847"/>
      <c r="AK195" s="2847"/>
      <c r="AL195" s="2847"/>
      <c r="AM195" s="2847"/>
      <c r="AN195" s="2847"/>
      <c r="AO195" s="2847"/>
      <c r="AP195" s="2847"/>
      <c r="AQ195" s="2847"/>
      <c r="AR195" s="2847"/>
      <c r="AS195" s="2847"/>
      <c r="AT195" s="2829"/>
      <c r="AU195" s="2856"/>
      <c r="AV195" s="790">
        <f t="shared" si="120"/>
        <v>0</v>
      </c>
      <c r="AW195" s="790">
        <f t="shared" si="121"/>
        <v>0</v>
      </c>
      <c r="AX195" s="790">
        <f t="shared" si="122"/>
        <v>0</v>
      </c>
      <c r="AY195" s="1069">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4">
        <f t="shared" si="118"/>
        <v>0</v>
      </c>
    </row>
    <row r="196" spans="1:72">
      <c r="A196" s="1134"/>
      <c r="B196" s="1142"/>
      <c r="C196" s="1142"/>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7"/>
      <c r="AE196" s="2847"/>
      <c r="AF196" s="2847"/>
      <c r="AG196" s="2847"/>
      <c r="AH196" s="2847"/>
      <c r="AI196" s="2847"/>
      <c r="AJ196" s="2847"/>
      <c r="AK196" s="2847"/>
      <c r="AL196" s="2847"/>
      <c r="AM196" s="2847"/>
      <c r="AN196" s="2847"/>
      <c r="AO196" s="2847"/>
      <c r="AP196" s="2847"/>
      <c r="AQ196" s="2847"/>
      <c r="AR196" s="2847"/>
      <c r="AS196" s="2847"/>
      <c r="AT196" s="2829"/>
      <c r="AU196" s="2856"/>
      <c r="AV196" s="790">
        <f t="shared" si="120"/>
        <v>0</v>
      </c>
      <c r="AW196" s="790">
        <f t="shared" si="121"/>
        <v>0</v>
      </c>
      <c r="AX196" s="790">
        <f t="shared" si="122"/>
        <v>0</v>
      </c>
      <c r="AY196" s="1069">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4">
        <f t="shared" si="118"/>
        <v>0</v>
      </c>
    </row>
    <row r="197" spans="1:72">
      <c r="A197" s="1134"/>
      <c r="B197" s="1142"/>
      <c r="C197" s="1142"/>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7"/>
      <c r="AE197" s="2847"/>
      <c r="AF197" s="2847"/>
      <c r="AG197" s="2847"/>
      <c r="AH197" s="2847"/>
      <c r="AI197" s="2847"/>
      <c r="AJ197" s="2847"/>
      <c r="AK197" s="2847"/>
      <c r="AL197" s="2847"/>
      <c r="AM197" s="2847"/>
      <c r="AN197" s="2847"/>
      <c r="AO197" s="2847"/>
      <c r="AP197" s="2847"/>
      <c r="AQ197" s="2847"/>
      <c r="AR197" s="2847"/>
      <c r="AS197" s="2847"/>
      <c r="AT197" s="2829"/>
      <c r="AU197" s="2856"/>
      <c r="AV197" s="790">
        <f t="shared" si="120"/>
        <v>0</v>
      </c>
      <c r="AW197" s="790">
        <f t="shared" si="121"/>
        <v>0</v>
      </c>
      <c r="AX197" s="790">
        <f t="shared" si="122"/>
        <v>0</v>
      </c>
      <c r="AY197" s="1069">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4">
        <f t="shared" si="118"/>
        <v>0</v>
      </c>
    </row>
    <row r="198" spans="1:72">
      <c r="A198" s="1134"/>
      <c r="B198" s="1142"/>
      <c r="C198" s="1142"/>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7"/>
      <c r="AE198" s="2847"/>
      <c r="AF198" s="2847"/>
      <c r="AG198" s="2847"/>
      <c r="AH198" s="2847"/>
      <c r="AI198" s="2847"/>
      <c r="AJ198" s="2847"/>
      <c r="AK198" s="2847"/>
      <c r="AL198" s="2847"/>
      <c r="AM198" s="2847"/>
      <c r="AN198" s="2847"/>
      <c r="AO198" s="2847"/>
      <c r="AP198" s="2847"/>
      <c r="AQ198" s="2847"/>
      <c r="AR198" s="2847"/>
      <c r="AS198" s="2847"/>
      <c r="AT198" s="2829"/>
      <c r="AU198" s="2856"/>
      <c r="AV198" s="790">
        <f t="shared" si="120"/>
        <v>0</v>
      </c>
      <c r="AW198" s="790">
        <f t="shared" si="121"/>
        <v>0</v>
      </c>
      <c r="AX198" s="790">
        <f t="shared" si="122"/>
        <v>0</v>
      </c>
      <c r="AY198" s="1069">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4">
        <f t="shared" si="118"/>
        <v>0</v>
      </c>
    </row>
    <row r="199" spans="1:72">
      <c r="A199" s="1134"/>
      <c r="B199" s="1142"/>
      <c r="C199" s="1142"/>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7"/>
      <c r="AE199" s="2847"/>
      <c r="AF199" s="2847"/>
      <c r="AG199" s="2847"/>
      <c r="AH199" s="2847"/>
      <c r="AI199" s="2847"/>
      <c r="AJ199" s="2847"/>
      <c r="AK199" s="2847"/>
      <c r="AL199" s="2847"/>
      <c r="AM199" s="2847"/>
      <c r="AN199" s="2847"/>
      <c r="AO199" s="2847"/>
      <c r="AP199" s="2847"/>
      <c r="AQ199" s="2847"/>
      <c r="AR199" s="2847"/>
      <c r="AS199" s="2847"/>
      <c r="AT199" s="2829"/>
      <c r="AU199" s="2856"/>
      <c r="AV199" s="790">
        <f t="shared" si="120"/>
        <v>0</v>
      </c>
      <c r="AW199" s="790">
        <f t="shared" si="121"/>
        <v>0</v>
      </c>
      <c r="AX199" s="790">
        <f t="shared" si="122"/>
        <v>0</v>
      </c>
      <c r="AY199" s="1069">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4">
        <f t="shared" si="118"/>
        <v>0</v>
      </c>
    </row>
    <row r="200" spans="1:72">
      <c r="A200" s="1134"/>
      <c r="B200" s="1142"/>
      <c r="C200" s="1142"/>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7"/>
      <c r="AE200" s="2847"/>
      <c r="AF200" s="2847"/>
      <c r="AG200" s="2847"/>
      <c r="AH200" s="2847"/>
      <c r="AI200" s="2847"/>
      <c r="AJ200" s="2847"/>
      <c r="AK200" s="2847"/>
      <c r="AL200" s="2847"/>
      <c r="AM200" s="2847"/>
      <c r="AN200" s="2847"/>
      <c r="AO200" s="2847"/>
      <c r="AP200" s="2847"/>
      <c r="AQ200" s="2847"/>
      <c r="AR200" s="2847"/>
      <c r="AS200" s="2847"/>
      <c r="AT200" s="2829"/>
      <c r="AU200" s="2856"/>
      <c r="AV200" s="790">
        <f t="shared" si="120"/>
        <v>0</v>
      </c>
      <c r="AW200" s="790">
        <f t="shared" si="121"/>
        <v>0</v>
      </c>
      <c r="AX200" s="790">
        <f t="shared" si="122"/>
        <v>0</v>
      </c>
      <c r="AY200" s="1069">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4">
        <f t="shared" si="118"/>
        <v>0</v>
      </c>
    </row>
    <row r="201" spans="1:72">
      <c r="A201" s="1134"/>
      <c r="B201" s="1142"/>
      <c r="C201" s="1142"/>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7"/>
      <c r="AE201" s="2847"/>
      <c r="AF201" s="2847"/>
      <c r="AG201" s="2847"/>
      <c r="AH201" s="2847"/>
      <c r="AI201" s="2847"/>
      <c r="AJ201" s="2847"/>
      <c r="AK201" s="2847"/>
      <c r="AL201" s="2847"/>
      <c r="AM201" s="2847"/>
      <c r="AN201" s="2847"/>
      <c r="AO201" s="2847"/>
      <c r="AP201" s="2847"/>
      <c r="AQ201" s="2847"/>
      <c r="AR201" s="2847"/>
      <c r="AS201" s="2847"/>
      <c r="AT201" s="2829"/>
      <c r="AU201" s="2856"/>
      <c r="AV201" s="790">
        <f t="shared" si="120"/>
        <v>0</v>
      </c>
      <c r="AW201" s="790">
        <f t="shared" si="121"/>
        <v>0</v>
      </c>
      <c r="AX201" s="790">
        <f t="shared" si="122"/>
        <v>0</v>
      </c>
      <c r="AY201" s="1069">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4">
        <f t="shared" si="118"/>
        <v>0</v>
      </c>
    </row>
    <row r="202" spans="1:72">
      <c r="A202" s="1134"/>
      <c r="B202" s="1142"/>
      <c r="C202" s="1142"/>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7"/>
      <c r="AE202" s="2847"/>
      <c r="AF202" s="2847"/>
      <c r="AG202" s="2847"/>
      <c r="AH202" s="2847"/>
      <c r="AI202" s="2847"/>
      <c r="AJ202" s="2847"/>
      <c r="AK202" s="2847"/>
      <c r="AL202" s="2847"/>
      <c r="AM202" s="2847"/>
      <c r="AN202" s="2847"/>
      <c r="AO202" s="2847"/>
      <c r="AP202" s="2847"/>
      <c r="AQ202" s="2847"/>
      <c r="AR202" s="2847"/>
      <c r="AS202" s="2847"/>
      <c r="AT202" s="2829"/>
      <c r="AU202" s="2856"/>
      <c r="AV202" s="790">
        <f t="shared" si="120"/>
        <v>0</v>
      </c>
      <c r="AW202" s="790">
        <f t="shared" si="121"/>
        <v>0</v>
      </c>
      <c r="AX202" s="790">
        <f t="shared" si="122"/>
        <v>0</v>
      </c>
      <c r="AY202" s="1069">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4">
        <f t="shared" si="118"/>
        <v>0</v>
      </c>
    </row>
    <row r="203" spans="1:72">
      <c r="A203" s="1134"/>
      <c r="B203" s="1142"/>
      <c r="C203" s="1142"/>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7"/>
      <c r="AE203" s="2847"/>
      <c r="AF203" s="2847"/>
      <c r="AG203" s="2847"/>
      <c r="AH203" s="2847"/>
      <c r="AI203" s="2847"/>
      <c r="AJ203" s="2847"/>
      <c r="AK203" s="2847"/>
      <c r="AL203" s="2847"/>
      <c r="AM203" s="2847"/>
      <c r="AN203" s="2847"/>
      <c r="AO203" s="2847"/>
      <c r="AP203" s="2847"/>
      <c r="AQ203" s="2847"/>
      <c r="AR203" s="2847"/>
      <c r="AS203" s="2847"/>
      <c r="AT203" s="2829"/>
      <c r="AU203" s="2856"/>
      <c r="AV203" s="790">
        <f t="shared" si="120"/>
        <v>0</v>
      </c>
      <c r="AW203" s="790">
        <f t="shared" si="121"/>
        <v>0</v>
      </c>
      <c r="AX203" s="790">
        <f t="shared" si="122"/>
        <v>0</v>
      </c>
      <c r="AY203" s="1069">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4">
        <f t="shared" si="118"/>
        <v>0</v>
      </c>
    </row>
    <row r="204" spans="1:72">
      <c r="A204" s="1134"/>
      <c r="B204" s="1142"/>
      <c r="C204" s="1142"/>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7"/>
      <c r="AE204" s="2847"/>
      <c r="AF204" s="2847"/>
      <c r="AG204" s="2847"/>
      <c r="AH204" s="2847"/>
      <c r="AI204" s="2847"/>
      <c r="AJ204" s="2847"/>
      <c r="AK204" s="2847"/>
      <c r="AL204" s="2847"/>
      <c r="AM204" s="2847"/>
      <c r="AN204" s="2847"/>
      <c r="AO204" s="2847"/>
      <c r="AP204" s="2847"/>
      <c r="AQ204" s="2847"/>
      <c r="AR204" s="2847"/>
      <c r="AS204" s="2847"/>
      <c r="AT204" s="2829"/>
      <c r="AU204" s="2856"/>
      <c r="AV204" s="790">
        <f t="shared" si="120"/>
        <v>0</v>
      </c>
      <c r="AW204" s="790">
        <f t="shared" si="121"/>
        <v>0</v>
      </c>
      <c r="AX204" s="790">
        <f t="shared" si="122"/>
        <v>0</v>
      </c>
      <c r="AY204" s="1069">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4">
        <f t="shared" si="118"/>
        <v>0</v>
      </c>
    </row>
    <row r="205" spans="1:72">
      <c r="A205" s="1134"/>
      <c r="B205" s="1134"/>
      <c r="C205" s="1134"/>
      <c r="D205" s="2827"/>
      <c r="E205" s="2828">
        <f t="shared" si="119"/>
        <v>0</v>
      </c>
      <c r="F205" s="2847"/>
      <c r="G205" s="2830">
        <f t="shared" si="94"/>
        <v>0</v>
      </c>
      <c r="H205" s="2831">
        <f t="shared" si="95"/>
        <v>0</v>
      </c>
      <c r="I205" s="2875"/>
      <c r="J205" s="2875"/>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7"/>
      <c r="AE205" s="2847"/>
      <c r="AF205" s="2847"/>
      <c r="AG205" s="2847"/>
      <c r="AH205" s="2847"/>
      <c r="AI205" s="2847"/>
      <c r="AJ205" s="2847"/>
      <c r="AK205" s="2847"/>
      <c r="AL205" s="2847"/>
      <c r="AM205" s="2847"/>
      <c r="AN205" s="2847"/>
      <c r="AO205" s="2847"/>
      <c r="AP205" s="2847"/>
      <c r="AQ205" s="2847"/>
      <c r="AR205" s="2847"/>
      <c r="AS205" s="2847"/>
      <c r="AT205" s="2847"/>
      <c r="AU205" s="1177"/>
      <c r="AV205" s="790">
        <f t="shared" si="120"/>
        <v>0</v>
      </c>
      <c r="AW205" s="790">
        <f t="shared" si="121"/>
        <v>0</v>
      </c>
      <c r="AX205" s="790">
        <f t="shared" si="122"/>
        <v>0</v>
      </c>
      <c r="AY205" s="1069">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4">
        <f t="shared" si="118"/>
        <v>0</v>
      </c>
    </row>
    <row r="206" spans="1:72">
      <c r="A206" s="1134"/>
      <c r="B206" s="1134"/>
      <c r="C206" s="1134"/>
      <c r="D206" s="2827"/>
      <c r="E206" s="2828">
        <f t="shared" si="119"/>
        <v>0</v>
      </c>
      <c r="F206" s="2847"/>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7"/>
      <c r="AE206" s="2847"/>
      <c r="AF206" s="2847"/>
      <c r="AG206" s="2847"/>
      <c r="AH206" s="2847"/>
      <c r="AI206" s="2847"/>
      <c r="AJ206" s="2847"/>
      <c r="AK206" s="2847"/>
      <c r="AL206" s="2847"/>
      <c r="AM206" s="2847"/>
      <c r="AN206" s="2847"/>
      <c r="AO206" s="2847"/>
      <c r="AP206" s="2847"/>
      <c r="AQ206" s="2847"/>
      <c r="AR206" s="2847"/>
      <c r="AS206" s="2847"/>
      <c r="AT206" s="2847"/>
      <c r="AU206" s="1177"/>
      <c r="AV206" s="790">
        <f t="shared" si="120"/>
        <v>0</v>
      </c>
      <c r="AW206" s="790">
        <f t="shared" si="121"/>
        <v>0</v>
      </c>
      <c r="AX206" s="790">
        <f t="shared" si="122"/>
        <v>0</v>
      </c>
      <c r="AY206" s="1069">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4">
        <f t="shared" si="118"/>
        <v>0</v>
      </c>
    </row>
    <row r="207" spans="1:72">
      <c r="A207" s="1134"/>
      <c r="B207" s="1134"/>
      <c r="C207" s="1134"/>
      <c r="D207" s="2827"/>
      <c r="E207" s="2828">
        <f t="shared" si="119"/>
        <v>0</v>
      </c>
      <c r="F207" s="2847"/>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7"/>
      <c r="AE207" s="2847"/>
      <c r="AF207" s="2847"/>
      <c r="AG207" s="2847"/>
      <c r="AH207" s="2847"/>
      <c r="AI207" s="2847"/>
      <c r="AJ207" s="2847"/>
      <c r="AK207" s="2847"/>
      <c r="AL207" s="2847"/>
      <c r="AM207" s="2847"/>
      <c r="AN207" s="2847"/>
      <c r="AO207" s="2847"/>
      <c r="AP207" s="2847"/>
      <c r="AQ207" s="2847"/>
      <c r="AR207" s="2847"/>
      <c r="AS207" s="2847"/>
      <c r="AT207" s="2847"/>
      <c r="AU207" s="1177"/>
      <c r="AV207" s="790">
        <f t="shared" si="120"/>
        <v>0</v>
      </c>
      <c r="AW207" s="790">
        <f t="shared" si="121"/>
        <v>0</v>
      </c>
      <c r="AX207" s="790">
        <f t="shared" si="122"/>
        <v>0</v>
      </c>
      <c r="AY207" s="1069">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4">
        <f t="shared" si="118"/>
        <v>0</v>
      </c>
    </row>
    <row r="208" spans="1:72">
      <c r="A208" s="1134"/>
      <c r="B208" s="1142"/>
      <c r="C208" s="1142"/>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7"/>
      <c r="AE208" s="2847"/>
      <c r="AF208" s="2847"/>
      <c r="AG208" s="2847"/>
      <c r="AH208" s="2847"/>
      <c r="AI208" s="2847"/>
      <c r="AJ208" s="2847"/>
      <c r="AK208" s="2847"/>
      <c r="AL208" s="2847"/>
      <c r="AM208" s="2847"/>
      <c r="AN208" s="2847"/>
      <c r="AO208" s="2847"/>
      <c r="AP208" s="2847"/>
      <c r="AQ208" s="2847"/>
      <c r="AR208" s="2847"/>
      <c r="AS208" s="2847"/>
      <c r="AT208" s="2829"/>
      <c r="AU208" s="2856"/>
      <c r="AV208" s="790">
        <f t="shared" ref="AV208:AV302" si="127">A208</f>
        <v>0</v>
      </c>
      <c r="AW208" s="790">
        <f t="shared" ref="AW208:AW302" si="128">B208</f>
        <v>0</v>
      </c>
      <c r="AX208" s="790">
        <f t="shared" ref="AX208:AX302" si="129">C208</f>
        <v>0</v>
      </c>
      <c r="AY208" s="1069">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4">
        <f t="shared" ref="BT208:BT299" si="151">IF($D208="是",AR208-AS208,0)</f>
        <v>0</v>
      </c>
    </row>
    <row r="209" spans="1:72">
      <c r="A209" s="1134"/>
      <c r="B209" s="1142"/>
      <c r="C209" s="1142"/>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7"/>
      <c r="AE209" s="2847"/>
      <c r="AF209" s="2847"/>
      <c r="AG209" s="2847"/>
      <c r="AH209" s="2847"/>
      <c r="AI209" s="2847"/>
      <c r="AJ209" s="2847"/>
      <c r="AK209" s="2847"/>
      <c r="AL209" s="2847"/>
      <c r="AM209" s="2847"/>
      <c r="AN209" s="2847"/>
      <c r="AO209" s="2847"/>
      <c r="AP209" s="2847"/>
      <c r="AQ209" s="2847"/>
      <c r="AR209" s="2847"/>
      <c r="AS209" s="2847"/>
      <c r="AT209" s="2829"/>
      <c r="AU209" s="2856"/>
      <c r="AV209" s="790">
        <f t="shared" si="127"/>
        <v>0</v>
      </c>
      <c r="AW209" s="790">
        <f t="shared" si="128"/>
        <v>0</v>
      </c>
      <c r="AX209" s="790">
        <f t="shared" si="129"/>
        <v>0</v>
      </c>
      <c r="AY209" s="1069">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4">
        <f t="shared" si="151"/>
        <v>0</v>
      </c>
    </row>
    <row r="210" spans="1:72">
      <c r="A210" s="1134"/>
      <c r="B210" s="1142"/>
      <c r="C210" s="1142"/>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7"/>
      <c r="AE210" s="2847"/>
      <c r="AF210" s="2847"/>
      <c r="AG210" s="2847"/>
      <c r="AH210" s="2847"/>
      <c r="AI210" s="2847"/>
      <c r="AJ210" s="2847"/>
      <c r="AK210" s="2847"/>
      <c r="AL210" s="2847"/>
      <c r="AM210" s="2847"/>
      <c r="AN210" s="2847"/>
      <c r="AO210" s="2847"/>
      <c r="AP210" s="2847"/>
      <c r="AQ210" s="2847"/>
      <c r="AR210" s="2847"/>
      <c r="AS210" s="2847"/>
      <c r="AT210" s="2829"/>
      <c r="AU210" s="2856"/>
      <c r="AV210" s="790">
        <f t="shared" si="127"/>
        <v>0</v>
      </c>
      <c r="AW210" s="790">
        <f t="shared" si="128"/>
        <v>0</v>
      </c>
      <c r="AX210" s="790">
        <f t="shared" si="129"/>
        <v>0</v>
      </c>
      <c r="AY210" s="1069">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4">
        <f t="shared" si="151"/>
        <v>0</v>
      </c>
    </row>
    <row r="211" spans="1:72">
      <c r="A211" s="1134"/>
      <c r="B211" s="1142"/>
      <c r="C211" s="1142"/>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7"/>
      <c r="AE211" s="2847"/>
      <c r="AF211" s="2847"/>
      <c r="AG211" s="2847"/>
      <c r="AH211" s="2847"/>
      <c r="AI211" s="2847"/>
      <c r="AJ211" s="2847"/>
      <c r="AK211" s="2847"/>
      <c r="AL211" s="2847"/>
      <c r="AM211" s="2847"/>
      <c r="AN211" s="2847"/>
      <c r="AO211" s="2847"/>
      <c r="AP211" s="2847"/>
      <c r="AQ211" s="2847"/>
      <c r="AR211" s="2847"/>
      <c r="AS211" s="2847"/>
      <c r="AT211" s="2829"/>
      <c r="AU211" s="2856"/>
      <c r="AV211" s="790">
        <f t="shared" si="127"/>
        <v>0</v>
      </c>
      <c r="AW211" s="790">
        <f t="shared" si="128"/>
        <v>0</v>
      </c>
      <c r="AX211" s="790">
        <f t="shared" si="129"/>
        <v>0</v>
      </c>
      <c r="AY211" s="1069">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4">
        <f t="shared" si="151"/>
        <v>0</v>
      </c>
    </row>
    <row r="212" spans="1:72">
      <c r="A212" s="1134"/>
      <c r="B212" s="1142"/>
      <c r="C212" s="1142"/>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7"/>
      <c r="AE212" s="2847"/>
      <c r="AF212" s="2847"/>
      <c r="AG212" s="2847"/>
      <c r="AH212" s="2847"/>
      <c r="AI212" s="2847"/>
      <c r="AJ212" s="2847"/>
      <c r="AK212" s="2847"/>
      <c r="AL212" s="2847"/>
      <c r="AM212" s="2847"/>
      <c r="AN212" s="2847"/>
      <c r="AO212" s="2847"/>
      <c r="AP212" s="2847"/>
      <c r="AQ212" s="2847"/>
      <c r="AR212" s="2847"/>
      <c r="AS212" s="2847"/>
      <c r="AT212" s="2829"/>
      <c r="AU212" s="2856"/>
      <c r="AV212" s="790">
        <f t="shared" si="127"/>
        <v>0</v>
      </c>
      <c r="AW212" s="790">
        <f t="shared" si="128"/>
        <v>0</v>
      </c>
      <c r="AX212" s="790">
        <f t="shared" si="129"/>
        <v>0</v>
      </c>
      <c r="AY212" s="1069">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4">
        <f t="shared" si="151"/>
        <v>0</v>
      </c>
    </row>
    <row r="213" spans="1:72">
      <c r="A213" s="1134"/>
      <c r="B213" s="1142"/>
      <c r="C213" s="1142"/>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7"/>
      <c r="AE213" s="2847"/>
      <c r="AF213" s="2847"/>
      <c r="AG213" s="2847"/>
      <c r="AH213" s="2847"/>
      <c r="AI213" s="2847"/>
      <c r="AJ213" s="2847"/>
      <c r="AK213" s="2847"/>
      <c r="AL213" s="2847"/>
      <c r="AM213" s="2847"/>
      <c r="AN213" s="2847"/>
      <c r="AO213" s="2847"/>
      <c r="AP213" s="2847"/>
      <c r="AQ213" s="2847"/>
      <c r="AR213" s="2847"/>
      <c r="AS213" s="2847"/>
      <c r="AT213" s="2829"/>
      <c r="AU213" s="2856"/>
      <c r="AV213" s="790">
        <f t="shared" si="127"/>
        <v>0</v>
      </c>
      <c r="AW213" s="790">
        <f t="shared" si="128"/>
        <v>0</v>
      </c>
      <c r="AX213" s="790">
        <f t="shared" si="129"/>
        <v>0</v>
      </c>
      <c r="AY213" s="1069">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4">
        <f t="shared" si="151"/>
        <v>0</v>
      </c>
    </row>
    <row r="214" spans="1:72">
      <c r="A214" s="1134"/>
      <c r="B214" s="1142"/>
      <c r="C214" s="1142"/>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7"/>
      <c r="AE214" s="2847"/>
      <c r="AF214" s="2847"/>
      <c r="AG214" s="2847"/>
      <c r="AH214" s="2847"/>
      <c r="AI214" s="2847"/>
      <c r="AJ214" s="2847"/>
      <c r="AK214" s="2847"/>
      <c r="AL214" s="2847"/>
      <c r="AM214" s="2847"/>
      <c r="AN214" s="2847"/>
      <c r="AO214" s="2847"/>
      <c r="AP214" s="2847"/>
      <c r="AQ214" s="2847"/>
      <c r="AR214" s="2847"/>
      <c r="AS214" s="2847"/>
      <c r="AT214" s="2829"/>
      <c r="AU214" s="2856"/>
      <c r="AV214" s="790">
        <f t="shared" si="127"/>
        <v>0</v>
      </c>
      <c r="AW214" s="790">
        <f t="shared" si="128"/>
        <v>0</v>
      </c>
      <c r="AX214" s="790">
        <f t="shared" si="129"/>
        <v>0</v>
      </c>
      <c r="AY214" s="1069">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4">
        <f t="shared" si="151"/>
        <v>0</v>
      </c>
    </row>
    <row r="215" spans="1:72">
      <c r="A215" s="1134"/>
      <c r="B215" s="1142"/>
      <c r="C215" s="1142"/>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7"/>
      <c r="AE215" s="2847"/>
      <c r="AF215" s="2847"/>
      <c r="AG215" s="2847"/>
      <c r="AH215" s="2847"/>
      <c r="AI215" s="2847"/>
      <c r="AJ215" s="2847"/>
      <c r="AK215" s="2847"/>
      <c r="AL215" s="2847"/>
      <c r="AM215" s="2847"/>
      <c r="AN215" s="2847"/>
      <c r="AO215" s="2847"/>
      <c r="AP215" s="2847"/>
      <c r="AQ215" s="2847"/>
      <c r="AR215" s="2847"/>
      <c r="AS215" s="2847"/>
      <c r="AT215" s="2829"/>
      <c r="AU215" s="2856"/>
      <c r="AV215" s="790">
        <f t="shared" si="127"/>
        <v>0</v>
      </c>
      <c r="AW215" s="790">
        <f t="shared" si="128"/>
        <v>0</v>
      </c>
      <c r="AX215" s="790">
        <f t="shared" si="129"/>
        <v>0</v>
      </c>
      <c r="AY215" s="1069">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4">
        <f t="shared" si="151"/>
        <v>0</v>
      </c>
    </row>
    <row r="216" spans="1:72">
      <c r="A216" s="1134"/>
      <c r="B216" s="1142"/>
      <c r="C216" s="1142"/>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7"/>
      <c r="AE216" s="2847"/>
      <c r="AF216" s="2847"/>
      <c r="AG216" s="2847"/>
      <c r="AH216" s="2847"/>
      <c r="AI216" s="2847"/>
      <c r="AJ216" s="2847"/>
      <c r="AK216" s="2847"/>
      <c r="AL216" s="2847"/>
      <c r="AM216" s="2847"/>
      <c r="AN216" s="2847"/>
      <c r="AO216" s="2847"/>
      <c r="AP216" s="2847"/>
      <c r="AQ216" s="2847"/>
      <c r="AR216" s="2847"/>
      <c r="AS216" s="2847"/>
      <c r="AT216" s="2829"/>
      <c r="AU216" s="2856"/>
      <c r="AV216" s="790">
        <f t="shared" si="127"/>
        <v>0</v>
      </c>
      <c r="AW216" s="790">
        <f t="shared" si="128"/>
        <v>0</v>
      </c>
      <c r="AX216" s="790">
        <f t="shared" si="129"/>
        <v>0</v>
      </c>
      <c r="AY216" s="1069">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4">
        <f t="shared" si="151"/>
        <v>0</v>
      </c>
    </row>
    <row r="217" spans="1:72">
      <c r="A217" s="1134"/>
      <c r="B217" s="1142"/>
      <c r="C217" s="1142"/>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7"/>
      <c r="AE217" s="2847"/>
      <c r="AF217" s="2847"/>
      <c r="AG217" s="2847"/>
      <c r="AH217" s="2847"/>
      <c r="AI217" s="2847"/>
      <c r="AJ217" s="2847"/>
      <c r="AK217" s="2847"/>
      <c r="AL217" s="2847"/>
      <c r="AM217" s="2847"/>
      <c r="AN217" s="2847"/>
      <c r="AO217" s="2847"/>
      <c r="AP217" s="2847"/>
      <c r="AQ217" s="2847"/>
      <c r="AR217" s="2847"/>
      <c r="AS217" s="2847"/>
      <c r="AT217" s="2829"/>
      <c r="AU217" s="2856"/>
      <c r="AV217" s="790">
        <f t="shared" si="127"/>
        <v>0</v>
      </c>
      <c r="AW217" s="790">
        <f t="shared" si="128"/>
        <v>0</v>
      </c>
      <c r="AX217" s="790">
        <f t="shared" si="129"/>
        <v>0</v>
      </c>
      <c r="AY217" s="1069">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4">
        <f t="shared" si="151"/>
        <v>0</v>
      </c>
    </row>
    <row r="218" spans="1:72">
      <c r="A218" s="1134"/>
      <c r="B218" s="1142"/>
      <c r="C218" s="1142"/>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7"/>
      <c r="AE218" s="2847"/>
      <c r="AF218" s="2847"/>
      <c r="AG218" s="2847"/>
      <c r="AH218" s="2847"/>
      <c r="AI218" s="2847"/>
      <c r="AJ218" s="2847"/>
      <c r="AK218" s="2847"/>
      <c r="AL218" s="2847"/>
      <c r="AM218" s="2847"/>
      <c r="AN218" s="2847"/>
      <c r="AO218" s="2847"/>
      <c r="AP218" s="2847"/>
      <c r="AQ218" s="2847"/>
      <c r="AR218" s="2847"/>
      <c r="AS218" s="2847"/>
      <c r="AT218" s="2829"/>
      <c r="AU218" s="2856"/>
      <c r="AV218" s="790">
        <f t="shared" si="127"/>
        <v>0</v>
      </c>
      <c r="AW218" s="790">
        <f t="shared" si="128"/>
        <v>0</v>
      </c>
      <c r="AX218" s="790">
        <f t="shared" si="129"/>
        <v>0</v>
      </c>
      <c r="AY218" s="1069">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4">
        <f t="shared" si="151"/>
        <v>0</v>
      </c>
    </row>
    <row r="219" spans="1:72">
      <c r="A219" s="1134"/>
      <c r="B219" s="1142"/>
      <c r="C219" s="1142"/>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7"/>
      <c r="AE219" s="2847"/>
      <c r="AF219" s="2847"/>
      <c r="AG219" s="2847"/>
      <c r="AH219" s="2847"/>
      <c r="AI219" s="2847"/>
      <c r="AJ219" s="2847"/>
      <c r="AK219" s="2847"/>
      <c r="AL219" s="2847"/>
      <c r="AM219" s="2847"/>
      <c r="AN219" s="2847"/>
      <c r="AO219" s="2847"/>
      <c r="AP219" s="2847"/>
      <c r="AQ219" s="2847"/>
      <c r="AR219" s="2847"/>
      <c r="AS219" s="2847"/>
      <c r="AT219" s="2829"/>
      <c r="AU219" s="2856"/>
      <c r="AV219" s="790">
        <f t="shared" si="127"/>
        <v>0</v>
      </c>
      <c r="AW219" s="790">
        <f t="shared" si="128"/>
        <v>0</v>
      </c>
      <c r="AX219" s="790">
        <f t="shared" si="129"/>
        <v>0</v>
      </c>
      <c r="AY219" s="1069">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4">
        <f t="shared" si="151"/>
        <v>0</v>
      </c>
    </row>
    <row r="220" spans="1:72">
      <c r="A220" s="1134"/>
      <c r="B220" s="1142"/>
      <c r="C220" s="1142"/>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7"/>
      <c r="AE220" s="2847"/>
      <c r="AF220" s="2847"/>
      <c r="AG220" s="2847"/>
      <c r="AH220" s="2847"/>
      <c r="AI220" s="2847"/>
      <c r="AJ220" s="2847"/>
      <c r="AK220" s="2847"/>
      <c r="AL220" s="2847"/>
      <c r="AM220" s="2847"/>
      <c r="AN220" s="2847"/>
      <c r="AO220" s="2847"/>
      <c r="AP220" s="2847"/>
      <c r="AQ220" s="2847"/>
      <c r="AR220" s="2847"/>
      <c r="AS220" s="2847"/>
      <c r="AT220" s="2829"/>
      <c r="AU220" s="2856"/>
      <c r="AV220" s="790">
        <f t="shared" si="127"/>
        <v>0</v>
      </c>
      <c r="AW220" s="790">
        <f t="shared" si="128"/>
        <v>0</v>
      </c>
      <c r="AX220" s="790">
        <f t="shared" si="129"/>
        <v>0</v>
      </c>
      <c r="AY220" s="1069">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4">
        <f t="shared" si="151"/>
        <v>0</v>
      </c>
    </row>
    <row r="221" spans="1:72">
      <c r="A221" s="1134"/>
      <c r="B221" s="1142"/>
      <c r="C221" s="1142"/>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7"/>
      <c r="AE221" s="2847"/>
      <c r="AF221" s="2847"/>
      <c r="AG221" s="2847"/>
      <c r="AH221" s="2847"/>
      <c r="AI221" s="2847"/>
      <c r="AJ221" s="2847"/>
      <c r="AK221" s="2847"/>
      <c r="AL221" s="2847"/>
      <c r="AM221" s="2847"/>
      <c r="AN221" s="2847"/>
      <c r="AO221" s="2847"/>
      <c r="AP221" s="2847"/>
      <c r="AQ221" s="2847"/>
      <c r="AR221" s="2847"/>
      <c r="AS221" s="2847"/>
      <c r="AT221" s="2829"/>
      <c r="AU221" s="2856"/>
      <c r="AV221" s="790">
        <f t="shared" si="127"/>
        <v>0</v>
      </c>
      <c r="AW221" s="790">
        <f t="shared" si="128"/>
        <v>0</v>
      </c>
      <c r="AX221" s="790">
        <f t="shared" si="129"/>
        <v>0</v>
      </c>
      <c r="AY221" s="1069">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4">
        <f t="shared" si="151"/>
        <v>0</v>
      </c>
    </row>
    <row r="222" spans="1:72">
      <c r="A222" s="1134"/>
      <c r="B222" s="1142"/>
      <c r="C222" s="1142"/>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7"/>
      <c r="AE222" s="2847"/>
      <c r="AF222" s="2847"/>
      <c r="AG222" s="2847"/>
      <c r="AH222" s="2847"/>
      <c r="AI222" s="2847"/>
      <c r="AJ222" s="2847"/>
      <c r="AK222" s="2847"/>
      <c r="AL222" s="2847"/>
      <c r="AM222" s="2847"/>
      <c r="AN222" s="2847"/>
      <c r="AO222" s="2847"/>
      <c r="AP222" s="2847"/>
      <c r="AQ222" s="2847"/>
      <c r="AR222" s="2847"/>
      <c r="AS222" s="2847"/>
      <c r="AT222" s="2829"/>
      <c r="AU222" s="2856"/>
      <c r="AV222" s="790">
        <f t="shared" si="127"/>
        <v>0</v>
      </c>
      <c r="AW222" s="790">
        <f t="shared" si="128"/>
        <v>0</v>
      </c>
      <c r="AX222" s="790">
        <f t="shared" si="129"/>
        <v>0</v>
      </c>
      <c r="AY222" s="1069">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4">
        <f t="shared" si="151"/>
        <v>0</v>
      </c>
    </row>
    <row r="223" spans="1:72">
      <c r="A223" s="1134"/>
      <c r="B223" s="1142"/>
      <c r="C223" s="1142"/>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7"/>
      <c r="AE223" s="2847"/>
      <c r="AF223" s="2847"/>
      <c r="AG223" s="2847"/>
      <c r="AH223" s="2847"/>
      <c r="AI223" s="2847"/>
      <c r="AJ223" s="2847"/>
      <c r="AK223" s="2847"/>
      <c r="AL223" s="2847"/>
      <c r="AM223" s="2847"/>
      <c r="AN223" s="2847"/>
      <c r="AO223" s="2847"/>
      <c r="AP223" s="2847"/>
      <c r="AQ223" s="2847"/>
      <c r="AR223" s="2847"/>
      <c r="AS223" s="2847"/>
      <c r="AT223" s="2829"/>
      <c r="AU223" s="2856"/>
      <c r="AV223" s="790">
        <f t="shared" si="127"/>
        <v>0</v>
      </c>
      <c r="AW223" s="790">
        <f t="shared" si="128"/>
        <v>0</v>
      </c>
      <c r="AX223" s="790">
        <f t="shared" si="129"/>
        <v>0</v>
      </c>
      <c r="AY223" s="1069">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4">
        <f t="shared" si="151"/>
        <v>0</v>
      </c>
    </row>
    <row r="224" spans="1:72">
      <c r="A224" s="1134"/>
      <c r="B224" s="1142"/>
      <c r="C224" s="1142"/>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7"/>
      <c r="AE224" s="2847"/>
      <c r="AF224" s="2847"/>
      <c r="AG224" s="2847"/>
      <c r="AH224" s="2847"/>
      <c r="AI224" s="2847"/>
      <c r="AJ224" s="2847"/>
      <c r="AK224" s="2847"/>
      <c r="AL224" s="2847"/>
      <c r="AM224" s="2847"/>
      <c r="AN224" s="2847"/>
      <c r="AO224" s="2847"/>
      <c r="AP224" s="2847"/>
      <c r="AQ224" s="2847"/>
      <c r="AR224" s="2847"/>
      <c r="AS224" s="2847"/>
      <c r="AT224" s="2829"/>
      <c r="AU224" s="2856"/>
      <c r="AV224" s="790">
        <f t="shared" si="127"/>
        <v>0</v>
      </c>
      <c r="AW224" s="790">
        <f t="shared" si="128"/>
        <v>0</v>
      </c>
      <c r="AX224" s="790">
        <f t="shared" si="129"/>
        <v>0</v>
      </c>
      <c r="AY224" s="1069">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4">
        <f t="shared" si="151"/>
        <v>0</v>
      </c>
    </row>
    <row r="225" spans="1:72">
      <c r="A225" s="1134"/>
      <c r="B225" s="1142"/>
      <c r="C225" s="1142"/>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7"/>
      <c r="AE225" s="2847"/>
      <c r="AF225" s="2847"/>
      <c r="AG225" s="2847"/>
      <c r="AH225" s="2847"/>
      <c r="AI225" s="2847"/>
      <c r="AJ225" s="2847"/>
      <c r="AK225" s="2847"/>
      <c r="AL225" s="2847"/>
      <c r="AM225" s="2847"/>
      <c r="AN225" s="2847"/>
      <c r="AO225" s="2847"/>
      <c r="AP225" s="2847"/>
      <c r="AQ225" s="2847"/>
      <c r="AR225" s="2847"/>
      <c r="AS225" s="2847"/>
      <c r="AT225" s="2829"/>
      <c r="AU225" s="2856"/>
      <c r="AV225" s="790">
        <f t="shared" si="127"/>
        <v>0</v>
      </c>
      <c r="AW225" s="790">
        <f t="shared" si="128"/>
        <v>0</v>
      </c>
      <c r="AX225" s="790">
        <f t="shared" si="129"/>
        <v>0</v>
      </c>
      <c r="AY225" s="1069">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4">
        <f t="shared" si="151"/>
        <v>0</v>
      </c>
    </row>
    <row r="226" spans="1:72">
      <c r="A226" s="1134"/>
      <c r="B226" s="1142"/>
      <c r="C226" s="1142"/>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7"/>
      <c r="AE226" s="2847"/>
      <c r="AF226" s="2847"/>
      <c r="AG226" s="2847"/>
      <c r="AH226" s="2847"/>
      <c r="AI226" s="2847"/>
      <c r="AJ226" s="2847"/>
      <c r="AK226" s="2847"/>
      <c r="AL226" s="2847"/>
      <c r="AM226" s="2847"/>
      <c r="AN226" s="2847"/>
      <c r="AO226" s="2847"/>
      <c r="AP226" s="2847"/>
      <c r="AQ226" s="2847"/>
      <c r="AR226" s="2847"/>
      <c r="AS226" s="2847"/>
      <c r="AT226" s="2829"/>
      <c r="AU226" s="2856"/>
      <c r="AV226" s="790">
        <f t="shared" si="127"/>
        <v>0</v>
      </c>
      <c r="AW226" s="790">
        <f t="shared" si="128"/>
        <v>0</v>
      </c>
      <c r="AX226" s="790">
        <f t="shared" si="129"/>
        <v>0</v>
      </c>
      <c r="AY226" s="1069">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4">
        <f t="shared" si="151"/>
        <v>0</v>
      </c>
    </row>
    <row r="227" spans="1:72">
      <c r="A227" s="1134"/>
      <c r="B227" s="1142"/>
      <c r="C227" s="1142"/>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7"/>
      <c r="AE227" s="2847"/>
      <c r="AF227" s="2847"/>
      <c r="AG227" s="2847"/>
      <c r="AH227" s="2847"/>
      <c r="AI227" s="2847"/>
      <c r="AJ227" s="2847"/>
      <c r="AK227" s="2847"/>
      <c r="AL227" s="2847"/>
      <c r="AM227" s="2847"/>
      <c r="AN227" s="2847"/>
      <c r="AO227" s="2847"/>
      <c r="AP227" s="2847"/>
      <c r="AQ227" s="2847"/>
      <c r="AR227" s="2847"/>
      <c r="AS227" s="2847"/>
      <c r="AT227" s="2829"/>
      <c r="AU227" s="2856"/>
      <c r="AV227" s="790">
        <f t="shared" si="127"/>
        <v>0</v>
      </c>
      <c r="AW227" s="790">
        <f t="shared" si="128"/>
        <v>0</v>
      </c>
      <c r="AX227" s="790">
        <f t="shared" si="129"/>
        <v>0</v>
      </c>
      <c r="AY227" s="1069">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4">
        <f t="shared" si="151"/>
        <v>0</v>
      </c>
    </row>
    <row r="228" spans="1:72">
      <c r="A228" s="1134"/>
      <c r="B228" s="1142"/>
      <c r="C228" s="1142"/>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7"/>
      <c r="AE228" s="2847"/>
      <c r="AF228" s="2847"/>
      <c r="AG228" s="2847"/>
      <c r="AH228" s="2847"/>
      <c r="AI228" s="2847"/>
      <c r="AJ228" s="2847"/>
      <c r="AK228" s="2847"/>
      <c r="AL228" s="2847"/>
      <c r="AM228" s="2847"/>
      <c r="AN228" s="2847"/>
      <c r="AO228" s="2847"/>
      <c r="AP228" s="2847"/>
      <c r="AQ228" s="2847"/>
      <c r="AR228" s="2847"/>
      <c r="AS228" s="2847"/>
      <c r="AT228" s="2829"/>
      <c r="AU228" s="2856"/>
      <c r="AV228" s="790">
        <f t="shared" si="127"/>
        <v>0</v>
      </c>
      <c r="AW228" s="790">
        <f t="shared" si="128"/>
        <v>0</v>
      </c>
      <c r="AX228" s="790">
        <f t="shared" si="129"/>
        <v>0</v>
      </c>
      <c r="AY228" s="1069">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4">
        <f t="shared" si="151"/>
        <v>0</v>
      </c>
    </row>
    <row r="229" spans="1:72">
      <c r="A229" s="1134"/>
      <c r="B229" s="1142"/>
      <c r="C229" s="1142"/>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7"/>
      <c r="AE229" s="2847"/>
      <c r="AF229" s="2847"/>
      <c r="AG229" s="2847"/>
      <c r="AH229" s="2847"/>
      <c r="AI229" s="2847"/>
      <c r="AJ229" s="2847"/>
      <c r="AK229" s="2847"/>
      <c r="AL229" s="2847"/>
      <c r="AM229" s="2847"/>
      <c r="AN229" s="2847"/>
      <c r="AO229" s="2847"/>
      <c r="AP229" s="2847"/>
      <c r="AQ229" s="2847"/>
      <c r="AR229" s="2847"/>
      <c r="AS229" s="2847"/>
      <c r="AT229" s="2829"/>
      <c r="AU229" s="2856"/>
      <c r="AV229" s="790">
        <f t="shared" si="127"/>
        <v>0</v>
      </c>
      <c r="AW229" s="790">
        <f t="shared" si="128"/>
        <v>0</v>
      </c>
      <c r="AX229" s="790">
        <f t="shared" si="129"/>
        <v>0</v>
      </c>
      <c r="AY229" s="1069">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4">
        <f t="shared" si="151"/>
        <v>0</v>
      </c>
    </row>
    <row r="230" spans="1:72">
      <c r="A230" s="1134"/>
      <c r="B230" s="1142"/>
      <c r="C230" s="1142"/>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7"/>
      <c r="AE230" s="2847"/>
      <c r="AF230" s="2847"/>
      <c r="AG230" s="2847"/>
      <c r="AH230" s="2847"/>
      <c r="AI230" s="2847"/>
      <c r="AJ230" s="2847"/>
      <c r="AK230" s="2847"/>
      <c r="AL230" s="2847"/>
      <c r="AM230" s="2847"/>
      <c r="AN230" s="2847"/>
      <c r="AO230" s="2847"/>
      <c r="AP230" s="2847"/>
      <c r="AQ230" s="2847"/>
      <c r="AR230" s="2847"/>
      <c r="AS230" s="2847"/>
      <c r="AT230" s="2829"/>
      <c r="AU230" s="2856"/>
      <c r="AV230" s="790">
        <f t="shared" si="127"/>
        <v>0</v>
      </c>
      <c r="AW230" s="790">
        <f t="shared" si="128"/>
        <v>0</v>
      </c>
      <c r="AX230" s="790">
        <f t="shared" si="129"/>
        <v>0</v>
      </c>
      <c r="AY230" s="1069">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4">
        <f t="shared" si="151"/>
        <v>0</v>
      </c>
    </row>
    <row r="231" spans="1:72">
      <c r="A231" s="1134"/>
      <c r="B231" s="1142"/>
      <c r="C231" s="1142"/>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7"/>
      <c r="AE231" s="2847"/>
      <c r="AF231" s="2847"/>
      <c r="AG231" s="2847"/>
      <c r="AH231" s="2847"/>
      <c r="AI231" s="2847"/>
      <c r="AJ231" s="2847"/>
      <c r="AK231" s="2847"/>
      <c r="AL231" s="2847"/>
      <c r="AM231" s="2847"/>
      <c r="AN231" s="2847"/>
      <c r="AO231" s="2847"/>
      <c r="AP231" s="2847"/>
      <c r="AQ231" s="2847"/>
      <c r="AR231" s="2847"/>
      <c r="AS231" s="2847"/>
      <c r="AT231" s="2829"/>
      <c r="AU231" s="2856"/>
      <c r="AV231" s="790">
        <f t="shared" si="127"/>
        <v>0</v>
      </c>
      <c r="AW231" s="790">
        <f t="shared" si="128"/>
        <v>0</v>
      </c>
      <c r="AX231" s="790">
        <f t="shared" si="129"/>
        <v>0</v>
      </c>
      <c r="AY231" s="1069">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4">
        <f t="shared" si="151"/>
        <v>0</v>
      </c>
    </row>
    <row r="232" spans="1:72">
      <c r="A232" s="1134"/>
      <c r="B232" s="1142"/>
      <c r="C232" s="1142"/>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7"/>
      <c r="AE232" s="2847"/>
      <c r="AF232" s="2847"/>
      <c r="AG232" s="2847"/>
      <c r="AH232" s="2847"/>
      <c r="AI232" s="2847"/>
      <c r="AJ232" s="2847"/>
      <c r="AK232" s="2847"/>
      <c r="AL232" s="2847"/>
      <c r="AM232" s="2847"/>
      <c r="AN232" s="2847"/>
      <c r="AO232" s="2847"/>
      <c r="AP232" s="2847"/>
      <c r="AQ232" s="2847"/>
      <c r="AR232" s="2847"/>
      <c r="AS232" s="2847"/>
      <c r="AT232" s="2829"/>
      <c r="AU232" s="2856"/>
      <c r="AV232" s="790">
        <f t="shared" si="127"/>
        <v>0</v>
      </c>
      <c r="AW232" s="790">
        <f t="shared" si="128"/>
        <v>0</v>
      </c>
      <c r="AX232" s="790">
        <f t="shared" si="129"/>
        <v>0</v>
      </c>
      <c r="AY232" s="1069">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4">
        <f t="shared" si="151"/>
        <v>0</v>
      </c>
    </row>
    <row r="233" spans="1:72">
      <c r="A233" s="1134"/>
      <c r="B233" s="1142"/>
      <c r="C233" s="1142"/>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7"/>
      <c r="AE233" s="2847"/>
      <c r="AF233" s="2847"/>
      <c r="AG233" s="2847"/>
      <c r="AH233" s="2847"/>
      <c r="AI233" s="2847"/>
      <c r="AJ233" s="2847"/>
      <c r="AK233" s="2847"/>
      <c r="AL233" s="2847"/>
      <c r="AM233" s="2847"/>
      <c r="AN233" s="2847"/>
      <c r="AO233" s="2847"/>
      <c r="AP233" s="2847"/>
      <c r="AQ233" s="2847"/>
      <c r="AR233" s="2847"/>
      <c r="AS233" s="2847"/>
      <c r="AT233" s="2829"/>
      <c r="AU233" s="2856"/>
      <c r="AV233" s="790">
        <f t="shared" si="127"/>
        <v>0</v>
      </c>
      <c r="AW233" s="790">
        <f t="shared" si="128"/>
        <v>0</v>
      </c>
      <c r="AX233" s="790">
        <f t="shared" si="129"/>
        <v>0</v>
      </c>
      <c r="AY233" s="1069">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4">
        <f t="shared" si="151"/>
        <v>0</v>
      </c>
    </row>
    <row r="234" spans="1:72">
      <c r="A234" s="1134"/>
      <c r="B234" s="1142"/>
      <c r="C234" s="1142"/>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7"/>
      <c r="AE234" s="2847"/>
      <c r="AF234" s="2847"/>
      <c r="AG234" s="2847"/>
      <c r="AH234" s="2847"/>
      <c r="AI234" s="2847"/>
      <c r="AJ234" s="2847"/>
      <c r="AK234" s="2847"/>
      <c r="AL234" s="2847"/>
      <c r="AM234" s="2847"/>
      <c r="AN234" s="2847"/>
      <c r="AO234" s="2847"/>
      <c r="AP234" s="2847"/>
      <c r="AQ234" s="2847"/>
      <c r="AR234" s="2847"/>
      <c r="AS234" s="2847"/>
      <c r="AT234" s="2829"/>
      <c r="AU234" s="2856"/>
      <c r="AV234" s="790">
        <f t="shared" si="127"/>
        <v>0</v>
      </c>
      <c r="AW234" s="790">
        <f t="shared" si="128"/>
        <v>0</v>
      </c>
      <c r="AX234" s="790">
        <f t="shared" si="129"/>
        <v>0</v>
      </c>
      <c r="AY234" s="1069">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4">
        <f t="shared" si="151"/>
        <v>0</v>
      </c>
    </row>
    <row r="235" spans="1:72">
      <c r="A235" s="1134"/>
      <c r="B235" s="1142"/>
      <c r="C235" s="1142"/>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7"/>
      <c r="AE235" s="2847"/>
      <c r="AF235" s="2847"/>
      <c r="AG235" s="2847"/>
      <c r="AH235" s="2847"/>
      <c r="AI235" s="2847"/>
      <c r="AJ235" s="2847"/>
      <c r="AK235" s="2847"/>
      <c r="AL235" s="2847"/>
      <c r="AM235" s="2847"/>
      <c r="AN235" s="2847"/>
      <c r="AO235" s="2847"/>
      <c r="AP235" s="2847"/>
      <c r="AQ235" s="2847"/>
      <c r="AR235" s="2847"/>
      <c r="AS235" s="2847"/>
      <c r="AT235" s="2829"/>
      <c r="AU235" s="2856"/>
      <c r="AV235" s="790">
        <f t="shared" si="127"/>
        <v>0</v>
      </c>
      <c r="AW235" s="790">
        <f t="shared" si="128"/>
        <v>0</v>
      </c>
      <c r="AX235" s="790">
        <f t="shared" si="129"/>
        <v>0</v>
      </c>
      <c r="AY235" s="1069">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4">
        <f t="shared" si="151"/>
        <v>0</v>
      </c>
    </row>
    <row r="236" spans="1:72">
      <c r="A236" s="1134"/>
      <c r="B236" s="1142"/>
      <c r="C236" s="1142"/>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7"/>
      <c r="AE236" s="2847"/>
      <c r="AF236" s="2847"/>
      <c r="AG236" s="2847"/>
      <c r="AH236" s="2847"/>
      <c r="AI236" s="2847"/>
      <c r="AJ236" s="2847"/>
      <c r="AK236" s="2847"/>
      <c r="AL236" s="2847"/>
      <c r="AM236" s="2847"/>
      <c r="AN236" s="2847"/>
      <c r="AO236" s="2847"/>
      <c r="AP236" s="2847"/>
      <c r="AQ236" s="2847"/>
      <c r="AR236" s="2847"/>
      <c r="AS236" s="2847"/>
      <c r="AT236" s="2829"/>
      <c r="AU236" s="2856"/>
      <c r="AV236" s="790">
        <f t="shared" si="127"/>
        <v>0</v>
      </c>
      <c r="AW236" s="790">
        <f t="shared" si="128"/>
        <v>0</v>
      </c>
      <c r="AX236" s="790">
        <f t="shared" si="129"/>
        <v>0</v>
      </c>
      <c r="AY236" s="1069">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4">
        <f t="shared" si="151"/>
        <v>0</v>
      </c>
    </row>
    <row r="237" spans="1:72">
      <c r="A237" s="1134"/>
      <c r="B237" s="1142"/>
      <c r="C237" s="1142"/>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7"/>
      <c r="AE237" s="2847"/>
      <c r="AF237" s="2847"/>
      <c r="AG237" s="2847"/>
      <c r="AH237" s="2847"/>
      <c r="AI237" s="2847"/>
      <c r="AJ237" s="2847"/>
      <c r="AK237" s="2847"/>
      <c r="AL237" s="2847"/>
      <c r="AM237" s="2847"/>
      <c r="AN237" s="2847"/>
      <c r="AO237" s="2847"/>
      <c r="AP237" s="2847"/>
      <c r="AQ237" s="2847"/>
      <c r="AR237" s="2847"/>
      <c r="AS237" s="2847"/>
      <c r="AT237" s="2829"/>
      <c r="AU237" s="2856"/>
      <c r="AV237" s="790">
        <f t="shared" si="127"/>
        <v>0</v>
      </c>
      <c r="AW237" s="790">
        <f t="shared" si="128"/>
        <v>0</v>
      </c>
      <c r="AX237" s="790">
        <f t="shared" si="129"/>
        <v>0</v>
      </c>
      <c r="AY237" s="1069">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4">
        <f t="shared" si="151"/>
        <v>0</v>
      </c>
    </row>
    <row r="238" spans="1:72">
      <c r="A238" s="1134"/>
      <c r="B238" s="1142"/>
      <c r="C238" s="1142"/>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7"/>
      <c r="AE238" s="2847"/>
      <c r="AF238" s="2847"/>
      <c r="AG238" s="2847"/>
      <c r="AH238" s="2847"/>
      <c r="AI238" s="2847"/>
      <c r="AJ238" s="2847"/>
      <c r="AK238" s="2847"/>
      <c r="AL238" s="2847"/>
      <c r="AM238" s="2847"/>
      <c r="AN238" s="2847"/>
      <c r="AO238" s="2847"/>
      <c r="AP238" s="2847"/>
      <c r="AQ238" s="2847"/>
      <c r="AR238" s="2847"/>
      <c r="AS238" s="2847"/>
      <c r="AT238" s="2829"/>
      <c r="AU238" s="2856"/>
      <c r="AV238" s="790">
        <f t="shared" si="127"/>
        <v>0</v>
      </c>
      <c r="AW238" s="790">
        <f t="shared" si="128"/>
        <v>0</v>
      </c>
      <c r="AX238" s="790">
        <f t="shared" si="129"/>
        <v>0</v>
      </c>
      <c r="AY238" s="1069">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4">
        <f t="shared" si="151"/>
        <v>0</v>
      </c>
    </row>
    <row r="239" spans="1:72">
      <c r="A239" s="1134"/>
      <c r="B239" s="1142"/>
      <c r="C239" s="1142"/>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7"/>
      <c r="AE239" s="2847"/>
      <c r="AF239" s="2847"/>
      <c r="AG239" s="2847"/>
      <c r="AH239" s="2847"/>
      <c r="AI239" s="2847"/>
      <c r="AJ239" s="2847"/>
      <c r="AK239" s="2847"/>
      <c r="AL239" s="2847"/>
      <c r="AM239" s="2847"/>
      <c r="AN239" s="2847"/>
      <c r="AO239" s="2847"/>
      <c r="AP239" s="2847"/>
      <c r="AQ239" s="2847"/>
      <c r="AR239" s="2847"/>
      <c r="AS239" s="2847"/>
      <c r="AT239" s="2829"/>
      <c r="AU239" s="2856"/>
      <c r="AV239" s="790">
        <f t="shared" si="127"/>
        <v>0</v>
      </c>
      <c r="AW239" s="790">
        <f t="shared" si="128"/>
        <v>0</v>
      </c>
      <c r="AX239" s="790">
        <f t="shared" si="129"/>
        <v>0</v>
      </c>
      <c r="AY239" s="1069">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4">
        <f t="shared" si="151"/>
        <v>0</v>
      </c>
    </row>
    <row r="240" spans="1:72">
      <c r="A240" s="1134"/>
      <c r="B240" s="1142"/>
      <c r="C240" s="1142"/>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7"/>
      <c r="AE240" s="2847"/>
      <c r="AF240" s="2847"/>
      <c r="AG240" s="2847"/>
      <c r="AH240" s="2847"/>
      <c r="AI240" s="2847"/>
      <c r="AJ240" s="2847"/>
      <c r="AK240" s="2847"/>
      <c r="AL240" s="2847"/>
      <c r="AM240" s="2847"/>
      <c r="AN240" s="2847"/>
      <c r="AO240" s="2847"/>
      <c r="AP240" s="2847"/>
      <c r="AQ240" s="2847"/>
      <c r="AR240" s="2847"/>
      <c r="AS240" s="2847"/>
      <c r="AT240" s="2829"/>
      <c r="AU240" s="2856"/>
      <c r="AV240" s="790">
        <f t="shared" si="127"/>
        <v>0</v>
      </c>
      <c r="AW240" s="790">
        <f t="shared" si="128"/>
        <v>0</v>
      </c>
      <c r="AX240" s="790">
        <f t="shared" si="129"/>
        <v>0</v>
      </c>
      <c r="AY240" s="1069">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4">
        <f t="shared" si="151"/>
        <v>0</v>
      </c>
    </row>
    <row r="241" spans="1:72">
      <c r="A241" s="1134"/>
      <c r="B241" s="1142"/>
      <c r="C241" s="1142"/>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7"/>
      <c r="AE241" s="2847"/>
      <c r="AF241" s="2847"/>
      <c r="AG241" s="2847"/>
      <c r="AH241" s="2847"/>
      <c r="AI241" s="2847"/>
      <c r="AJ241" s="2847"/>
      <c r="AK241" s="2847"/>
      <c r="AL241" s="2847"/>
      <c r="AM241" s="2847"/>
      <c r="AN241" s="2847"/>
      <c r="AO241" s="2847"/>
      <c r="AP241" s="2847"/>
      <c r="AQ241" s="2847"/>
      <c r="AR241" s="2847"/>
      <c r="AS241" s="2847"/>
      <c r="AT241" s="2829"/>
      <c r="AU241" s="2856"/>
      <c r="AV241" s="790">
        <f t="shared" si="127"/>
        <v>0</v>
      </c>
      <c r="AW241" s="790">
        <f t="shared" si="128"/>
        <v>0</v>
      </c>
      <c r="AX241" s="790">
        <f t="shared" si="129"/>
        <v>0</v>
      </c>
      <c r="AY241" s="1069">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4">
        <f t="shared" si="151"/>
        <v>0</v>
      </c>
    </row>
    <row r="242" spans="1:72">
      <c r="A242" s="1134"/>
      <c r="B242" s="1142"/>
      <c r="C242" s="1142"/>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7"/>
      <c r="AE242" s="2847"/>
      <c r="AF242" s="2847"/>
      <c r="AG242" s="2847"/>
      <c r="AH242" s="2847"/>
      <c r="AI242" s="2847"/>
      <c r="AJ242" s="2847"/>
      <c r="AK242" s="2847"/>
      <c r="AL242" s="2847"/>
      <c r="AM242" s="2847"/>
      <c r="AN242" s="2847"/>
      <c r="AO242" s="2847"/>
      <c r="AP242" s="2847"/>
      <c r="AQ242" s="2847"/>
      <c r="AR242" s="2847"/>
      <c r="AS242" s="2847"/>
      <c r="AT242" s="2829"/>
      <c r="AU242" s="2856"/>
      <c r="AV242" s="790">
        <f t="shared" si="127"/>
        <v>0</v>
      </c>
      <c r="AW242" s="790">
        <f t="shared" si="128"/>
        <v>0</v>
      </c>
      <c r="AX242" s="790">
        <f t="shared" si="129"/>
        <v>0</v>
      </c>
      <c r="AY242" s="1069">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4">
        <f t="shared" si="151"/>
        <v>0</v>
      </c>
    </row>
    <row r="243" spans="1:72">
      <c r="A243" s="1134"/>
      <c r="B243" s="1142"/>
      <c r="C243" s="1142"/>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7"/>
      <c r="AE243" s="2847"/>
      <c r="AF243" s="2847"/>
      <c r="AG243" s="2847"/>
      <c r="AH243" s="2847"/>
      <c r="AI243" s="2847"/>
      <c r="AJ243" s="2847"/>
      <c r="AK243" s="2847"/>
      <c r="AL243" s="2847"/>
      <c r="AM243" s="2847"/>
      <c r="AN243" s="2847"/>
      <c r="AO243" s="2847"/>
      <c r="AP243" s="2847"/>
      <c r="AQ243" s="2847"/>
      <c r="AR243" s="2847"/>
      <c r="AS243" s="2847"/>
      <c r="AT243" s="2829"/>
      <c r="AU243" s="2856"/>
      <c r="AV243" s="790">
        <f t="shared" si="127"/>
        <v>0</v>
      </c>
      <c r="AW243" s="790">
        <f t="shared" si="128"/>
        <v>0</v>
      </c>
      <c r="AX243" s="790">
        <f t="shared" si="129"/>
        <v>0</v>
      </c>
      <c r="AY243" s="1069">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4">
        <f t="shared" si="151"/>
        <v>0</v>
      </c>
    </row>
    <row r="244" spans="1:72">
      <c r="A244" s="1134"/>
      <c r="B244" s="1142"/>
      <c r="C244" s="1142"/>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7"/>
      <c r="AE244" s="2847"/>
      <c r="AF244" s="2847"/>
      <c r="AG244" s="2847"/>
      <c r="AH244" s="2847"/>
      <c r="AI244" s="2847"/>
      <c r="AJ244" s="2847"/>
      <c r="AK244" s="2847"/>
      <c r="AL244" s="2847"/>
      <c r="AM244" s="2847"/>
      <c r="AN244" s="2847"/>
      <c r="AO244" s="2847"/>
      <c r="AP244" s="2847"/>
      <c r="AQ244" s="2847"/>
      <c r="AR244" s="2847"/>
      <c r="AS244" s="2847"/>
      <c r="AT244" s="2829"/>
      <c r="AU244" s="2856"/>
      <c r="AV244" s="790">
        <f t="shared" si="127"/>
        <v>0</v>
      </c>
      <c r="AW244" s="790">
        <f t="shared" si="128"/>
        <v>0</v>
      </c>
      <c r="AX244" s="790">
        <f t="shared" si="129"/>
        <v>0</v>
      </c>
      <c r="AY244" s="1069">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4">
        <f t="shared" si="151"/>
        <v>0</v>
      </c>
    </row>
    <row r="245" spans="1:72">
      <c r="A245" s="1134"/>
      <c r="B245" s="1142"/>
      <c r="C245" s="1142"/>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7"/>
      <c r="AE245" s="2847"/>
      <c r="AF245" s="2847"/>
      <c r="AG245" s="2847"/>
      <c r="AH245" s="2847"/>
      <c r="AI245" s="2847"/>
      <c r="AJ245" s="2847"/>
      <c r="AK245" s="2847"/>
      <c r="AL245" s="2847"/>
      <c r="AM245" s="2847"/>
      <c r="AN245" s="2847"/>
      <c r="AO245" s="2847"/>
      <c r="AP245" s="2847"/>
      <c r="AQ245" s="2847"/>
      <c r="AR245" s="2847"/>
      <c r="AS245" s="2847"/>
      <c r="AT245" s="2829"/>
      <c r="AU245" s="2856"/>
      <c r="AV245" s="790">
        <f t="shared" si="127"/>
        <v>0</v>
      </c>
      <c r="AW245" s="790">
        <f t="shared" si="128"/>
        <v>0</v>
      </c>
      <c r="AX245" s="790">
        <f t="shared" si="129"/>
        <v>0</v>
      </c>
      <c r="AY245" s="1069">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4">
        <f t="shared" si="151"/>
        <v>0</v>
      </c>
    </row>
    <row r="246" spans="1:72">
      <c r="A246" s="1134"/>
      <c r="B246" s="1142"/>
      <c r="C246" s="1142"/>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7"/>
      <c r="AE246" s="2847"/>
      <c r="AF246" s="2847"/>
      <c r="AG246" s="2847"/>
      <c r="AH246" s="2847"/>
      <c r="AI246" s="2847"/>
      <c r="AJ246" s="2847"/>
      <c r="AK246" s="2847"/>
      <c r="AL246" s="2847"/>
      <c r="AM246" s="2847"/>
      <c r="AN246" s="2847"/>
      <c r="AO246" s="2847"/>
      <c r="AP246" s="2847"/>
      <c r="AQ246" s="2847"/>
      <c r="AR246" s="2847"/>
      <c r="AS246" s="2847"/>
      <c r="AT246" s="2829"/>
      <c r="AU246" s="2856"/>
      <c r="AV246" s="790">
        <f t="shared" si="127"/>
        <v>0</v>
      </c>
      <c r="AW246" s="790">
        <f t="shared" si="128"/>
        <v>0</v>
      </c>
      <c r="AX246" s="790">
        <f t="shared" si="129"/>
        <v>0</v>
      </c>
      <c r="AY246" s="1069">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4">
        <f t="shared" si="151"/>
        <v>0</v>
      </c>
    </row>
    <row r="247" spans="1:72">
      <c r="A247" s="1134"/>
      <c r="B247" s="1142"/>
      <c r="C247" s="1142"/>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7"/>
      <c r="AE247" s="2847"/>
      <c r="AF247" s="2847"/>
      <c r="AG247" s="2847"/>
      <c r="AH247" s="2847"/>
      <c r="AI247" s="2847"/>
      <c r="AJ247" s="2847"/>
      <c r="AK247" s="2847"/>
      <c r="AL247" s="2847"/>
      <c r="AM247" s="2847"/>
      <c r="AN247" s="2847"/>
      <c r="AO247" s="2847"/>
      <c r="AP247" s="2847"/>
      <c r="AQ247" s="2847"/>
      <c r="AR247" s="2847"/>
      <c r="AS247" s="2847"/>
      <c r="AT247" s="2829"/>
      <c r="AU247" s="2856"/>
      <c r="AV247" s="790">
        <f t="shared" si="127"/>
        <v>0</v>
      </c>
      <c r="AW247" s="790">
        <f t="shared" si="128"/>
        <v>0</v>
      </c>
      <c r="AX247" s="790">
        <f t="shared" si="129"/>
        <v>0</v>
      </c>
      <c r="AY247" s="1069">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4">
        <f t="shared" si="151"/>
        <v>0</v>
      </c>
    </row>
    <row r="248" spans="1:72">
      <c r="A248" s="1134"/>
      <c r="B248" s="1142"/>
      <c r="C248" s="1142"/>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7"/>
      <c r="AE248" s="2847"/>
      <c r="AF248" s="2847"/>
      <c r="AG248" s="2847"/>
      <c r="AH248" s="2847"/>
      <c r="AI248" s="2847"/>
      <c r="AJ248" s="2847"/>
      <c r="AK248" s="2847"/>
      <c r="AL248" s="2847"/>
      <c r="AM248" s="2847"/>
      <c r="AN248" s="2847"/>
      <c r="AO248" s="2847"/>
      <c r="AP248" s="2847"/>
      <c r="AQ248" s="2847"/>
      <c r="AR248" s="2847"/>
      <c r="AS248" s="2847"/>
      <c r="AT248" s="2829"/>
      <c r="AU248" s="2856"/>
      <c r="AV248" s="790">
        <f t="shared" si="127"/>
        <v>0</v>
      </c>
      <c r="AW248" s="790">
        <f t="shared" si="128"/>
        <v>0</v>
      </c>
      <c r="AX248" s="790">
        <f t="shared" si="129"/>
        <v>0</v>
      </c>
      <c r="AY248" s="1069">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4">
        <f t="shared" si="151"/>
        <v>0</v>
      </c>
    </row>
    <row r="249" spans="1:72">
      <c r="A249" s="1134"/>
      <c r="B249" s="1142"/>
      <c r="C249" s="1142"/>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7"/>
      <c r="AE249" s="2847"/>
      <c r="AF249" s="2847"/>
      <c r="AG249" s="2847"/>
      <c r="AH249" s="2847"/>
      <c r="AI249" s="2847"/>
      <c r="AJ249" s="2847"/>
      <c r="AK249" s="2847"/>
      <c r="AL249" s="2847"/>
      <c r="AM249" s="2847"/>
      <c r="AN249" s="2847"/>
      <c r="AO249" s="2847"/>
      <c r="AP249" s="2847"/>
      <c r="AQ249" s="2847"/>
      <c r="AR249" s="2847"/>
      <c r="AS249" s="2847"/>
      <c r="AT249" s="2829"/>
      <c r="AU249" s="2856"/>
      <c r="AV249" s="790">
        <f t="shared" si="127"/>
        <v>0</v>
      </c>
      <c r="AW249" s="790">
        <f t="shared" si="128"/>
        <v>0</v>
      </c>
      <c r="AX249" s="790">
        <f t="shared" si="129"/>
        <v>0</v>
      </c>
      <c r="AY249" s="1069">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4">
        <f t="shared" si="151"/>
        <v>0</v>
      </c>
    </row>
    <row r="250" spans="1:72">
      <c r="A250" s="1134"/>
      <c r="B250" s="1142"/>
      <c r="C250" s="1142"/>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7"/>
      <c r="AE250" s="2847"/>
      <c r="AF250" s="2847"/>
      <c r="AG250" s="2847"/>
      <c r="AH250" s="2847"/>
      <c r="AI250" s="2847"/>
      <c r="AJ250" s="2847"/>
      <c r="AK250" s="2847"/>
      <c r="AL250" s="2847"/>
      <c r="AM250" s="2847"/>
      <c r="AN250" s="2847"/>
      <c r="AO250" s="2847"/>
      <c r="AP250" s="2847"/>
      <c r="AQ250" s="2847"/>
      <c r="AR250" s="2847"/>
      <c r="AS250" s="2847"/>
      <c r="AT250" s="2829"/>
      <c r="AU250" s="2856"/>
      <c r="AV250" s="790">
        <f t="shared" si="127"/>
        <v>0</v>
      </c>
      <c r="AW250" s="790">
        <f t="shared" si="128"/>
        <v>0</v>
      </c>
      <c r="AX250" s="790">
        <f t="shared" si="129"/>
        <v>0</v>
      </c>
      <c r="AY250" s="1069">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4">
        <f t="shared" si="151"/>
        <v>0</v>
      </c>
    </row>
    <row r="251" spans="1:72">
      <c r="A251" s="1134"/>
      <c r="B251" s="1142"/>
      <c r="C251" s="1142"/>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7"/>
      <c r="AE251" s="2847"/>
      <c r="AF251" s="2847"/>
      <c r="AG251" s="2847"/>
      <c r="AH251" s="2847"/>
      <c r="AI251" s="2847"/>
      <c r="AJ251" s="2847"/>
      <c r="AK251" s="2847"/>
      <c r="AL251" s="2847"/>
      <c r="AM251" s="2847"/>
      <c r="AN251" s="2847"/>
      <c r="AO251" s="2847"/>
      <c r="AP251" s="2847"/>
      <c r="AQ251" s="2847"/>
      <c r="AR251" s="2847"/>
      <c r="AS251" s="2847"/>
      <c r="AT251" s="2829"/>
      <c r="AU251" s="2856"/>
      <c r="AV251" s="790">
        <f t="shared" si="127"/>
        <v>0</v>
      </c>
      <c r="AW251" s="790">
        <f t="shared" si="128"/>
        <v>0</v>
      </c>
      <c r="AX251" s="790">
        <f t="shared" si="129"/>
        <v>0</v>
      </c>
      <c r="AY251" s="1069">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4">
        <f t="shared" si="151"/>
        <v>0</v>
      </c>
    </row>
    <row r="252" spans="1:72">
      <c r="A252" s="1134"/>
      <c r="B252" s="1142"/>
      <c r="C252" s="1142"/>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7"/>
      <c r="AE252" s="2847"/>
      <c r="AF252" s="2847"/>
      <c r="AG252" s="2847"/>
      <c r="AH252" s="2847"/>
      <c r="AI252" s="2847"/>
      <c r="AJ252" s="2847"/>
      <c r="AK252" s="2847"/>
      <c r="AL252" s="2847"/>
      <c r="AM252" s="2847"/>
      <c r="AN252" s="2847"/>
      <c r="AO252" s="2847"/>
      <c r="AP252" s="2847"/>
      <c r="AQ252" s="2847"/>
      <c r="AR252" s="2847"/>
      <c r="AS252" s="2847"/>
      <c r="AT252" s="2829"/>
      <c r="AU252" s="2856"/>
      <c r="AV252" s="790">
        <f t="shared" si="127"/>
        <v>0</v>
      </c>
      <c r="AW252" s="790">
        <f t="shared" si="128"/>
        <v>0</v>
      </c>
      <c r="AX252" s="790">
        <f t="shared" si="129"/>
        <v>0</v>
      </c>
      <c r="AY252" s="1069">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4">
        <f t="shared" si="151"/>
        <v>0</v>
      </c>
    </row>
    <row r="253" spans="1:72">
      <c r="A253" s="1134"/>
      <c r="B253" s="1142"/>
      <c r="C253" s="1142"/>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7"/>
      <c r="AE253" s="2847"/>
      <c r="AF253" s="2847"/>
      <c r="AG253" s="2847"/>
      <c r="AH253" s="2847"/>
      <c r="AI253" s="2847"/>
      <c r="AJ253" s="2847"/>
      <c r="AK253" s="2847"/>
      <c r="AL253" s="2847"/>
      <c r="AM253" s="2847"/>
      <c r="AN253" s="2847"/>
      <c r="AO253" s="2847"/>
      <c r="AP253" s="2847"/>
      <c r="AQ253" s="2847"/>
      <c r="AR253" s="2847"/>
      <c r="AS253" s="2847"/>
      <c r="AT253" s="2829"/>
      <c r="AU253" s="2856"/>
      <c r="AV253" s="790">
        <f t="shared" si="127"/>
        <v>0</v>
      </c>
      <c r="AW253" s="790">
        <f t="shared" si="128"/>
        <v>0</v>
      </c>
      <c r="AX253" s="790">
        <f t="shared" si="129"/>
        <v>0</v>
      </c>
      <c r="AY253" s="1069">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4">
        <f t="shared" si="151"/>
        <v>0</v>
      </c>
    </row>
    <row r="254" spans="1:72">
      <c r="A254" s="1134"/>
      <c r="B254" s="1142"/>
      <c r="C254" s="1142"/>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7"/>
      <c r="AE254" s="2847"/>
      <c r="AF254" s="2847"/>
      <c r="AG254" s="2847"/>
      <c r="AH254" s="2847"/>
      <c r="AI254" s="2847"/>
      <c r="AJ254" s="2847"/>
      <c r="AK254" s="2847"/>
      <c r="AL254" s="2847"/>
      <c r="AM254" s="2847"/>
      <c r="AN254" s="2847"/>
      <c r="AO254" s="2847"/>
      <c r="AP254" s="2847"/>
      <c r="AQ254" s="2847"/>
      <c r="AR254" s="2847"/>
      <c r="AS254" s="2847"/>
      <c r="AT254" s="2829"/>
      <c r="AU254" s="2856"/>
      <c r="AV254" s="790">
        <f t="shared" si="127"/>
        <v>0</v>
      </c>
      <c r="AW254" s="790">
        <f t="shared" si="128"/>
        <v>0</v>
      </c>
      <c r="AX254" s="790">
        <f t="shared" si="129"/>
        <v>0</v>
      </c>
      <c r="AY254" s="1069">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4">
        <f t="shared" si="151"/>
        <v>0</v>
      </c>
    </row>
    <row r="255" spans="1:72">
      <c r="A255" s="1134"/>
      <c r="B255" s="1142"/>
      <c r="C255" s="1142"/>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7"/>
      <c r="AE255" s="2847"/>
      <c r="AF255" s="2847"/>
      <c r="AG255" s="2847"/>
      <c r="AH255" s="2847"/>
      <c r="AI255" s="2847"/>
      <c r="AJ255" s="2847"/>
      <c r="AK255" s="2847"/>
      <c r="AL255" s="2847"/>
      <c r="AM255" s="2847"/>
      <c r="AN255" s="2847"/>
      <c r="AO255" s="2847"/>
      <c r="AP255" s="2847"/>
      <c r="AQ255" s="2847"/>
      <c r="AR255" s="2847"/>
      <c r="AS255" s="2847"/>
      <c r="AT255" s="2829"/>
      <c r="AU255" s="2856"/>
      <c r="AV255" s="790">
        <f t="shared" si="127"/>
        <v>0</v>
      </c>
      <c r="AW255" s="790">
        <f t="shared" si="128"/>
        <v>0</v>
      </c>
      <c r="AX255" s="790">
        <f t="shared" si="129"/>
        <v>0</v>
      </c>
      <c r="AY255" s="1069">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4">
        <f t="shared" si="151"/>
        <v>0</v>
      </c>
    </row>
    <row r="256" spans="1:72">
      <c r="A256" s="1134"/>
      <c r="B256" s="1142"/>
      <c r="C256" s="1142"/>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7"/>
      <c r="AE256" s="2847"/>
      <c r="AF256" s="2847"/>
      <c r="AG256" s="2847"/>
      <c r="AH256" s="2847"/>
      <c r="AI256" s="2847"/>
      <c r="AJ256" s="2847"/>
      <c r="AK256" s="2847"/>
      <c r="AL256" s="2847"/>
      <c r="AM256" s="2847"/>
      <c r="AN256" s="2847"/>
      <c r="AO256" s="2847"/>
      <c r="AP256" s="2847"/>
      <c r="AQ256" s="2847"/>
      <c r="AR256" s="2847"/>
      <c r="AS256" s="2847"/>
      <c r="AT256" s="2829"/>
      <c r="AU256" s="2856"/>
      <c r="AV256" s="790">
        <f t="shared" si="127"/>
        <v>0</v>
      </c>
      <c r="AW256" s="790">
        <f t="shared" si="128"/>
        <v>0</v>
      </c>
      <c r="AX256" s="790">
        <f t="shared" si="129"/>
        <v>0</v>
      </c>
      <c r="AY256" s="1069">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4">
        <f t="shared" si="151"/>
        <v>0</v>
      </c>
    </row>
    <row r="257" spans="1:72">
      <c r="A257" s="1134"/>
      <c r="B257" s="1142"/>
      <c r="C257" s="1142"/>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7"/>
      <c r="AE257" s="2847"/>
      <c r="AF257" s="2847"/>
      <c r="AG257" s="2847"/>
      <c r="AH257" s="2847"/>
      <c r="AI257" s="2847"/>
      <c r="AJ257" s="2847"/>
      <c r="AK257" s="2847"/>
      <c r="AL257" s="2847"/>
      <c r="AM257" s="2847"/>
      <c r="AN257" s="2847"/>
      <c r="AO257" s="2847"/>
      <c r="AP257" s="2847"/>
      <c r="AQ257" s="2847"/>
      <c r="AR257" s="2847"/>
      <c r="AS257" s="2847"/>
      <c r="AT257" s="2829"/>
      <c r="AU257" s="2856"/>
      <c r="AV257" s="790">
        <f t="shared" si="127"/>
        <v>0</v>
      </c>
      <c r="AW257" s="790">
        <f t="shared" si="128"/>
        <v>0</v>
      </c>
      <c r="AX257" s="790">
        <f t="shared" si="129"/>
        <v>0</v>
      </c>
      <c r="AY257" s="1069">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4">
        <f t="shared" si="151"/>
        <v>0</v>
      </c>
    </row>
    <row r="258" spans="1:72">
      <c r="A258" s="1134"/>
      <c r="B258" s="1142"/>
      <c r="C258" s="1142"/>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7"/>
      <c r="AE258" s="2847"/>
      <c r="AF258" s="2847"/>
      <c r="AG258" s="2847"/>
      <c r="AH258" s="2847"/>
      <c r="AI258" s="2847"/>
      <c r="AJ258" s="2847"/>
      <c r="AK258" s="2847"/>
      <c r="AL258" s="2847"/>
      <c r="AM258" s="2847"/>
      <c r="AN258" s="2847"/>
      <c r="AO258" s="2847"/>
      <c r="AP258" s="2847"/>
      <c r="AQ258" s="2847"/>
      <c r="AR258" s="2847"/>
      <c r="AS258" s="2847"/>
      <c r="AT258" s="2829"/>
      <c r="AU258" s="2856"/>
      <c r="AV258" s="790">
        <f t="shared" si="127"/>
        <v>0</v>
      </c>
      <c r="AW258" s="790">
        <f t="shared" si="128"/>
        <v>0</v>
      </c>
      <c r="AX258" s="790">
        <f t="shared" si="129"/>
        <v>0</v>
      </c>
      <c r="AY258" s="1069">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4">
        <f t="shared" si="151"/>
        <v>0</v>
      </c>
    </row>
    <row r="259" spans="1:72">
      <c r="A259" s="1134"/>
      <c r="B259" s="1142"/>
      <c r="C259" s="1142"/>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7"/>
      <c r="AE259" s="2847"/>
      <c r="AF259" s="2847"/>
      <c r="AG259" s="2847"/>
      <c r="AH259" s="2847"/>
      <c r="AI259" s="2847"/>
      <c r="AJ259" s="2847"/>
      <c r="AK259" s="2847"/>
      <c r="AL259" s="2847"/>
      <c r="AM259" s="2847"/>
      <c r="AN259" s="2847"/>
      <c r="AO259" s="2847"/>
      <c r="AP259" s="2847"/>
      <c r="AQ259" s="2847"/>
      <c r="AR259" s="2847"/>
      <c r="AS259" s="2847"/>
      <c r="AT259" s="2829"/>
      <c r="AU259" s="2856"/>
      <c r="AV259" s="790">
        <f t="shared" si="127"/>
        <v>0</v>
      </c>
      <c r="AW259" s="790">
        <f t="shared" si="128"/>
        <v>0</v>
      </c>
      <c r="AX259" s="790">
        <f t="shared" si="129"/>
        <v>0</v>
      </c>
      <c r="AY259" s="1069">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4">
        <f t="shared" si="151"/>
        <v>0</v>
      </c>
    </row>
    <row r="260" spans="1:72">
      <c r="A260" s="1134"/>
      <c r="B260" s="1142"/>
      <c r="C260" s="1142"/>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7"/>
      <c r="AE260" s="2847"/>
      <c r="AF260" s="2847"/>
      <c r="AG260" s="2847"/>
      <c r="AH260" s="2847"/>
      <c r="AI260" s="2847"/>
      <c r="AJ260" s="2847"/>
      <c r="AK260" s="2847"/>
      <c r="AL260" s="2847"/>
      <c r="AM260" s="2847"/>
      <c r="AN260" s="2847"/>
      <c r="AO260" s="2847"/>
      <c r="AP260" s="2847"/>
      <c r="AQ260" s="2847"/>
      <c r="AR260" s="2847"/>
      <c r="AS260" s="2847"/>
      <c r="AT260" s="2829"/>
      <c r="AU260" s="2856"/>
      <c r="AV260" s="790">
        <f t="shared" si="127"/>
        <v>0</v>
      </c>
      <c r="AW260" s="790">
        <f t="shared" si="128"/>
        <v>0</v>
      </c>
      <c r="AX260" s="790">
        <f t="shared" si="129"/>
        <v>0</v>
      </c>
      <c r="AY260" s="1069">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4">
        <f t="shared" si="151"/>
        <v>0</v>
      </c>
    </row>
    <row r="261" spans="1:72">
      <c r="A261" s="1134"/>
      <c r="B261" s="1142"/>
      <c r="C261" s="1142"/>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7"/>
      <c r="AE261" s="2847"/>
      <c r="AF261" s="2847"/>
      <c r="AG261" s="2847"/>
      <c r="AH261" s="2847"/>
      <c r="AI261" s="2847"/>
      <c r="AJ261" s="2847"/>
      <c r="AK261" s="2847"/>
      <c r="AL261" s="2847"/>
      <c r="AM261" s="2847"/>
      <c r="AN261" s="2847"/>
      <c r="AO261" s="2847"/>
      <c r="AP261" s="2847"/>
      <c r="AQ261" s="2847"/>
      <c r="AR261" s="2847"/>
      <c r="AS261" s="2847"/>
      <c r="AT261" s="2829"/>
      <c r="AU261" s="2856"/>
      <c r="AV261" s="790">
        <f t="shared" si="127"/>
        <v>0</v>
      </c>
      <c r="AW261" s="790">
        <f t="shared" si="128"/>
        <v>0</v>
      </c>
      <c r="AX261" s="790">
        <f t="shared" si="129"/>
        <v>0</v>
      </c>
      <c r="AY261" s="1069">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4">
        <f t="shared" si="151"/>
        <v>0</v>
      </c>
    </row>
    <row r="262" spans="1:72">
      <c r="A262" s="1134"/>
      <c r="B262" s="1142"/>
      <c r="C262" s="1142"/>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7"/>
      <c r="AE262" s="2847"/>
      <c r="AF262" s="2847"/>
      <c r="AG262" s="2847"/>
      <c r="AH262" s="2847"/>
      <c r="AI262" s="2847"/>
      <c r="AJ262" s="2847"/>
      <c r="AK262" s="2847"/>
      <c r="AL262" s="2847"/>
      <c r="AM262" s="2847"/>
      <c r="AN262" s="2847"/>
      <c r="AO262" s="2847"/>
      <c r="AP262" s="2847"/>
      <c r="AQ262" s="2847"/>
      <c r="AR262" s="2847"/>
      <c r="AS262" s="2847"/>
      <c r="AT262" s="2829"/>
      <c r="AU262" s="2856"/>
      <c r="AV262" s="790">
        <f t="shared" si="127"/>
        <v>0</v>
      </c>
      <c r="AW262" s="790">
        <f t="shared" si="128"/>
        <v>0</v>
      </c>
      <c r="AX262" s="790">
        <f t="shared" si="129"/>
        <v>0</v>
      </c>
      <c r="AY262" s="1069">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4">
        <f t="shared" si="151"/>
        <v>0</v>
      </c>
    </row>
    <row r="263" spans="1:72">
      <c r="A263" s="1134"/>
      <c r="B263" s="1142"/>
      <c r="C263" s="1142"/>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7"/>
      <c r="AE263" s="2847"/>
      <c r="AF263" s="2847"/>
      <c r="AG263" s="2847"/>
      <c r="AH263" s="2847"/>
      <c r="AI263" s="2847"/>
      <c r="AJ263" s="2847"/>
      <c r="AK263" s="2847"/>
      <c r="AL263" s="2847"/>
      <c r="AM263" s="2847"/>
      <c r="AN263" s="2847"/>
      <c r="AO263" s="2847"/>
      <c r="AP263" s="2847"/>
      <c r="AQ263" s="2847"/>
      <c r="AR263" s="2847"/>
      <c r="AS263" s="2847"/>
      <c r="AT263" s="2829"/>
      <c r="AU263" s="2856"/>
      <c r="AV263" s="790">
        <f t="shared" si="127"/>
        <v>0</v>
      </c>
      <c r="AW263" s="790">
        <f t="shared" si="128"/>
        <v>0</v>
      </c>
      <c r="AX263" s="790">
        <f t="shared" si="129"/>
        <v>0</v>
      </c>
      <c r="AY263" s="1069">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4">
        <f t="shared" si="151"/>
        <v>0</v>
      </c>
    </row>
    <row r="264" spans="1:72">
      <c r="A264" s="1134"/>
      <c r="B264" s="1142"/>
      <c r="C264" s="1142"/>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7"/>
      <c r="AE264" s="2847"/>
      <c r="AF264" s="2847"/>
      <c r="AG264" s="2847"/>
      <c r="AH264" s="2847"/>
      <c r="AI264" s="2847"/>
      <c r="AJ264" s="2847"/>
      <c r="AK264" s="2847"/>
      <c r="AL264" s="2847"/>
      <c r="AM264" s="2847"/>
      <c r="AN264" s="2847"/>
      <c r="AO264" s="2847"/>
      <c r="AP264" s="2847"/>
      <c r="AQ264" s="2847"/>
      <c r="AR264" s="2847"/>
      <c r="AS264" s="2847"/>
      <c r="AT264" s="2829"/>
      <c r="AU264" s="2856"/>
      <c r="AV264" s="790">
        <f t="shared" si="127"/>
        <v>0</v>
      </c>
      <c r="AW264" s="790">
        <f t="shared" si="128"/>
        <v>0</v>
      </c>
      <c r="AX264" s="790">
        <f t="shared" si="129"/>
        <v>0</v>
      </c>
      <c r="AY264" s="1069">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4">
        <f t="shared" si="151"/>
        <v>0</v>
      </c>
    </row>
    <row r="265" spans="1:72">
      <c r="A265" s="1134"/>
      <c r="B265" s="1142"/>
      <c r="C265" s="1142"/>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7"/>
      <c r="AE265" s="2847"/>
      <c r="AF265" s="2847"/>
      <c r="AG265" s="2847"/>
      <c r="AH265" s="2847"/>
      <c r="AI265" s="2847"/>
      <c r="AJ265" s="2847"/>
      <c r="AK265" s="2847"/>
      <c r="AL265" s="2847"/>
      <c r="AM265" s="2847"/>
      <c r="AN265" s="2847"/>
      <c r="AO265" s="2847"/>
      <c r="AP265" s="2847"/>
      <c r="AQ265" s="2847"/>
      <c r="AR265" s="2847"/>
      <c r="AS265" s="2847"/>
      <c r="AT265" s="2829"/>
      <c r="AU265" s="2856"/>
      <c r="AV265" s="790">
        <f t="shared" si="127"/>
        <v>0</v>
      </c>
      <c r="AW265" s="790">
        <f t="shared" si="128"/>
        <v>0</v>
      </c>
      <c r="AX265" s="790">
        <f t="shared" si="129"/>
        <v>0</v>
      </c>
      <c r="AY265" s="1069">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4">
        <f t="shared" si="151"/>
        <v>0</v>
      </c>
    </row>
    <row r="266" spans="1:72">
      <c r="A266" s="1134"/>
      <c r="B266" s="1142"/>
      <c r="C266" s="1142"/>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7"/>
      <c r="AE266" s="2847"/>
      <c r="AF266" s="2847"/>
      <c r="AG266" s="2847"/>
      <c r="AH266" s="2847"/>
      <c r="AI266" s="2847"/>
      <c r="AJ266" s="2847"/>
      <c r="AK266" s="2847"/>
      <c r="AL266" s="2847"/>
      <c r="AM266" s="2847"/>
      <c r="AN266" s="2847"/>
      <c r="AO266" s="2847"/>
      <c r="AP266" s="2847"/>
      <c r="AQ266" s="2847"/>
      <c r="AR266" s="2847"/>
      <c r="AS266" s="2847"/>
      <c r="AT266" s="2829"/>
      <c r="AU266" s="2856"/>
      <c r="AV266" s="790">
        <f t="shared" si="127"/>
        <v>0</v>
      </c>
      <c r="AW266" s="790">
        <f t="shared" si="128"/>
        <v>0</v>
      </c>
      <c r="AX266" s="790">
        <f t="shared" si="129"/>
        <v>0</v>
      </c>
      <c r="AY266" s="1069">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4">
        <f t="shared" si="151"/>
        <v>0</v>
      </c>
    </row>
    <row r="267" spans="1:72">
      <c r="A267" s="1134"/>
      <c r="B267" s="1142"/>
      <c r="C267" s="1142"/>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7"/>
      <c r="AE267" s="2847"/>
      <c r="AF267" s="2847"/>
      <c r="AG267" s="2847"/>
      <c r="AH267" s="2847"/>
      <c r="AI267" s="2847"/>
      <c r="AJ267" s="2847"/>
      <c r="AK267" s="2847"/>
      <c r="AL267" s="2847"/>
      <c r="AM267" s="2847"/>
      <c r="AN267" s="2847"/>
      <c r="AO267" s="2847"/>
      <c r="AP267" s="2847"/>
      <c r="AQ267" s="2847"/>
      <c r="AR267" s="2847"/>
      <c r="AS267" s="2847"/>
      <c r="AT267" s="2829"/>
      <c r="AU267" s="2856"/>
      <c r="AV267" s="790">
        <f t="shared" si="127"/>
        <v>0</v>
      </c>
      <c r="AW267" s="790">
        <f t="shared" si="128"/>
        <v>0</v>
      </c>
      <c r="AX267" s="790">
        <f t="shared" si="129"/>
        <v>0</v>
      </c>
      <c r="AY267" s="1069">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4">
        <f t="shared" si="151"/>
        <v>0</v>
      </c>
    </row>
    <row r="268" spans="1:72">
      <c r="A268" s="1134"/>
      <c r="B268" s="1142"/>
      <c r="C268" s="1142"/>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7"/>
      <c r="AE268" s="2847"/>
      <c r="AF268" s="2847"/>
      <c r="AG268" s="2847"/>
      <c r="AH268" s="2847"/>
      <c r="AI268" s="2847"/>
      <c r="AJ268" s="2847"/>
      <c r="AK268" s="2847"/>
      <c r="AL268" s="2847"/>
      <c r="AM268" s="2847"/>
      <c r="AN268" s="2847"/>
      <c r="AO268" s="2847"/>
      <c r="AP268" s="2847"/>
      <c r="AQ268" s="2847"/>
      <c r="AR268" s="2847"/>
      <c r="AS268" s="2847"/>
      <c r="AT268" s="2829"/>
      <c r="AU268" s="2856"/>
      <c r="AV268" s="790">
        <f t="shared" si="127"/>
        <v>0</v>
      </c>
      <c r="AW268" s="790">
        <f t="shared" si="128"/>
        <v>0</v>
      </c>
      <c r="AX268" s="790">
        <f t="shared" si="129"/>
        <v>0</v>
      </c>
      <c r="AY268" s="1069">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4">
        <f t="shared" si="151"/>
        <v>0</v>
      </c>
    </row>
    <row r="269" spans="1:72">
      <c r="A269" s="1134"/>
      <c r="B269" s="1142"/>
      <c r="C269" s="1142"/>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7"/>
      <c r="AE269" s="2847"/>
      <c r="AF269" s="2847"/>
      <c r="AG269" s="2847"/>
      <c r="AH269" s="2847"/>
      <c r="AI269" s="2847"/>
      <c r="AJ269" s="2847"/>
      <c r="AK269" s="2847"/>
      <c r="AL269" s="2847"/>
      <c r="AM269" s="2847"/>
      <c r="AN269" s="2847"/>
      <c r="AO269" s="2847"/>
      <c r="AP269" s="2847"/>
      <c r="AQ269" s="2847"/>
      <c r="AR269" s="2847"/>
      <c r="AS269" s="2847"/>
      <c r="AT269" s="2829"/>
      <c r="AU269" s="2856"/>
      <c r="AV269" s="790">
        <f t="shared" si="127"/>
        <v>0</v>
      </c>
      <c r="AW269" s="790">
        <f t="shared" si="128"/>
        <v>0</v>
      </c>
      <c r="AX269" s="790">
        <f t="shared" si="129"/>
        <v>0</v>
      </c>
      <c r="AY269" s="1069">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4">
        <f t="shared" si="151"/>
        <v>0</v>
      </c>
    </row>
    <row r="270" spans="1:72">
      <c r="A270" s="1134"/>
      <c r="B270" s="1142"/>
      <c r="C270" s="1142"/>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7"/>
      <c r="AE270" s="2847"/>
      <c r="AF270" s="2847"/>
      <c r="AG270" s="2847"/>
      <c r="AH270" s="2847"/>
      <c r="AI270" s="2847"/>
      <c r="AJ270" s="2847"/>
      <c r="AK270" s="2847"/>
      <c r="AL270" s="2847"/>
      <c r="AM270" s="2847"/>
      <c r="AN270" s="2847"/>
      <c r="AO270" s="2847"/>
      <c r="AP270" s="2847"/>
      <c r="AQ270" s="2847"/>
      <c r="AR270" s="2847"/>
      <c r="AS270" s="2847"/>
      <c r="AT270" s="2829"/>
      <c r="AU270" s="2856"/>
      <c r="AV270" s="790">
        <f t="shared" si="127"/>
        <v>0</v>
      </c>
      <c r="AW270" s="790">
        <f t="shared" si="128"/>
        <v>0</v>
      </c>
      <c r="AX270" s="790">
        <f t="shared" si="129"/>
        <v>0</v>
      </c>
      <c r="AY270" s="1069">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4">
        <f t="shared" si="151"/>
        <v>0</v>
      </c>
    </row>
    <row r="271" spans="1:72">
      <c r="A271" s="1134"/>
      <c r="B271" s="1142"/>
      <c r="C271" s="1142"/>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7"/>
      <c r="AE271" s="2847"/>
      <c r="AF271" s="2847"/>
      <c r="AG271" s="2847"/>
      <c r="AH271" s="2847"/>
      <c r="AI271" s="2847"/>
      <c r="AJ271" s="2847"/>
      <c r="AK271" s="2847"/>
      <c r="AL271" s="2847"/>
      <c r="AM271" s="2847"/>
      <c r="AN271" s="2847"/>
      <c r="AO271" s="2847"/>
      <c r="AP271" s="2847"/>
      <c r="AQ271" s="2847"/>
      <c r="AR271" s="2847"/>
      <c r="AS271" s="2847"/>
      <c r="AT271" s="2829"/>
      <c r="AU271" s="2856"/>
      <c r="AV271" s="790">
        <f t="shared" si="127"/>
        <v>0</v>
      </c>
      <c r="AW271" s="790">
        <f t="shared" si="128"/>
        <v>0</v>
      </c>
      <c r="AX271" s="790">
        <f t="shared" si="129"/>
        <v>0</v>
      </c>
      <c r="AY271" s="1069">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4">
        <f t="shared" si="151"/>
        <v>0</v>
      </c>
    </row>
    <row r="272" spans="1:72">
      <c r="A272" s="1134"/>
      <c r="B272" s="1142"/>
      <c r="C272" s="1142"/>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7"/>
      <c r="AE272" s="2847"/>
      <c r="AF272" s="2847"/>
      <c r="AG272" s="2847"/>
      <c r="AH272" s="2847"/>
      <c r="AI272" s="2847"/>
      <c r="AJ272" s="2847"/>
      <c r="AK272" s="2847"/>
      <c r="AL272" s="2847"/>
      <c r="AM272" s="2847"/>
      <c r="AN272" s="2847"/>
      <c r="AO272" s="2847"/>
      <c r="AP272" s="2847"/>
      <c r="AQ272" s="2847"/>
      <c r="AR272" s="2847"/>
      <c r="AS272" s="2847"/>
      <c r="AT272" s="2829"/>
      <c r="AU272" s="2856"/>
      <c r="AV272" s="790">
        <f t="shared" si="127"/>
        <v>0</v>
      </c>
      <c r="AW272" s="790">
        <f t="shared" si="128"/>
        <v>0</v>
      </c>
      <c r="AX272" s="790">
        <f t="shared" si="129"/>
        <v>0</v>
      </c>
      <c r="AY272" s="1069">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4">
        <f t="shared" si="151"/>
        <v>0</v>
      </c>
    </row>
    <row r="273" spans="1:72">
      <c r="A273" s="1134"/>
      <c r="B273" s="1142"/>
      <c r="C273" s="1142"/>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7"/>
      <c r="AE273" s="2847"/>
      <c r="AF273" s="2847"/>
      <c r="AG273" s="2847"/>
      <c r="AH273" s="2847"/>
      <c r="AI273" s="2847"/>
      <c r="AJ273" s="2847"/>
      <c r="AK273" s="2847"/>
      <c r="AL273" s="2847"/>
      <c r="AM273" s="2847"/>
      <c r="AN273" s="2847"/>
      <c r="AO273" s="2847"/>
      <c r="AP273" s="2847"/>
      <c r="AQ273" s="2847"/>
      <c r="AR273" s="2847"/>
      <c r="AS273" s="2847"/>
      <c r="AT273" s="2829"/>
      <c r="AU273" s="2856"/>
      <c r="AV273" s="790">
        <f t="shared" si="127"/>
        <v>0</v>
      </c>
      <c r="AW273" s="790">
        <f t="shared" si="128"/>
        <v>0</v>
      </c>
      <c r="AX273" s="790">
        <f t="shared" si="129"/>
        <v>0</v>
      </c>
      <c r="AY273" s="1069">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4">
        <f t="shared" si="151"/>
        <v>0</v>
      </c>
    </row>
    <row r="274" spans="1:72">
      <c r="A274" s="1134"/>
      <c r="B274" s="1142"/>
      <c r="C274" s="1142"/>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7"/>
      <c r="AE274" s="2847"/>
      <c r="AF274" s="2847"/>
      <c r="AG274" s="2847"/>
      <c r="AH274" s="2847"/>
      <c r="AI274" s="2847"/>
      <c r="AJ274" s="2847"/>
      <c r="AK274" s="2847"/>
      <c r="AL274" s="2847"/>
      <c r="AM274" s="2847"/>
      <c r="AN274" s="2847"/>
      <c r="AO274" s="2847"/>
      <c r="AP274" s="2847"/>
      <c r="AQ274" s="2847"/>
      <c r="AR274" s="2847"/>
      <c r="AS274" s="2847"/>
      <c r="AT274" s="2829"/>
      <c r="AU274" s="2856"/>
      <c r="AV274" s="790">
        <f t="shared" si="127"/>
        <v>0</v>
      </c>
      <c r="AW274" s="790">
        <f t="shared" si="128"/>
        <v>0</v>
      </c>
      <c r="AX274" s="790">
        <f t="shared" si="129"/>
        <v>0</v>
      </c>
      <c r="AY274" s="1069">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4">
        <f t="shared" si="151"/>
        <v>0</v>
      </c>
    </row>
    <row r="275" spans="1:72">
      <c r="A275" s="1134"/>
      <c r="B275" s="1142"/>
      <c r="C275" s="1142"/>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7"/>
      <c r="AE275" s="2847"/>
      <c r="AF275" s="2847"/>
      <c r="AG275" s="2847"/>
      <c r="AH275" s="2847"/>
      <c r="AI275" s="2847"/>
      <c r="AJ275" s="2847"/>
      <c r="AK275" s="2847"/>
      <c r="AL275" s="2847"/>
      <c r="AM275" s="2847"/>
      <c r="AN275" s="2847"/>
      <c r="AO275" s="2847"/>
      <c r="AP275" s="2847"/>
      <c r="AQ275" s="2847"/>
      <c r="AR275" s="2847"/>
      <c r="AS275" s="2847"/>
      <c r="AT275" s="2829"/>
      <c r="AU275" s="2856"/>
      <c r="AV275" s="790">
        <f t="shared" si="127"/>
        <v>0</v>
      </c>
      <c r="AW275" s="790">
        <f t="shared" si="128"/>
        <v>0</v>
      </c>
      <c r="AX275" s="790">
        <f t="shared" si="129"/>
        <v>0</v>
      </c>
      <c r="AY275" s="1069">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4">
        <f t="shared" si="151"/>
        <v>0</v>
      </c>
    </row>
    <row r="276" spans="1:72">
      <c r="A276" s="1134"/>
      <c r="B276" s="1142"/>
      <c r="C276" s="1142"/>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7"/>
      <c r="AE276" s="2847"/>
      <c r="AF276" s="2847"/>
      <c r="AG276" s="2847"/>
      <c r="AH276" s="2847"/>
      <c r="AI276" s="2847"/>
      <c r="AJ276" s="2847"/>
      <c r="AK276" s="2847"/>
      <c r="AL276" s="2847"/>
      <c r="AM276" s="2847"/>
      <c r="AN276" s="2847"/>
      <c r="AO276" s="2847"/>
      <c r="AP276" s="2847"/>
      <c r="AQ276" s="2847"/>
      <c r="AR276" s="2847"/>
      <c r="AS276" s="2847"/>
      <c r="AT276" s="2829"/>
      <c r="AU276" s="2856"/>
      <c r="AV276" s="790">
        <f t="shared" si="127"/>
        <v>0</v>
      </c>
      <c r="AW276" s="790">
        <f t="shared" si="128"/>
        <v>0</v>
      </c>
      <c r="AX276" s="790">
        <f t="shared" si="129"/>
        <v>0</v>
      </c>
      <c r="AY276" s="1069">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4">
        <f t="shared" si="151"/>
        <v>0</v>
      </c>
    </row>
    <row r="277" spans="1:72">
      <c r="A277" s="1134"/>
      <c r="B277" s="1142"/>
      <c r="C277" s="1142"/>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7"/>
      <c r="AE277" s="2847"/>
      <c r="AF277" s="2847"/>
      <c r="AG277" s="2847"/>
      <c r="AH277" s="2847"/>
      <c r="AI277" s="2847"/>
      <c r="AJ277" s="2847"/>
      <c r="AK277" s="2847"/>
      <c r="AL277" s="2847"/>
      <c r="AM277" s="2847"/>
      <c r="AN277" s="2847"/>
      <c r="AO277" s="2847"/>
      <c r="AP277" s="2847"/>
      <c r="AQ277" s="2847"/>
      <c r="AR277" s="2847"/>
      <c r="AS277" s="2847"/>
      <c r="AT277" s="2829"/>
      <c r="AU277" s="2856"/>
      <c r="AV277" s="790">
        <f t="shared" si="127"/>
        <v>0</v>
      </c>
      <c r="AW277" s="790">
        <f t="shared" si="128"/>
        <v>0</v>
      </c>
      <c r="AX277" s="790">
        <f t="shared" si="129"/>
        <v>0</v>
      </c>
      <c r="AY277" s="1069">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4">
        <f t="shared" si="151"/>
        <v>0</v>
      </c>
    </row>
    <row r="278" spans="1:72">
      <c r="A278" s="1134"/>
      <c r="B278" s="1142"/>
      <c r="C278" s="1142"/>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7"/>
      <c r="AE278" s="2847"/>
      <c r="AF278" s="2847"/>
      <c r="AG278" s="2847"/>
      <c r="AH278" s="2847"/>
      <c r="AI278" s="2847"/>
      <c r="AJ278" s="2847"/>
      <c r="AK278" s="2847"/>
      <c r="AL278" s="2847"/>
      <c r="AM278" s="2847"/>
      <c r="AN278" s="2847"/>
      <c r="AO278" s="2847"/>
      <c r="AP278" s="2847"/>
      <c r="AQ278" s="2847"/>
      <c r="AR278" s="2847"/>
      <c r="AS278" s="2847"/>
      <c r="AT278" s="2829"/>
      <c r="AU278" s="2856"/>
      <c r="AV278" s="790">
        <f t="shared" si="127"/>
        <v>0</v>
      </c>
      <c r="AW278" s="790">
        <f t="shared" si="128"/>
        <v>0</v>
      </c>
      <c r="AX278" s="790">
        <f t="shared" si="129"/>
        <v>0</v>
      </c>
      <c r="AY278" s="1069">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4">
        <f t="shared" si="151"/>
        <v>0</v>
      </c>
    </row>
    <row r="279" spans="1:72">
      <c r="A279" s="1134"/>
      <c r="B279" s="1142"/>
      <c r="C279" s="1142"/>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7"/>
      <c r="AE279" s="2847"/>
      <c r="AF279" s="2847"/>
      <c r="AG279" s="2847"/>
      <c r="AH279" s="2847"/>
      <c r="AI279" s="2847"/>
      <c r="AJ279" s="2847"/>
      <c r="AK279" s="2847"/>
      <c r="AL279" s="2847"/>
      <c r="AM279" s="2847"/>
      <c r="AN279" s="2847"/>
      <c r="AO279" s="2847"/>
      <c r="AP279" s="2847"/>
      <c r="AQ279" s="2847"/>
      <c r="AR279" s="2847"/>
      <c r="AS279" s="2847"/>
      <c r="AT279" s="2829"/>
      <c r="AU279" s="2856"/>
      <c r="AV279" s="790">
        <f t="shared" si="127"/>
        <v>0</v>
      </c>
      <c r="AW279" s="790">
        <f t="shared" si="128"/>
        <v>0</v>
      </c>
      <c r="AX279" s="790">
        <f t="shared" si="129"/>
        <v>0</v>
      </c>
      <c r="AY279" s="1069">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4">
        <f t="shared" si="151"/>
        <v>0</v>
      </c>
    </row>
    <row r="280" spans="1:72">
      <c r="A280" s="1134"/>
      <c r="B280" s="1142"/>
      <c r="C280" s="1142"/>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7"/>
      <c r="AE280" s="2847"/>
      <c r="AF280" s="2847"/>
      <c r="AG280" s="2847"/>
      <c r="AH280" s="2847"/>
      <c r="AI280" s="2847"/>
      <c r="AJ280" s="2847"/>
      <c r="AK280" s="2847"/>
      <c r="AL280" s="2847"/>
      <c r="AM280" s="2847"/>
      <c r="AN280" s="2847"/>
      <c r="AO280" s="2847"/>
      <c r="AP280" s="2847"/>
      <c r="AQ280" s="2847"/>
      <c r="AR280" s="2847"/>
      <c r="AS280" s="2847"/>
      <c r="AT280" s="2829"/>
      <c r="AU280" s="2856"/>
      <c r="AV280" s="790">
        <f t="shared" si="127"/>
        <v>0</v>
      </c>
      <c r="AW280" s="790">
        <f t="shared" si="128"/>
        <v>0</v>
      </c>
      <c r="AX280" s="790">
        <f t="shared" si="129"/>
        <v>0</v>
      </c>
      <c r="AY280" s="1069">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4">
        <f t="shared" si="151"/>
        <v>0</v>
      </c>
    </row>
    <row r="281" spans="1:72">
      <c r="A281" s="1134"/>
      <c r="B281" s="1142"/>
      <c r="C281" s="1142"/>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7"/>
      <c r="AE281" s="2847"/>
      <c r="AF281" s="2847"/>
      <c r="AG281" s="2847"/>
      <c r="AH281" s="2847"/>
      <c r="AI281" s="2847"/>
      <c r="AJ281" s="2847"/>
      <c r="AK281" s="2847"/>
      <c r="AL281" s="2847"/>
      <c r="AM281" s="2847"/>
      <c r="AN281" s="2847"/>
      <c r="AO281" s="2847"/>
      <c r="AP281" s="2847"/>
      <c r="AQ281" s="2847"/>
      <c r="AR281" s="2847"/>
      <c r="AS281" s="2847"/>
      <c r="AT281" s="2829"/>
      <c r="AU281" s="2856"/>
      <c r="AV281" s="790">
        <f t="shared" si="127"/>
        <v>0</v>
      </c>
      <c r="AW281" s="790">
        <f t="shared" si="128"/>
        <v>0</v>
      </c>
      <c r="AX281" s="790">
        <f t="shared" si="129"/>
        <v>0</v>
      </c>
      <c r="AY281" s="1069">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4">
        <f t="shared" si="151"/>
        <v>0</v>
      </c>
    </row>
    <row r="282" spans="1:72">
      <c r="A282" s="1134"/>
      <c r="B282" s="1142"/>
      <c r="C282" s="1142"/>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7"/>
      <c r="AE282" s="2847"/>
      <c r="AF282" s="2847"/>
      <c r="AG282" s="2847"/>
      <c r="AH282" s="2847"/>
      <c r="AI282" s="2847"/>
      <c r="AJ282" s="2847"/>
      <c r="AK282" s="2847"/>
      <c r="AL282" s="2847"/>
      <c r="AM282" s="2847"/>
      <c r="AN282" s="2847"/>
      <c r="AO282" s="2847"/>
      <c r="AP282" s="2847"/>
      <c r="AQ282" s="2847"/>
      <c r="AR282" s="2847"/>
      <c r="AS282" s="2847"/>
      <c r="AT282" s="2829"/>
      <c r="AU282" s="2856"/>
      <c r="AV282" s="790">
        <f t="shared" si="127"/>
        <v>0</v>
      </c>
      <c r="AW282" s="790">
        <f t="shared" si="128"/>
        <v>0</v>
      </c>
      <c r="AX282" s="790">
        <f t="shared" si="129"/>
        <v>0</v>
      </c>
      <c r="AY282" s="1069">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4">
        <f t="shared" si="151"/>
        <v>0</v>
      </c>
    </row>
    <row r="283" spans="1:72">
      <c r="A283" s="1134"/>
      <c r="B283" s="1142"/>
      <c r="C283" s="1142"/>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7"/>
      <c r="AE283" s="2847"/>
      <c r="AF283" s="2847"/>
      <c r="AG283" s="2847"/>
      <c r="AH283" s="2847"/>
      <c r="AI283" s="2847"/>
      <c r="AJ283" s="2847"/>
      <c r="AK283" s="2847"/>
      <c r="AL283" s="2847"/>
      <c r="AM283" s="2847"/>
      <c r="AN283" s="2847"/>
      <c r="AO283" s="2847"/>
      <c r="AP283" s="2847"/>
      <c r="AQ283" s="2847"/>
      <c r="AR283" s="2847"/>
      <c r="AS283" s="2847"/>
      <c r="AT283" s="2829"/>
      <c r="AU283" s="2856"/>
      <c r="AV283" s="790">
        <f t="shared" si="127"/>
        <v>0</v>
      </c>
      <c r="AW283" s="790">
        <f t="shared" si="128"/>
        <v>0</v>
      </c>
      <c r="AX283" s="790">
        <f t="shared" si="129"/>
        <v>0</v>
      </c>
      <c r="AY283" s="1069">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4">
        <f t="shared" si="151"/>
        <v>0</v>
      </c>
    </row>
    <row r="284" spans="1:72">
      <c r="A284" s="1134"/>
      <c r="B284" s="1142"/>
      <c r="C284" s="1142"/>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7"/>
      <c r="AE284" s="2847"/>
      <c r="AF284" s="2847"/>
      <c r="AG284" s="2847"/>
      <c r="AH284" s="2847"/>
      <c r="AI284" s="2847"/>
      <c r="AJ284" s="2847"/>
      <c r="AK284" s="2847"/>
      <c r="AL284" s="2847"/>
      <c r="AM284" s="2847"/>
      <c r="AN284" s="2847"/>
      <c r="AO284" s="2847"/>
      <c r="AP284" s="2847"/>
      <c r="AQ284" s="2847"/>
      <c r="AR284" s="2847"/>
      <c r="AS284" s="2847"/>
      <c r="AT284" s="2829"/>
      <c r="AU284" s="2856"/>
      <c r="AV284" s="790">
        <f t="shared" si="127"/>
        <v>0</v>
      </c>
      <c r="AW284" s="790">
        <f t="shared" si="128"/>
        <v>0</v>
      </c>
      <c r="AX284" s="790">
        <f t="shared" si="129"/>
        <v>0</v>
      </c>
      <c r="AY284" s="1069">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4">
        <f t="shared" si="151"/>
        <v>0</v>
      </c>
    </row>
    <row r="285" spans="1:72">
      <c r="A285" s="1134"/>
      <c r="B285" s="1142"/>
      <c r="C285" s="1142"/>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7"/>
      <c r="AE285" s="2847"/>
      <c r="AF285" s="2847"/>
      <c r="AG285" s="2847"/>
      <c r="AH285" s="2847"/>
      <c r="AI285" s="2847"/>
      <c r="AJ285" s="2847"/>
      <c r="AK285" s="2847"/>
      <c r="AL285" s="2847"/>
      <c r="AM285" s="2847"/>
      <c r="AN285" s="2847"/>
      <c r="AO285" s="2847"/>
      <c r="AP285" s="2847"/>
      <c r="AQ285" s="2847"/>
      <c r="AR285" s="2847"/>
      <c r="AS285" s="2847"/>
      <c r="AT285" s="2829"/>
      <c r="AU285" s="2856"/>
      <c r="AV285" s="790">
        <f t="shared" si="127"/>
        <v>0</v>
      </c>
      <c r="AW285" s="790">
        <f t="shared" si="128"/>
        <v>0</v>
      </c>
      <c r="AX285" s="790">
        <f t="shared" si="129"/>
        <v>0</v>
      </c>
      <c r="AY285" s="1069">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4">
        <f t="shared" si="151"/>
        <v>0</v>
      </c>
    </row>
    <row r="286" spans="1:72">
      <c r="A286" s="1134"/>
      <c r="B286" s="1142"/>
      <c r="C286" s="1142"/>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7"/>
      <c r="AE286" s="2847"/>
      <c r="AF286" s="2847"/>
      <c r="AG286" s="2847"/>
      <c r="AH286" s="2847"/>
      <c r="AI286" s="2847"/>
      <c r="AJ286" s="2847"/>
      <c r="AK286" s="2847"/>
      <c r="AL286" s="2847"/>
      <c r="AM286" s="2847"/>
      <c r="AN286" s="2847"/>
      <c r="AO286" s="2847"/>
      <c r="AP286" s="2847"/>
      <c r="AQ286" s="2847"/>
      <c r="AR286" s="2847"/>
      <c r="AS286" s="2847"/>
      <c r="AT286" s="2829"/>
      <c r="AU286" s="2856"/>
      <c r="AV286" s="790">
        <f t="shared" si="127"/>
        <v>0</v>
      </c>
      <c r="AW286" s="790">
        <f t="shared" si="128"/>
        <v>0</v>
      </c>
      <c r="AX286" s="790">
        <f t="shared" si="129"/>
        <v>0</v>
      </c>
      <c r="AY286" s="1069">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4">
        <f t="shared" si="151"/>
        <v>0</v>
      </c>
    </row>
    <row r="287" spans="1:72">
      <c r="A287" s="1134"/>
      <c r="B287" s="1142"/>
      <c r="C287" s="1142"/>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7"/>
      <c r="AE287" s="2847"/>
      <c r="AF287" s="2847"/>
      <c r="AG287" s="2847"/>
      <c r="AH287" s="2847"/>
      <c r="AI287" s="2847"/>
      <c r="AJ287" s="2847"/>
      <c r="AK287" s="2847"/>
      <c r="AL287" s="2847"/>
      <c r="AM287" s="2847"/>
      <c r="AN287" s="2847"/>
      <c r="AO287" s="2847"/>
      <c r="AP287" s="2847"/>
      <c r="AQ287" s="2847"/>
      <c r="AR287" s="2847"/>
      <c r="AS287" s="2847"/>
      <c r="AT287" s="2829"/>
      <c r="AU287" s="2856"/>
      <c r="AV287" s="790">
        <f t="shared" si="127"/>
        <v>0</v>
      </c>
      <c r="AW287" s="790">
        <f t="shared" si="128"/>
        <v>0</v>
      </c>
      <c r="AX287" s="790">
        <f t="shared" si="129"/>
        <v>0</v>
      </c>
      <c r="AY287" s="1069">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4">
        <f t="shared" si="151"/>
        <v>0</v>
      </c>
    </row>
    <row r="288" spans="1:72">
      <c r="A288" s="1134"/>
      <c r="B288" s="1142"/>
      <c r="C288" s="1142"/>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7"/>
      <c r="AE288" s="2847"/>
      <c r="AF288" s="2847"/>
      <c r="AG288" s="2847"/>
      <c r="AH288" s="2847"/>
      <c r="AI288" s="2847"/>
      <c r="AJ288" s="2847"/>
      <c r="AK288" s="2847"/>
      <c r="AL288" s="2847"/>
      <c r="AM288" s="2847"/>
      <c r="AN288" s="2847"/>
      <c r="AO288" s="2847"/>
      <c r="AP288" s="2847"/>
      <c r="AQ288" s="2847"/>
      <c r="AR288" s="2847"/>
      <c r="AS288" s="2847"/>
      <c r="AT288" s="2829"/>
      <c r="AU288" s="2856"/>
      <c r="AV288" s="790">
        <f t="shared" si="127"/>
        <v>0</v>
      </c>
      <c r="AW288" s="790">
        <f t="shared" si="128"/>
        <v>0</v>
      </c>
      <c r="AX288" s="790">
        <f t="shared" si="129"/>
        <v>0</v>
      </c>
      <c r="AY288" s="1069">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4">
        <f t="shared" si="151"/>
        <v>0</v>
      </c>
    </row>
    <row r="289" spans="1:72">
      <c r="A289" s="1134"/>
      <c r="B289" s="1142"/>
      <c r="C289" s="1142"/>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7"/>
      <c r="AE289" s="2847"/>
      <c r="AF289" s="2847"/>
      <c r="AG289" s="2847"/>
      <c r="AH289" s="2847"/>
      <c r="AI289" s="2847"/>
      <c r="AJ289" s="2847"/>
      <c r="AK289" s="2847"/>
      <c r="AL289" s="2847"/>
      <c r="AM289" s="2847"/>
      <c r="AN289" s="2847"/>
      <c r="AO289" s="2847"/>
      <c r="AP289" s="2847"/>
      <c r="AQ289" s="2847"/>
      <c r="AR289" s="2847"/>
      <c r="AS289" s="2847"/>
      <c r="AT289" s="2829"/>
      <c r="AU289" s="2856"/>
      <c r="AV289" s="790">
        <f t="shared" si="127"/>
        <v>0</v>
      </c>
      <c r="AW289" s="790">
        <f t="shared" si="128"/>
        <v>0</v>
      </c>
      <c r="AX289" s="790">
        <f t="shared" si="129"/>
        <v>0</v>
      </c>
      <c r="AY289" s="1069">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4">
        <f t="shared" si="151"/>
        <v>0</v>
      </c>
    </row>
    <row r="290" spans="1:72">
      <c r="A290" s="1134"/>
      <c r="B290" s="1142"/>
      <c r="C290" s="1142"/>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7"/>
      <c r="AE290" s="2847"/>
      <c r="AF290" s="2847"/>
      <c r="AG290" s="2847"/>
      <c r="AH290" s="2847"/>
      <c r="AI290" s="2847"/>
      <c r="AJ290" s="2847"/>
      <c r="AK290" s="2847"/>
      <c r="AL290" s="2847"/>
      <c r="AM290" s="2847"/>
      <c r="AN290" s="2847"/>
      <c r="AO290" s="2847"/>
      <c r="AP290" s="2847"/>
      <c r="AQ290" s="2847"/>
      <c r="AR290" s="2847"/>
      <c r="AS290" s="2847"/>
      <c r="AT290" s="2829"/>
      <c r="AU290" s="2856"/>
      <c r="AV290" s="790">
        <f t="shared" si="127"/>
        <v>0</v>
      </c>
      <c r="AW290" s="790">
        <f t="shared" si="128"/>
        <v>0</v>
      </c>
      <c r="AX290" s="790">
        <f t="shared" si="129"/>
        <v>0</v>
      </c>
      <c r="AY290" s="1069">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4">
        <f t="shared" si="151"/>
        <v>0</v>
      </c>
    </row>
    <row r="291" spans="1:72">
      <c r="A291" s="1134"/>
      <c r="B291" s="1142"/>
      <c r="C291" s="1142"/>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7"/>
      <c r="AE291" s="2847"/>
      <c r="AF291" s="2847"/>
      <c r="AG291" s="2847"/>
      <c r="AH291" s="2847"/>
      <c r="AI291" s="2847"/>
      <c r="AJ291" s="2847"/>
      <c r="AK291" s="2847"/>
      <c r="AL291" s="2847"/>
      <c r="AM291" s="2847"/>
      <c r="AN291" s="2847"/>
      <c r="AO291" s="2847"/>
      <c r="AP291" s="2847"/>
      <c r="AQ291" s="2847"/>
      <c r="AR291" s="2847"/>
      <c r="AS291" s="2847"/>
      <c r="AT291" s="2829"/>
      <c r="AU291" s="2856"/>
      <c r="AV291" s="790">
        <f t="shared" si="127"/>
        <v>0</v>
      </c>
      <c r="AW291" s="790">
        <f t="shared" si="128"/>
        <v>0</v>
      </c>
      <c r="AX291" s="790">
        <f t="shared" si="129"/>
        <v>0</v>
      </c>
      <c r="AY291" s="1069">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4">
        <f t="shared" si="151"/>
        <v>0</v>
      </c>
    </row>
    <row r="292" spans="1:72">
      <c r="A292" s="1134"/>
      <c r="B292" s="1142"/>
      <c r="C292" s="1142"/>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7"/>
      <c r="AE292" s="2847"/>
      <c r="AF292" s="2847"/>
      <c r="AG292" s="2847"/>
      <c r="AH292" s="2847"/>
      <c r="AI292" s="2847"/>
      <c r="AJ292" s="2847"/>
      <c r="AK292" s="2847"/>
      <c r="AL292" s="2847"/>
      <c r="AM292" s="2847"/>
      <c r="AN292" s="2847"/>
      <c r="AO292" s="2847"/>
      <c r="AP292" s="2847"/>
      <c r="AQ292" s="2847"/>
      <c r="AR292" s="2847"/>
      <c r="AS292" s="2847"/>
      <c r="AT292" s="2829"/>
      <c r="AU292" s="2856"/>
      <c r="AV292" s="790">
        <f t="shared" si="127"/>
        <v>0</v>
      </c>
      <c r="AW292" s="790">
        <f t="shared" si="128"/>
        <v>0</v>
      </c>
      <c r="AX292" s="790">
        <f t="shared" si="129"/>
        <v>0</v>
      </c>
      <c r="AY292" s="1069">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4">
        <f t="shared" si="151"/>
        <v>0</v>
      </c>
    </row>
    <row r="293" spans="1:72">
      <c r="A293" s="1134"/>
      <c r="B293" s="1142"/>
      <c r="C293" s="1142"/>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7"/>
      <c r="AE293" s="2847"/>
      <c r="AF293" s="2847"/>
      <c r="AG293" s="2847"/>
      <c r="AH293" s="2847"/>
      <c r="AI293" s="2847"/>
      <c r="AJ293" s="2847"/>
      <c r="AK293" s="2847"/>
      <c r="AL293" s="2847"/>
      <c r="AM293" s="2847"/>
      <c r="AN293" s="2847"/>
      <c r="AO293" s="2847"/>
      <c r="AP293" s="2847"/>
      <c r="AQ293" s="2847"/>
      <c r="AR293" s="2847"/>
      <c r="AS293" s="2847"/>
      <c r="AT293" s="2829"/>
      <c r="AU293" s="2856"/>
      <c r="AV293" s="790">
        <f t="shared" si="127"/>
        <v>0</v>
      </c>
      <c r="AW293" s="790">
        <f t="shared" si="128"/>
        <v>0</v>
      </c>
      <c r="AX293" s="790">
        <f t="shared" si="129"/>
        <v>0</v>
      </c>
      <c r="AY293" s="1069">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4">
        <f t="shared" si="151"/>
        <v>0</v>
      </c>
    </row>
    <row r="294" spans="1:72">
      <c r="A294" s="1134"/>
      <c r="B294" s="1142"/>
      <c r="C294" s="1142"/>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7"/>
      <c r="AE294" s="2847"/>
      <c r="AF294" s="2847"/>
      <c r="AG294" s="2847"/>
      <c r="AH294" s="2847"/>
      <c r="AI294" s="2847"/>
      <c r="AJ294" s="2847"/>
      <c r="AK294" s="2847"/>
      <c r="AL294" s="2847"/>
      <c r="AM294" s="2847"/>
      <c r="AN294" s="2847"/>
      <c r="AO294" s="2847"/>
      <c r="AP294" s="2847"/>
      <c r="AQ294" s="2847"/>
      <c r="AR294" s="2847"/>
      <c r="AS294" s="2847"/>
      <c r="AT294" s="2829"/>
      <c r="AU294" s="2856"/>
      <c r="AV294" s="790">
        <f t="shared" si="127"/>
        <v>0</v>
      </c>
      <c r="AW294" s="790">
        <f t="shared" si="128"/>
        <v>0</v>
      </c>
      <c r="AX294" s="790">
        <f t="shared" si="129"/>
        <v>0</v>
      </c>
      <c r="AY294" s="1069">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4">
        <f t="shared" si="151"/>
        <v>0</v>
      </c>
    </row>
    <row r="295" spans="1:72">
      <c r="A295" s="1134"/>
      <c r="B295" s="1142"/>
      <c r="C295" s="1142"/>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7"/>
      <c r="AE295" s="2847"/>
      <c r="AF295" s="2847"/>
      <c r="AG295" s="2847"/>
      <c r="AH295" s="2847"/>
      <c r="AI295" s="2847"/>
      <c r="AJ295" s="2847"/>
      <c r="AK295" s="2847"/>
      <c r="AL295" s="2847"/>
      <c r="AM295" s="2847"/>
      <c r="AN295" s="2847"/>
      <c r="AO295" s="2847"/>
      <c r="AP295" s="2847"/>
      <c r="AQ295" s="2847"/>
      <c r="AR295" s="2847"/>
      <c r="AS295" s="2847"/>
      <c r="AT295" s="2829"/>
      <c r="AU295" s="2856"/>
      <c r="AV295" s="790">
        <f t="shared" si="127"/>
        <v>0</v>
      </c>
      <c r="AW295" s="790">
        <f t="shared" si="128"/>
        <v>0</v>
      </c>
      <c r="AX295" s="790">
        <f t="shared" si="129"/>
        <v>0</v>
      </c>
      <c r="AY295" s="1069">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4">
        <f t="shared" si="151"/>
        <v>0</v>
      </c>
    </row>
    <row r="296" spans="1:72">
      <c r="A296" s="1134"/>
      <c r="B296" s="1142"/>
      <c r="C296" s="1142"/>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7"/>
      <c r="AE296" s="2847"/>
      <c r="AF296" s="2847"/>
      <c r="AG296" s="2847"/>
      <c r="AH296" s="2847"/>
      <c r="AI296" s="2847"/>
      <c r="AJ296" s="2847"/>
      <c r="AK296" s="2847"/>
      <c r="AL296" s="2847"/>
      <c r="AM296" s="2847"/>
      <c r="AN296" s="2847"/>
      <c r="AO296" s="2847"/>
      <c r="AP296" s="2847"/>
      <c r="AQ296" s="2847"/>
      <c r="AR296" s="2847"/>
      <c r="AS296" s="2847"/>
      <c r="AT296" s="2829"/>
      <c r="AU296" s="2856"/>
      <c r="AV296" s="790">
        <f t="shared" si="127"/>
        <v>0</v>
      </c>
      <c r="AW296" s="790">
        <f t="shared" si="128"/>
        <v>0</v>
      </c>
      <c r="AX296" s="790">
        <f t="shared" si="129"/>
        <v>0</v>
      </c>
      <c r="AY296" s="1069">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4">
        <f t="shared" si="151"/>
        <v>0</v>
      </c>
    </row>
    <row r="297" spans="1:72">
      <c r="A297" s="1134"/>
      <c r="B297" s="1142"/>
      <c r="C297" s="1142"/>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7"/>
      <c r="AE297" s="2847"/>
      <c r="AF297" s="2847"/>
      <c r="AG297" s="2847"/>
      <c r="AH297" s="2847"/>
      <c r="AI297" s="2847"/>
      <c r="AJ297" s="2847"/>
      <c r="AK297" s="2847"/>
      <c r="AL297" s="2847"/>
      <c r="AM297" s="2847"/>
      <c r="AN297" s="2847"/>
      <c r="AO297" s="2847"/>
      <c r="AP297" s="2847"/>
      <c r="AQ297" s="2847"/>
      <c r="AR297" s="2847"/>
      <c r="AS297" s="2847"/>
      <c r="AT297" s="2829"/>
      <c r="AU297" s="2856"/>
      <c r="AV297" s="790">
        <f t="shared" si="127"/>
        <v>0</v>
      </c>
      <c r="AW297" s="790">
        <f t="shared" si="128"/>
        <v>0</v>
      </c>
      <c r="AX297" s="790">
        <f t="shared" si="129"/>
        <v>0</v>
      </c>
      <c r="AY297" s="1069">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4">
        <f t="shared" si="151"/>
        <v>0</v>
      </c>
    </row>
    <row r="298" spans="1:72">
      <c r="A298" s="1134"/>
      <c r="B298" s="1142"/>
      <c r="C298" s="1142"/>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7"/>
      <c r="AE298" s="2847"/>
      <c r="AF298" s="2847"/>
      <c r="AG298" s="2847"/>
      <c r="AH298" s="2847"/>
      <c r="AI298" s="2847"/>
      <c r="AJ298" s="2847"/>
      <c r="AK298" s="2847"/>
      <c r="AL298" s="2847"/>
      <c r="AM298" s="2847"/>
      <c r="AN298" s="2847"/>
      <c r="AO298" s="2847"/>
      <c r="AP298" s="2847"/>
      <c r="AQ298" s="2847"/>
      <c r="AR298" s="2847"/>
      <c r="AS298" s="2847"/>
      <c r="AT298" s="2829"/>
      <c r="AU298" s="2856"/>
      <c r="AV298" s="790">
        <f t="shared" si="127"/>
        <v>0</v>
      </c>
      <c r="AW298" s="790">
        <f t="shared" si="128"/>
        <v>0</v>
      </c>
      <c r="AX298" s="790">
        <f t="shared" si="129"/>
        <v>0</v>
      </c>
      <c r="AY298" s="1069">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4">
        <f t="shared" si="151"/>
        <v>0</v>
      </c>
    </row>
    <row r="299" spans="1:72">
      <c r="A299" s="1134"/>
      <c r="B299" s="1142"/>
      <c r="C299" s="1142"/>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7"/>
      <c r="AE299" s="2847"/>
      <c r="AF299" s="2847"/>
      <c r="AG299" s="2847"/>
      <c r="AH299" s="2847"/>
      <c r="AI299" s="2847"/>
      <c r="AJ299" s="2847"/>
      <c r="AK299" s="2847"/>
      <c r="AL299" s="2847"/>
      <c r="AM299" s="2847"/>
      <c r="AN299" s="2847"/>
      <c r="AO299" s="2847"/>
      <c r="AP299" s="2847"/>
      <c r="AQ299" s="2847"/>
      <c r="AR299" s="2847"/>
      <c r="AS299" s="2847"/>
      <c r="AT299" s="2829"/>
      <c r="AU299" s="2856"/>
      <c r="AV299" s="790">
        <f t="shared" si="127"/>
        <v>0</v>
      </c>
      <c r="AW299" s="790">
        <f t="shared" si="128"/>
        <v>0</v>
      </c>
      <c r="AX299" s="790">
        <f t="shared" si="129"/>
        <v>0</v>
      </c>
      <c r="AY299" s="1069">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4">
        <f t="shared" si="151"/>
        <v>0</v>
      </c>
    </row>
    <row r="300" spans="1:72">
      <c r="A300" s="1134"/>
      <c r="B300" s="1134"/>
      <c r="C300" s="1134"/>
      <c r="D300" s="2827"/>
      <c r="E300" s="2828">
        <f t="shared" si="123"/>
        <v>0</v>
      </c>
      <c r="F300" s="2847"/>
      <c r="G300" s="2830">
        <f t="shared" ref="G300:G331" si="152">H300+AC300+AT300</f>
        <v>0</v>
      </c>
      <c r="H300" s="2831">
        <f t="shared" ref="H300:H331" si="153">SUMIF(I$12:AB$12,"总值",I300:AB300)</f>
        <v>0</v>
      </c>
      <c r="I300" s="2875"/>
      <c r="J300" s="2875"/>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7"/>
      <c r="AE300" s="2847"/>
      <c r="AF300" s="2847"/>
      <c r="AG300" s="2847"/>
      <c r="AH300" s="2847"/>
      <c r="AI300" s="2847"/>
      <c r="AJ300" s="2847"/>
      <c r="AK300" s="2847"/>
      <c r="AL300" s="2847"/>
      <c r="AM300" s="2847"/>
      <c r="AN300" s="2847"/>
      <c r="AO300" s="2847"/>
      <c r="AP300" s="2847"/>
      <c r="AQ300" s="2847"/>
      <c r="AR300" s="2847"/>
      <c r="AS300" s="2847"/>
      <c r="AT300" s="2847"/>
      <c r="AU300" s="1177"/>
      <c r="AV300" s="790">
        <f t="shared" si="127"/>
        <v>0</v>
      </c>
      <c r="AW300" s="790">
        <f t="shared" si="128"/>
        <v>0</v>
      </c>
      <c r="AX300" s="790">
        <f t="shared" si="129"/>
        <v>0</v>
      </c>
      <c r="AY300" s="1069">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4">
        <f t="shared" ref="BT300:BT331" si="176">IF($D300="是",AR300-AS300,0)</f>
        <v>0</v>
      </c>
    </row>
    <row r="301" spans="1:72">
      <c r="A301" s="1134"/>
      <c r="B301" s="1134"/>
      <c r="C301" s="1134"/>
      <c r="D301" s="2827"/>
      <c r="E301" s="2828">
        <f t="shared" si="123"/>
        <v>0</v>
      </c>
      <c r="F301" s="2847"/>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7"/>
      <c r="AE301" s="2847"/>
      <c r="AF301" s="2847"/>
      <c r="AG301" s="2847"/>
      <c r="AH301" s="2847"/>
      <c r="AI301" s="2847"/>
      <c r="AJ301" s="2847"/>
      <c r="AK301" s="2847"/>
      <c r="AL301" s="2847"/>
      <c r="AM301" s="2847"/>
      <c r="AN301" s="2847"/>
      <c r="AO301" s="2847"/>
      <c r="AP301" s="2847"/>
      <c r="AQ301" s="2847"/>
      <c r="AR301" s="2847"/>
      <c r="AS301" s="2847"/>
      <c r="AT301" s="2847"/>
      <c r="AU301" s="1177"/>
      <c r="AV301" s="790">
        <f t="shared" si="127"/>
        <v>0</v>
      </c>
      <c r="AW301" s="790">
        <f t="shared" si="128"/>
        <v>0</v>
      </c>
      <c r="AX301" s="790">
        <f t="shared" si="129"/>
        <v>0</v>
      </c>
      <c r="AY301" s="1069">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4">
        <f t="shared" si="176"/>
        <v>0</v>
      </c>
    </row>
    <row r="302" spans="1:72">
      <c r="A302" s="1134"/>
      <c r="B302" s="1134"/>
      <c r="C302" s="1134"/>
      <c r="D302" s="2827"/>
      <c r="E302" s="2828">
        <f t="shared" si="123"/>
        <v>0</v>
      </c>
      <c r="F302" s="2847"/>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7"/>
      <c r="AE302" s="2847"/>
      <c r="AF302" s="2847"/>
      <c r="AG302" s="2847"/>
      <c r="AH302" s="2847"/>
      <c r="AI302" s="2847"/>
      <c r="AJ302" s="2847"/>
      <c r="AK302" s="2847"/>
      <c r="AL302" s="2847"/>
      <c r="AM302" s="2847"/>
      <c r="AN302" s="2847"/>
      <c r="AO302" s="2847"/>
      <c r="AP302" s="2847"/>
      <c r="AQ302" s="2847"/>
      <c r="AR302" s="2847"/>
      <c r="AS302" s="2847"/>
      <c r="AT302" s="2847"/>
      <c r="AU302" s="1177"/>
      <c r="AV302" s="790">
        <f t="shared" si="127"/>
        <v>0</v>
      </c>
      <c r="AW302" s="790">
        <f t="shared" si="128"/>
        <v>0</v>
      </c>
      <c r="AX302" s="790">
        <f t="shared" si="129"/>
        <v>0</v>
      </c>
      <c r="AY302" s="1069">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4">
        <f t="shared" si="176"/>
        <v>0</v>
      </c>
    </row>
    <row r="303" spans="1:72">
      <c r="A303" s="1134"/>
      <c r="B303" s="1142"/>
      <c r="C303" s="1142"/>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7"/>
      <c r="AE303" s="2847"/>
      <c r="AF303" s="2847"/>
      <c r="AG303" s="2847"/>
      <c r="AH303" s="2847"/>
      <c r="AI303" s="2847"/>
      <c r="AJ303" s="2847"/>
      <c r="AK303" s="2847"/>
      <c r="AL303" s="2847"/>
      <c r="AM303" s="2847"/>
      <c r="AN303" s="2847"/>
      <c r="AO303" s="2847"/>
      <c r="AP303" s="2847"/>
      <c r="AQ303" s="2847"/>
      <c r="AR303" s="2847"/>
      <c r="AS303" s="2847"/>
      <c r="AT303" s="2829"/>
      <c r="AU303" s="2856"/>
      <c r="AV303" s="790">
        <f t="shared" ref="AV303:AV334" si="178">A303</f>
        <v>0</v>
      </c>
      <c r="AW303" s="790">
        <f t="shared" ref="AW303:AW334" si="179">B303</f>
        <v>0</v>
      </c>
      <c r="AX303" s="790">
        <f t="shared" ref="AX303:AX334" si="180">C303</f>
        <v>0</v>
      </c>
      <c r="AY303" s="1069">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4">
        <f t="shared" si="176"/>
        <v>0</v>
      </c>
    </row>
    <row r="304" spans="1:72">
      <c r="A304" s="1134"/>
      <c r="B304" s="1142"/>
      <c r="C304" s="1142"/>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7"/>
      <c r="AE304" s="2847"/>
      <c r="AF304" s="2847"/>
      <c r="AG304" s="2847"/>
      <c r="AH304" s="2847"/>
      <c r="AI304" s="2847"/>
      <c r="AJ304" s="2847"/>
      <c r="AK304" s="2847"/>
      <c r="AL304" s="2847"/>
      <c r="AM304" s="2847"/>
      <c r="AN304" s="2847"/>
      <c r="AO304" s="2847"/>
      <c r="AP304" s="2847"/>
      <c r="AQ304" s="2847"/>
      <c r="AR304" s="2847"/>
      <c r="AS304" s="2847"/>
      <c r="AT304" s="2829"/>
      <c r="AU304" s="2856"/>
      <c r="AV304" s="790">
        <f t="shared" si="178"/>
        <v>0</v>
      </c>
      <c r="AW304" s="790">
        <f t="shared" si="179"/>
        <v>0</v>
      </c>
      <c r="AX304" s="790">
        <f t="shared" si="180"/>
        <v>0</v>
      </c>
      <c r="AY304" s="1069">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4">
        <f t="shared" si="176"/>
        <v>0</v>
      </c>
    </row>
    <row r="305" spans="1:72">
      <c r="A305" s="1134"/>
      <c r="B305" s="1142"/>
      <c r="C305" s="1142"/>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7"/>
      <c r="AE305" s="2847"/>
      <c r="AF305" s="2847"/>
      <c r="AG305" s="2847"/>
      <c r="AH305" s="2847"/>
      <c r="AI305" s="2847"/>
      <c r="AJ305" s="2847"/>
      <c r="AK305" s="2847"/>
      <c r="AL305" s="2847"/>
      <c r="AM305" s="2847"/>
      <c r="AN305" s="2847"/>
      <c r="AO305" s="2847"/>
      <c r="AP305" s="2847"/>
      <c r="AQ305" s="2847"/>
      <c r="AR305" s="2847"/>
      <c r="AS305" s="2847"/>
      <c r="AT305" s="2829"/>
      <c r="AU305" s="2856"/>
      <c r="AV305" s="790">
        <f t="shared" si="178"/>
        <v>0</v>
      </c>
      <c r="AW305" s="790">
        <f t="shared" si="179"/>
        <v>0</v>
      </c>
      <c r="AX305" s="790">
        <f t="shared" si="180"/>
        <v>0</v>
      </c>
      <c r="AY305" s="1069">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4">
        <f t="shared" si="176"/>
        <v>0</v>
      </c>
    </row>
    <row r="306" spans="1:72">
      <c r="A306" s="1134"/>
      <c r="B306" s="1142"/>
      <c r="C306" s="1142"/>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7"/>
      <c r="AE306" s="2847"/>
      <c r="AF306" s="2847"/>
      <c r="AG306" s="2847"/>
      <c r="AH306" s="2847"/>
      <c r="AI306" s="2847"/>
      <c r="AJ306" s="2847"/>
      <c r="AK306" s="2847"/>
      <c r="AL306" s="2847"/>
      <c r="AM306" s="2847"/>
      <c r="AN306" s="2847"/>
      <c r="AO306" s="2847"/>
      <c r="AP306" s="2847"/>
      <c r="AQ306" s="2847"/>
      <c r="AR306" s="2847"/>
      <c r="AS306" s="2847"/>
      <c r="AT306" s="2829"/>
      <c r="AU306" s="2856"/>
      <c r="AV306" s="790">
        <f t="shared" si="178"/>
        <v>0</v>
      </c>
      <c r="AW306" s="790">
        <f t="shared" si="179"/>
        <v>0</v>
      </c>
      <c r="AX306" s="790">
        <f t="shared" si="180"/>
        <v>0</v>
      </c>
      <c r="AY306" s="1069">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4">
        <f t="shared" si="176"/>
        <v>0</v>
      </c>
    </row>
    <row r="307" spans="1:72">
      <c r="A307" s="1134"/>
      <c r="B307" s="1142"/>
      <c r="C307" s="1142"/>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7"/>
      <c r="AE307" s="2847"/>
      <c r="AF307" s="2847"/>
      <c r="AG307" s="2847"/>
      <c r="AH307" s="2847"/>
      <c r="AI307" s="2847"/>
      <c r="AJ307" s="2847"/>
      <c r="AK307" s="2847"/>
      <c r="AL307" s="2847"/>
      <c r="AM307" s="2847"/>
      <c r="AN307" s="2847"/>
      <c r="AO307" s="2847"/>
      <c r="AP307" s="2847"/>
      <c r="AQ307" s="2847"/>
      <c r="AR307" s="2847"/>
      <c r="AS307" s="2847"/>
      <c r="AT307" s="2829"/>
      <c r="AU307" s="2856"/>
      <c r="AV307" s="790">
        <f t="shared" si="178"/>
        <v>0</v>
      </c>
      <c r="AW307" s="790">
        <f t="shared" si="179"/>
        <v>0</v>
      </c>
      <c r="AX307" s="790">
        <f t="shared" si="180"/>
        <v>0</v>
      </c>
      <c r="AY307" s="1069">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4">
        <f t="shared" si="176"/>
        <v>0</v>
      </c>
    </row>
    <row r="308" spans="1:72">
      <c r="A308" s="1134"/>
      <c r="B308" s="1142"/>
      <c r="C308" s="1142"/>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7"/>
      <c r="AE308" s="2847"/>
      <c r="AF308" s="2847"/>
      <c r="AG308" s="2847"/>
      <c r="AH308" s="2847"/>
      <c r="AI308" s="2847"/>
      <c r="AJ308" s="2847"/>
      <c r="AK308" s="2847"/>
      <c r="AL308" s="2847"/>
      <c r="AM308" s="2847"/>
      <c r="AN308" s="2847"/>
      <c r="AO308" s="2847"/>
      <c r="AP308" s="2847"/>
      <c r="AQ308" s="2847"/>
      <c r="AR308" s="2847"/>
      <c r="AS308" s="2847"/>
      <c r="AT308" s="2829"/>
      <c r="AU308" s="2856"/>
      <c r="AV308" s="790">
        <f t="shared" si="178"/>
        <v>0</v>
      </c>
      <c r="AW308" s="790">
        <f t="shared" si="179"/>
        <v>0</v>
      </c>
      <c r="AX308" s="790">
        <f t="shared" si="180"/>
        <v>0</v>
      </c>
      <c r="AY308" s="1069">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4">
        <f t="shared" si="176"/>
        <v>0</v>
      </c>
    </row>
    <row r="309" spans="1:72">
      <c r="A309" s="1134"/>
      <c r="B309" s="1142"/>
      <c r="C309" s="1142"/>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7"/>
      <c r="AE309" s="2847"/>
      <c r="AF309" s="2847"/>
      <c r="AG309" s="2847"/>
      <c r="AH309" s="2847"/>
      <c r="AI309" s="2847"/>
      <c r="AJ309" s="2847"/>
      <c r="AK309" s="2847"/>
      <c r="AL309" s="2847"/>
      <c r="AM309" s="2847"/>
      <c r="AN309" s="2847"/>
      <c r="AO309" s="2847"/>
      <c r="AP309" s="2847"/>
      <c r="AQ309" s="2847"/>
      <c r="AR309" s="2847"/>
      <c r="AS309" s="2847"/>
      <c r="AT309" s="2829"/>
      <c r="AU309" s="2856"/>
      <c r="AV309" s="790">
        <f t="shared" si="178"/>
        <v>0</v>
      </c>
      <c r="AW309" s="790">
        <f t="shared" si="179"/>
        <v>0</v>
      </c>
      <c r="AX309" s="790">
        <f t="shared" si="180"/>
        <v>0</v>
      </c>
      <c r="AY309" s="1069">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4">
        <f t="shared" si="176"/>
        <v>0</v>
      </c>
    </row>
    <row r="310" spans="1:72">
      <c r="A310" s="1134"/>
      <c r="B310" s="1142"/>
      <c r="C310" s="1142"/>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7"/>
      <c r="AE310" s="2847"/>
      <c r="AF310" s="2847"/>
      <c r="AG310" s="2847"/>
      <c r="AH310" s="2847"/>
      <c r="AI310" s="2847"/>
      <c r="AJ310" s="2847"/>
      <c r="AK310" s="2847"/>
      <c r="AL310" s="2847"/>
      <c r="AM310" s="2847"/>
      <c r="AN310" s="2847"/>
      <c r="AO310" s="2847"/>
      <c r="AP310" s="2847"/>
      <c r="AQ310" s="2847"/>
      <c r="AR310" s="2847"/>
      <c r="AS310" s="2847"/>
      <c r="AT310" s="2829"/>
      <c r="AU310" s="2856"/>
      <c r="AV310" s="790">
        <f t="shared" si="178"/>
        <v>0</v>
      </c>
      <c r="AW310" s="790">
        <f t="shared" si="179"/>
        <v>0</v>
      </c>
      <c r="AX310" s="790">
        <f t="shared" si="180"/>
        <v>0</v>
      </c>
      <c r="AY310" s="1069">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4">
        <f t="shared" si="176"/>
        <v>0</v>
      </c>
    </row>
    <row r="311" spans="1:72">
      <c r="A311" s="1134"/>
      <c r="B311" s="1142"/>
      <c r="C311" s="1142"/>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7"/>
      <c r="AE311" s="2847"/>
      <c r="AF311" s="2847"/>
      <c r="AG311" s="2847"/>
      <c r="AH311" s="2847"/>
      <c r="AI311" s="2847"/>
      <c r="AJ311" s="2847"/>
      <c r="AK311" s="2847"/>
      <c r="AL311" s="2847"/>
      <c r="AM311" s="2847"/>
      <c r="AN311" s="2847"/>
      <c r="AO311" s="2847"/>
      <c r="AP311" s="2847"/>
      <c r="AQ311" s="2847"/>
      <c r="AR311" s="2847"/>
      <c r="AS311" s="2847"/>
      <c r="AT311" s="2829"/>
      <c r="AU311" s="2856"/>
      <c r="AV311" s="790">
        <f t="shared" si="178"/>
        <v>0</v>
      </c>
      <c r="AW311" s="790">
        <f t="shared" si="179"/>
        <v>0</v>
      </c>
      <c r="AX311" s="790">
        <f t="shared" si="180"/>
        <v>0</v>
      </c>
      <c r="AY311" s="1069">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4">
        <f t="shared" si="176"/>
        <v>0</v>
      </c>
    </row>
    <row r="312" spans="1:72">
      <c r="A312" s="1134"/>
      <c r="B312" s="1142"/>
      <c r="C312" s="1142"/>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7"/>
      <c r="AE312" s="2847"/>
      <c r="AF312" s="2847"/>
      <c r="AG312" s="2847"/>
      <c r="AH312" s="2847"/>
      <c r="AI312" s="2847"/>
      <c r="AJ312" s="2847"/>
      <c r="AK312" s="2847"/>
      <c r="AL312" s="2847"/>
      <c r="AM312" s="2847"/>
      <c r="AN312" s="2847"/>
      <c r="AO312" s="2847"/>
      <c r="AP312" s="2847"/>
      <c r="AQ312" s="2847"/>
      <c r="AR312" s="2847"/>
      <c r="AS312" s="2847"/>
      <c r="AT312" s="2829"/>
      <c r="AU312" s="2856"/>
      <c r="AV312" s="790">
        <f t="shared" si="178"/>
        <v>0</v>
      </c>
      <c r="AW312" s="790">
        <f t="shared" si="179"/>
        <v>0</v>
      </c>
      <c r="AX312" s="790">
        <f t="shared" si="180"/>
        <v>0</v>
      </c>
      <c r="AY312" s="1069">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4">
        <f t="shared" si="176"/>
        <v>0</v>
      </c>
    </row>
    <row r="313" spans="1:72">
      <c r="A313" s="1134"/>
      <c r="B313" s="1142"/>
      <c r="C313" s="1142"/>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7"/>
      <c r="AE313" s="2847"/>
      <c r="AF313" s="2847"/>
      <c r="AG313" s="2847"/>
      <c r="AH313" s="2847"/>
      <c r="AI313" s="2847"/>
      <c r="AJ313" s="2847"/>
      <c r="AK313" s="2847"/>
      <c r="AL313" s="2847"/>
      <c r="AM313" s="2847"/>
      <c r="AN313" s="2847"/>
      <c r="AO313" s="2847"/>
      <c r="AP313" s="2847"/>
      <c r="AQ313" s="2847"/>
      <c r="AR313" s="2847"/>
      <c r="AS313" s="2847"/>
      <c r="AT313" s="2829"/>
      <c r="AU313" s="2856"/>
      <c r="AV313" s="790">
        <f t="shared" si="178"/>
        <v>0</v>
      </c>
      <c r="AW313" s="790">
        <f t="shared" si="179"/>
        <v>0</v>
      </c>
      <c r="AX313" s="790">
        <f t="shared" si="180"/>
        <v>0</v>
      </c>
      <c r="AY313" s="1069">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4">
        <f t="shared" si="176"/>
        <v>0</v>
      </c>
    </row>
    <row r="314" spans="1:72">
      <c r="A314" s="1134"/>
      <c r="B314" s="1142"/>
      <c r="C314" s="1142"/>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7"/>
      <c r="AE314" s="2847"/>
      <c r="AF314" s="2847"/>
      <c r="AG314" s="2847"/>
      <c r="AH314" s="2847"/>
      <c r="AI314" s="2847"/>
      <c r="AJ314" s="2847"/>
      <c r="AK314" s="2847"/>
      <c r="AL314" s="2847"/>
      <c r="AM314" s="2847"/>
      <c r="AN314" s="2847"/>
      <c r="AO314" s="2847"/>
      <c r="AP314" s="2847"/>
      <c r="AQ314" s="2847"/>
      <c r="AR314" s="2847"/>
      <c r="AS314" s="2847"/>
      <c r="AT314" s="2829"/>
      <c r="AU314" s="2856"/>
      <c r="AV314" s="790">
        <f t="shared" si="178"/>
        <v>0</v>
      </c>
      <c r="AW314" s="790">
        <f t="shared" si="179"/>
        <v>0</v>
      </c>
      <c r="AX314" s="790">
        <f t="shared" si="180"/>
        <v>0</v>
      </c>
      <c r="AY314" s="1069">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4">
        <f t="shared" si="176"/>
        <v>0</v>
      </c>
    </row>
    <row r="315" spans="1:72">
      <c r="A315" s="1134"/>
      <c r="B315" s="1142"/>
      <c r="C315" s="1142"/>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7"/>
      <c r="AE315" s="2847"/>
      <c r="AF315" s="2847"/>
      <c r="AG315" s="2847"/>
      <c r="AH315" s="2847"/>
      <c r="AI315" s="2847"/>
      <c r="AJ315" s="2847"/>
      <c r="AK315" s="2847"/>
      <c r="AL315" s="2847"/>
      <c r="AM315" s="2847"/>
      <c r="AN315" s="2847"/>
      <c r="AO315" s="2847"/>
      <c r="AP315" s="2847"/>
      <c r="AQ315" s="2847"/>
      <c r="AR315" s="2847"/>
      <c r="AS315" s="2847"/>
      <c r="AT315" s="2829"/>
      <c r="AU315" s="2856"/>
      <c r="AV315" s="790">
        <f t="shared" si="178"/>
        <v>0</v>
      </c>
      <c r="AW315" s="790">
        <f t="shared" si="179"/>
        <v>0</v>
      </c>
      <c r="AX315" s="790">
        <f t="shared" si="180"/>
        <v>0</v>
      </c>
      <c r="AY315" s="1069">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4">
        <f t="shared" si="176"/>
        <v>0</v>
      </c>
    </row>
    <row r="316" spans="1:72">
      <c r="A316" s="1134"/>
      <c r="B316" s="1142"/>
      <c r="C316" s="1142"/>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7"/>
      <c r="AE316" s="2847"/>
      <c r="AF316" s="2847"/>
      <c r="AG316" s="2847"/>
      <c r="AH316" s="2847"/>
      <c r="AI316" s="2847"/>
      <c r="AJ316" s="2847"/>
      <c r="AK316" s="2847"/>
      <c r="AL316" s="2847"/>
      <c r="AM316" s="2847"/>
      <c r="AN316" s="2847"/>
      <c r="AO316" s="2847"/>
      <c r="AP316" s="2847"/>
      <c r="AQ316" s="2847"/>
      <c r="AR316" s="2847"/>
      <c r="AS316" s="2847"/>
      <c r="AT316" s="2829"/>
      <c r="AU316" s="2856"/>
      <c r="AV316" s="790">
        <f t="shared" si="178"/>
        <v>0</v>
      </c>
      <c r="AW316" s="790">
        <f t="shared" si="179"/>
        <v>0</v>
      </c>
      <c r="AX316" s="790">
        <f t="shared" si="180"/>
        <v>0</v>
      </c>
      <c r="AY316" s="1069">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4">
        <f t="shared" si="176"/>
        <v>0</v>
      </c>
    </row>
    <row r="317" spans="1:72">
      <c r="A317" s="1134"/>
      <c r="B317" s="1142"/>
      <c r="C317" s="1142"/>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7"/>
      <c r="AE317" s="2847"/>
      <c r="AF317" s="2847"/>
      <c r="AG317" s="2847"/>
      <c r="AH317" s="2847"/>
      <c r="AI317" s="2847"/>
      <c r="AJ317" s="2847"/>
      <c r="AK317" s="2847"/>
      <c r="AL317" s="2847"/>
      <c r="AM317" s="2847"/>
      <c r="AN317" s="2847"/>
      <c r="AO317" s="2847"/>
      <c r="AP317" s="2847"/>
      <c r="AQ317" s="2847"/>
      <c r="AR317" s="2847"/>
      <c r="AS317" s="2847"/>
      <c r="AT317" s="2829"/>
      <c r="AU317" s="2856"/>
      <c r="AV317" s="790">
        <f t="shared" si="178"/>
        <v>0</v>
      </c>
      <c r="AW317" s="790">
        <f t="shared" si="179"/>
        <v>0</v>
      </c>
      <c r="AX317" s="790">
        <f t="shared" si="180"/>
        <v>0</v>
      </c>
      <c r="AY317" s="1069">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4">
        <f t="shared" si="176"/>
        <v>0</v>
      </c>
    </row>
    <row r="318" spans="1:72">
      <c r="A318" s="1134"/>
      <c r="B318" s="1142"/>
      <c r="C318" s="1142"/>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7"/>
      <c r="AE318" s="2847"/>
      <c r="AF318" s="2847"/>
      <c r="AG318" s="2847"/>
      <c r="AH318" s="2847"/>
      <c r="AI318" s="2847"/>
      <c r="AJ318" s="2847"/>
      <c r="AK318" s="2847"/>
      <c r="AL318" s="2847"/>
      <c r="AM318" s="2847"/>
      <c r="AN318" s="2847"/>
      <c r="AO318" s="2847"/>
      <c r="AP318" s="2847"/>
      <c r="AQ318" s="2847"/>
      <c r="AR318" s="2847"/>
      <c r="AS318" s="2847"/>
      <c r="AT318" s="2829"/>
      <c r="AU318" s="2856"/>
      <c r="AV318" s="790">
        <f t="shared" si="178"/>
        <v>0</v>
      </c>
      <c r="AW318" s="790">
        <f t="shared" si="179"/>
        <v>0</v>
      </c>
      <c r="AX318" s="790">
        <f t="shared" si="180"/>
        <v>0</v>
      </c>
      <c r="AY318" s="1069">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4">
        <f t="shared" si="176"/>
        <v>0</v>
      </c>
    </row>
    <row r="319" spans="1:72">
      <c r="A319" s="1134"/>
      <c r="B319" s="1142"/>
      <c r="C319" s="1142"/>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7"/>
      <c r="AE319" s="2847"/>
      <c r="AF319" s="2847"/>
      <c r="AG319" s="2847"/>
      <c r="AH319" s="2847"/>
      <c r="AI319" s="2847"/>
      <c r="AJ319" s="2847"/>
      <c r="AK319" s="2847"/>
      <c r="AL319" s="2847"/>
      <c r="AM319" s="2847"/>
      <c r="AN319" s="2847"/>
      <c r="AO319" s="2847"/>
      <c r="AP319" s="2847"/>
      <c r="AQ319" s="2847"/>
      <c r="AR319" s="2847"/>
      <c r="AS319" s="2847"/>
      <c r="AT319" s="2829"/>
      <c r="AU319" s="2856"/>
      <c r="AV319" s="790">
        <f t="shared" si="178"/>
        <v>0</v>
      </c>
      <c r="AW319" s="790">
        <f t="shared" si="179"/>
        <v>0</v>
      </c>
      <c r="AX319" s="790">
        <f t="shared" si="180"/>
        <v>0</v>
      </c>
      <c r="AY319" s="1069">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4">
        <f t="shared" si="176"/>
        <v>0</v>
      </c>
    </row>
    <row r="320" spans="1:72">
      <c r="A320" s="1134"/>
      <c r="B320" s="1142"/>
      <c r="C320" s="1142"/>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7"/>
      <c r="AE320" s="2847"/>
      <c r="AF320" s="2847"/>
      <c r="AG320" s="2847"/>
      <c r="AH320" s="2847"/>
      <c r="AI320" s="2847"/>
      <c r="AJ320" s="2847"/>
      <c r="AK320" s="2847"/>
      <c r="AL320" s="2847"/>
      <c r="AM320" s="2847"/>
      <c r="AN320" s="2847"/>
      <c r="AO320" s="2847"/>
      <c r="AP320" s="2847"/>
      <c r="AQ320" s="2847"/>
      <c r="AR320" s="2847"/>
      <c r="AS320" s="2847"/>
      <c r="AT320" s="2829"/>
      <c r="AU320" s="2856"/>
      <c r="AV320" s="790">
        <f t="shared" si="178"/>
        <v>0</v>
      </c>
      <c r="AW320" s="790">
        <f t="shared" si="179"/>
        <v>0</v>
      </c>
      <c r="AX320" s="790">
        <f t="shared" si="180"/>
        <v>0</v>
      </c>
      <c r="AY320" s="1069">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4">
        <f t="shared" si="176"/>
        <v>0</v>
      </c>
    </row>
    <row r="321" spans="1:72">
      <c r="A321" s="1134"/>
      <c r="B321" s="1142"/>
      <c r="C321" s="1142"/>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7"/>
      <c r="AE321" s="2847"/>
      <c r="AF321" s="2847"/>
      <c r="AG321" s="2847"/>
      <c r="AH321" s="2847"/>
      <c r="AI321" s="2847"/>
      <c r="AJ321" s="2847"/>
      <c r="AK321" s="2847"/>
      <c r="AL321" s="2847"/>
      <c r="AM321" s="2847"/>
      <c r="AN321" s="2847"/>
      <c r="AO321" s="2847"/>
      <c r="AP321" s="2847"/>
      <c r="AQ321" s="2847"/>
      <c r="AR321" s="2847"/>
      <c r="AS321" s="2847"/>
      <c r="AT321" s="2829"/>
      <c r="AU321" s="2856"/>
      <c r="AV321" s="790">
        <f t="shared" si="178"/>
        <v>0</v>
      </c>
      <c r="AW321" s="790">
        <f t="shared" si="179"/>
        <v>0</v>
      </c>
      <c r="AX321" s="790">
        <f t="shared" si="180"/>
        <v>0</v>
      </c>
      <c r="AY321" s="1069">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4">
        <f t="shared" si="176"/>
        <v>0</v>
      </c>
    </row>
    <row r="322" spans="1:72">
      <c r="A322" s="1134"/>
      <c r="B322" s="1142"/>
      <c r="C322" s="1142"/>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7"/>
      <c r="AE322" s="2847"/>
      <c r="AF322" s="2847"/>
      <c r="AG322" s="2847"/>
      <c r="AH322" s="2847"/>
      <c r="AI322" s="2847"/>
      <c r="AJ322" s="2847"/>
      <c r="AK322" s="2847"/>
      <c r="AL322" s="2847"/>
      <c r="AM322" s="2847"/>
      <c r="AN322" s="2847"/>
      <c r="AO322" s="2847"/>
      <c r="AP322" s="2847"/>
      <c r="AQ322" s="2847"/>
      <c r="AR322" s="2847"/>
      <c r="AS322" s="2847"/>
      <c r="AT322" s="2829"/>
      <c r="AU322" s="2856"/>
      <c r="AV322" s="790">
        <f t="shared" si="178"/>
        <v>0</v>
      </c>
      <c r="AW322" s="790">
        <f t="shared" si="179"/>
        <v>0</v>
      </c>
      <c r="AX322" s="790">
        <f t="shared" si="180"/>
        <v>0</v>
      </c>
      <c r="AY322" s="1069">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4">
        <f t="shared" si="176"/>
        <v>0</v>
      </c>
    </row>
    <row r="323" spans="1:72">
      <c r="A323" s="1134"/>
      <c r="B323" s="1142"/>
      <c r="C323" s="1142"/>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7"/>
      <c r="AE323" s="2847"/>
      <c r="AF323" s="2847"/>
      <c r="AG323" s="2847"/>
      <c r="AH323" s="2847"/>
      <c r="AI323" s="2847"/>
      <c r="AJ323" s="2847"/>
      <c r="AK323" s="2847"/>
      <c r="AL323" s="2847"/>
      <c r="AM323" s="2847"/>
      <c r="AN323" s="2847"/>
      <c r="AO323" s="2847"/>
      <c r="AP323" s="2847"/>
      <c r="AQ323" s="2847"/>
      <c r="AR323" s="2847"/>
      <c r="AS323" s="2847"/>
      <c r="AT323" s="2829"/>
      <c r="AU323" s="2856"/>
      <c r="AV323" s="790">
        <f t="shared" si="178"/>
        <v>0</v>
      </c>
      <c r="AW323" s="790">
        <f t="shared" si="179"/>
        <v>0</v>
      </c>
      <c r="AX323" s="790">
        <f t="shared" si="180"/>
        <v>0</v>
      </c>
      <c r="AY323" s="1069">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4">
        <f t="shared" si="176"/>
        <v>0</v>
      </c>
    </row>
    <row r="324" spans="1:72">
      <c r="A324" s="1134"/>
      <c r="B324" s="1142"/>
      <c r="C324" s="1142"/>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7"/>
      <c r="AE324" s="2847"/>
      <c r="AF324" s="2847"/>
      <c r="AG324" s="2847"/>
      <c r="AH324" s="2847"/>
      <c r="AI324" s="2847"/>
      <c r="AJ324" s="2847"/>
      <c r="AK324" s="2847"/>
      <c r="AL324" s="2847"/>
      <c r="AM324" s="2847"/>
      <c r="AN324" s="2847"/>
      <c r="AO324" s="2847"/>
      <c r="AP324" s="2847"/>
      <c r="AQ324" s="2847"/>
      <c r="AR324" s="2847"/>
      <c r="AS324" s="2847"/>
      <c r="AT324" s="2829"/>
      <c r="AU324" s="2856"/>
      <c r="AV324" s="790">
        <f t="shared" si="178"/>
        <v>0</v>
      </c>
      <c r="AW324" s="790">
        <f t="shared" si="179"/>
        <v>0</v>
      </c>
      <c r="AX324" s="790">
        <f t="shared" si="180"/>
        <v>0</v>
      </c>
      <c r="AY324" s="1069">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4">
        <f t="shared" si="176"/>
        <v>0</v>
      </c>
    </row>
    <row r="325" spans="1:72">
      <c r="A325" s="1134"/>
      <c r="B325" s="1142"/>
      <c r="C325" s="1142"/>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7"/>
      <c r="AE325" s="2847"/>
      <c r="AF325" s="2847"/>
      <c r="AG325" s="2847"/>
      <c r="AH325" s="2847"/>
      <c r="AI325" s="2847"/>
      <c r="AJ325" s="2847"/>
      <c r="AK325" s="2847"/>
      <c r="AL325" s="2847"/>
      <c r="AM325" s="2847"/>
      <c r="AN325" s="2847"/>
      <c r="AO325" s="2847"/>
      <c r="AP325" s="2847"/>
      <c r="AQ325" s="2847"/>
      <c r="AR325" s="2847"/>
      <c r="AS325" s="2847"/>
      <c r="AT325" s="2829"/>
      <c r="AU325" s="2856"/>
      <c r="AV325" s="790">
        <f t="shared" si="178"/>
        <v>0</v>
      </c>
      <c r="AW325" s="790">
        <f t="shared" si="179"/>
        <v>0</v>
      </c>
      <c r="AX325" s="790">
        <f t="shared" si="180"/>
        <v>0</v>
      </c>
      <c r="AY325" s="1069">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4">
        <f t="shared" si="176"/>
        <v>0</v>
      </c>
    </row>
    <row r="326" spans="1:72">
      <c r="A326" s="1134"/>
      <c r="B326" s="1142"/>
      <c r="C326" s="1142"/>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7"/>
      <c r="AE326" s="2847"/>
      <c r="AF326" s="2847"/>
      <c r="AG326" s="2847"/>
      <c r="AH326" s="2847"/>
      <c r="AI326" s="2847"/>
      <c r="AJ326" s="2847"/>
      <c r="AK326" s="2847"/>
      <c r="AL326" s="2847"/>
      <c r="AM326" s="2847"/>
      <c r="AN326" s="2847"/>
      <c r="AO326" s="2847"/>
      <c r="AP326" s="2847"/>
      <c r="AQ326" s="2847"/>
      <c r="AR326" s="2847"/>
      <c r="AS326" s="2847"/>
      <c r="AT326" s="2829"/>
      <c r="AU326" s="2856"/>
      <c r="AV326" s="790">
        <f t="shared" si="178"/>
        <v>0</v>
      </c>
      <c r="AW326" s="790">
        <f t="shared" si="179"/>
        <v>0</v>
      </c>
      <c r="AX326" s="790">
        <f t="shared" si="180"/>
        <v>0</v>
      </c>
      <c r="AY326" s="1069">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4">
        <f t="shared" si="176"/>
        <v>0</v>
      </c>
    </row>
    <row r="327" spans="1:72">
      <c r="A327" s="1134"/>
      <c r="B327" s="1142"/>
      <c r="C327" s="1142"/>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7"/>
      <c r="AE327" s="2847"/>
      <c r="AF327" s="2847"/>
      <c r="AG327" s="2847"/>
      <c r="AH327" s="2847"/>
      <c r="AI327" s="2847"/>
      <c r="AJ327" s="2847"/>
      <c r="AK327" s="2847"/>
      <c r="AL327" s="2847"/>
      <c r="AM327" s="2847"/>
      <c r="AN327" s="2847"/>
      <c r="AO327" s="2847"/>
      <c r="AP327" s="2847"/>
      <c r="AQ327" s="2847"/>
      <c r="AR327" s="2847"/>
      <c r="AS327" s="2847"/>
      <c r="AT327" s="2829"/>
      <c r="AU327" s="2856"/>
      <c r="AV327" s="790">
        <f t="shared" si="178"/>
        <v>0</v>
      </c>
      <c r="AW327" s="790">
        <f t="shared" si="179"/>
        <v>0</v>
      </c>
      <c r="AX327" s="790">
        <f t="shared" si="180"/>
        <v>0</v>
      </c>
      <c r="AY327" s="1069">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4">
        <f t="shared" si="176"/>
        <v>0</v>
      </c>
    </row>
    <row r="328" spans="1:72">
      <c r="A328" s="1134"/>
      <c r="B328" s="1142"/>
      <c r="C328" s="1142"/>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7"/>
      <c r="AE328" s="2847"/>
      <c r="AF328" s="2847"/>
      <c r="AG328" s="2847"/>
      <c r="AH328" s="2847"/>
      <c r="AI328" s="2847"/>
      <c r="AJ328" s="2847"/>
      <c r="AK328" s="2847"/>
      <c r="AL328" s="2847"/>
      <c r="AM328" s="2847"/>
      <c r="AN328" s="2847"/>
      <c r="AO328" s="2847"/>
      <c r="AP328" s="2847"/>
      <c r="AQ328" s="2847"/>
      <c r="AR328" s="2847"/>
      <c r="AS328" s="2847"/>
      <c r="AT328" s="2829"/>
      <c r="AU328" s="2856"/>
      <c r="AV328" s="790">
        <f t="shared" si="178"/>
        <v>0</v>
      </c>
      <c r="AW328" s="790">
        <f t="shared" si="179"/>
        <v>0</v>
      </c>
      <c r="AX328" s="790">
        <f t="shared" si="180"/>
        <v>0</v>
      </c>
      <c r="AY328" s="1069">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4">
        <f t="shared" si="176"/>
        <v>0</v>
      </c>
    </row>
    <row r="329" spans="1:72">
      <c r="A329" s="1134"/>
      <c r="B329" s="1142"/>
      <c r="C329" s="1142"/>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7"/>
      <c r="AE329" s="2847"/>
      <c r="AF329" s="2847"/>
      <c r="AG329" s="2847"/>
      <c r="AH329" s="2847"/>
      <c r="AI329" s="2847"/>
      <c r="AJ329" s="2847"/>
      <c r="AK329" s="2847"/>
      <c r="AL329" s="2847"/>
      <c r="AM329" s="2847"/>
      <c r="AN329" s="2847"/>
      <c r="AO329" s="2847"/>
      <c r="AP329" s="2847"/>
      <c r="AQ329" s="2847"/>
      <c r="AR329" s="2847"/>
      <c r="AS329" s="2847"/>
      <c r="AT329" s="2829"/>
      <c r="AU329" s="2856"/>
      <c r="AV329" s="790">
        <f t="shared" si="178"/>
        <v>0</v>
      </c>
      <c r="AW329" s="790">
        <f t="shared" si="179"/>
        <v>0</v>
      </c>
      <c r="AX329" s="790">
        <f t="shared" si="180"/>
        <v>0</v>
      </c>
      <c r="AY329" s="1069">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4">
        <f t="shared" si="176"/>
        <v>0</v>
      </c>
    </row>
    <row r="330" spans="1:72">
      <c r="A330" s="1134"/>
      <c r="B330" s="1142"/>
      <c r="C330" s="1142"/>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7"/>
      <c r="AE330" s="2847"/>
      <c r="AF330" s="2847"/>
      <c r="AG330" s="2847"/>
      <c r="AH330" s="2847"/>
      <c r="AI330" s="2847"/>
      <c r="AJ330" s="2847"/>
      <c r="AK330" s="2847"/>
      <c r="AL330" s="2847"/>
      <c r="AM330" s="2847"/>
      <c r="AN330" s="2847"/>
      <c r="AO330" s="2847"/>
      <c r="AP330" s="2847"/>
      <c r="AQ330" s="2847"/>
      <c r="AR330" s="2847"/>
      <c r="AS330" s="2847"/>
      <c r="AT330" s="2829"/>
      <c r="AU330" s="2856"/>
      <c r="AV330" s="790">
        <f t="shared" si="178"/>
        <v>0</v>
      </c>
      <c r="AW330" s="790">
        <f t="shared" si="179"/>
        <v>0</v>
      </c>
      <c r="AX330" s="790">
        <f t="shared" si="180"/>
        <v>0</v>
      </c>
      <c r="AY330" s="1069">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4">
        <f t="shared" si="176"/>
        <v>0</v>
      </c>
    </row>
    <row r="331" spans="1:72">
      <c r="A331" s="1134"/>
      <c r="B331" s="1142"/>
      <c r="C331" s="1142"/>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7"/>
      <c r="AE331" s="2847"/>
      <c r="AF331" s="2847"/>
      <c r="AG331" s="2847"/>
      <c r="AH331" s="2847"/>
      <c r="AI331" s="2847"/>
      <c r="AJ331" s="2847"/>
      <c r="AK331" s="2847"/>
      <c r="AL331" s="2847"/>
      <c r="AM331" s="2847"/>
      <c r="AN331" s="2847"/>
      <c r="AO331" s="2847"/>
      <c r="AP331" s="2847"/>
      <c r="AQ331" s="2847"/>
      <c r="AR331" s="2847"/>
      <c r="AS331" s="2847"/>
      <c r="AT331" s="2829"/>
      <c r="AU331" s="2856"/>
      <c r="AV331" s="790">
        <f t="shared" si="178"/>
        <v>0</v>
      </c>
      <c r="AW331" s="790">
        <f t="shared" si="179"/>
        <v>0</v>
      </c>
      <c r="AX331" s="790">
        <f t="shared" si="180"/>
        <v>0</v>
      </c>
      <c r="AY331" s="1069">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4">
        <f t="shared" si="176"/>
        <v>0</v>
      </c>
    </row>
    <row r="332" spans="1:72">
      <c r="A332" s="1134"/>
      <c r="B332" s="1142"/>
      <c r="C332" s="1142"/>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7"/>
      <c r="AE332" s="2847"/>
      <c r="AF332" s="2847"/>
      <c r="AG332" s="2847"/>
      <c r="AH332" s="2847"/>
      <c r="AI332" s="2847"/>
      <c r="AJ332" s="2847"/>
      <c r="AK332" s="2847"/>
      <c r="AL332" s="2847"/>
      <c r="AM332" s="2847"/>
      <c r="AN332" s="2847"/>
      <c r="AO332" s="2847"/>
      <c r="AP332" s="2847"/>
      <c r="AQ332" s="2847"/>
      <c r="AR332" s="2847"/>
      <c r="AS332" s="2847"/>
      <c r="AT332" s="2829"/>
      <c r="AU332" s="2856"/>
      <c r="AV332" s="790">
        <f t="shared" si="178"/>
        <v>0</v>
      </c>
      <c r="AW332" s="790">
        <f t="shared" si="179"/>
        <v>0</v>
      </c>
      <c r="AX332" s="790">
        <f t="shared" si="180"/>
        <v>0</v>
      </c>
      <c r="AY332" s="1069">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4">
        <f t="shared" ref="BT332:BT363" si="205">IF($D332="是",AR332-AS332,0)</f>
        <v>0</v>
      </c>
    </row>
    <row r="333" spans="1:72">
      <c r="A333" s="1134"/>
      <c r="B333" s="1142"/>
      <c r="C333" s="1142"/>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7"/>
      <c r="AE333" s="2847"/>
      <c r="AF333" s="2847"/>
      <c r="AG333" s="2847"/>
      <c r="AH333" s="2847"/>
      <c r="AI333" s="2847"/>
      <c r="AJ333" s="2847"/>
      <c r="AK333" s="2847"/>
      <c r="AL333" s="2847"/>
      <c r="AM333" s="2847"/>
      <c r="AN333" s="2847"/>
      <c r="AO333" s="2847"/>
      <c r="AP333" s="2847"/>
      <c r="AQ333" s="2847"/>
      <c r="AR333" s="2847"/>
      <c r="AS333" s="2847"/>
      <c r="AT333" s="2829"/>
      <c r="AU333" s="2856"/>
      <c r="AV333" s="790">
        <f t="shared" si="178"/>
        <v>0</v>
      </c>
      <c r="AW333" s="790">
        <f t="shared" si="179"/>
        <v>0</v>
      </c>
      <c r="AX333" s="790">
        <f t="shared" si="180"/>
        <v>0</v>
      </c>
      <c r="AY333" s="1069">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4">
        <f t="shared" si="205"/>
        <v>0</v>
      </c>
    </row>
    <row r="334" spans="1:72">
      <c r="A334" s="1134"/>
      <c r="B334" s="1142"/>
      <c r="C334" s="1142"/>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7"/>
      <c r="AE334" s="2847"/>
      <c r="AF334" s="2847"/>
      <c r="AG334" s="2847"/>
      <c r="AH334" s="2847"/>
      <c r="AI334" s="2847"/>
      <c r="AJ334" s="2847"/>
      <c r="AK334" s="2847"/>
      <c r="AL334" s="2847"/>
      <c r="AM334" s="2847"/>
      <c r="AN334" s="2847"/>
      <c r="AO334" s="2847"/>
      <c r="AP334" s="2847"/>
      <c r="AQ334" s="2847"/>
      <c r="AR334" s="2847"/>
      <c r="AS334" s="2847"/>
      <c r="AT334" s="2829"/>
      <c r="AU334" s="2856"/>
      <c r="AV334" s="790">
        <f t="shared" si="178"/>
        <v>0</v>
      </c>
      <c r="AW334" s="790">
        <f t="shared" si="179"/>
        <v>0</v>
      </c>
      <c r="AX334" s="790">
        <f t="shared" si="180"/>
        <v>0</v>
      </c>
      <c r="AY334" s="1069">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4">
        <f t="shared" si="205"/>
        <v>0</v>
      </c>
    </row>
    <row r="335" spans="1:72">
      <c r="A335" s="1134"/>
      <c r="B335" s="1142"/>
      <c r="C335" s="1142"/>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7"/>
      <c r="AE335" s="2847"/>
      <c r="AF335" s="2847"/>
      <c r="AG335" s="2847"/>
      <c r="AH335" s="2847"/>
      <c r="AI335" s="2847"/>
      <c r="AJ335" s="2847"/>
      <c r="AK335" s="2847"/>
      <c r="AL335" s="2847"/>
      <c r="AM335" s="2847"/>
      <c r="AN335" s="2847"/>
      <c r="AO335" s="2847"/>
      <c r="AP335" s="2847"/>
      <c r="AQ335" s="2847"/>
      <c r="AR335" s="2847"/>
      <c r="AS335" s="2847"/>
      <c r="AT335" s="2829"/>
      <c r="AU335" s="2856"/>
      <c r="AV335" s="790">
        <f t="shared" ref="AV335:AV366" si="207">A335</f>
        <v>0</v>
      </c>
      <c r="AW335" s="790">
        <f t="shared" ref="AW335:AW366" si="208">B335</f>
        <v>0</v>
      </c>
      <c r="AX335" s="790">
        <f t="shared" ref="AX335:AX366" si="209">C335</f>
        <v>0</v>
      </c>
      <c r="AY335" s="1069">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4">
        <f t="shared" si="205"/>
        <v>0</v>
      </c>
    </row>
    <row r="336" spans="1:72">
      <c r="A336" s="1134"/>
      <c r="B336" s="1142"/>
      <c r="C336" s="1142"/>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7"/>
      <c r="AE336" s="2847"/>
      <c r="AF336" s="2847"/>
      <c r="AG336" s="2847"/>
      <c r="AH336" s="2847"/>
      <c r="AI336" s="2847"/>
      <c r="AJ336" s="2847"/>
      <c r="AK336" s="2847"/>
      <c r="AL336" s="2847"/>
      <c r="AM336" s="2847"/>
      <c r="AN336" s="2847"/>
      <c r="AO336" s="2847"/>
      <c r="AP336" s="2847"/>
      <c r="AQ336" s="2847"/>
      <c r="AR336" s="2847"/>
      <c r="AS336" s="2847"/>
      <c r="AT336" s="2829"/>
      <c r="AU336" s="2856"/>
      <c r="AV336" s="790">
        <f t="shared" si="207"/>
        <v>0</v>
      </c>
      <c r="AW336" s="790">
        <f t="shared" si="208"/>
        <v>0</v>
      </c>
      <c r="AX336" s="790">
        <f t="shared" si="209"/>
        <v>0</v>
      </c>
      <c r="AY336" s="1069">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4">
        <f t="shared" si="205"/>
        <v>0</v>
      </c>
    </row>
    <row r="337" spans="1:72">
      <c r="A337" s="1134"/>
      <c r="B337" s="1142"/>
      <c r="C337" s="1142"/>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7"/>
      <c r="AE337" s="2847"/>
      <c r="AF337" s="2847"/>
      <c r="AG337" s="2847"/>
      <c r="AH337" s="2847"/>
      <c r="AI337" s="2847"/>
      <c r="AJ337" s="2847"/>
      <c r="AK337" s="2847"/>
      <c r="AL337" s="2847"/>
      <c r="AM337" s="2847"/>
      <c r="AN337" s="2847"/>
      <c r="AO337" s="2847"/>
      <c r="AP337" s="2847"/>
      <c r="AQ337" s="2847"/>
      <c r="AR337" s="2847"/>
      <c r="AS337" s="2847"/>
      <c r="AT337" s="2829"/>
      <c r="AU337" s="2856"/>
      <c r="AV337" s="790">
        <f t="shared" si="207"/>
        <v>0</v>
      </c>
      <c r="AW337" s="790">
        <f t="shared" si="208"/>
        <v>0</v>
      </c>
      <c r="AX337" s="790">
        <f t="shared" si="209"/>
        <v>0</v>
      </c>
      <c r="AY337" s="1069">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4">
        <f t="shared" si="205"/>
        <v>0</v>
      </c>
    </row>
    <row r="338" spans="1:72">
      <c r="A338" s="1134"/>
      <c r="B338" s="1142"/>
      <c r="C338" s="1142"/>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7"/>
      <c r="AE338" s="2847"/>
      <c r="AF338" s="2847"/>
      <c r="AG338" s="2847"/>
      <c r="AH338" s="2847"/>
      <c r="AI338" s="2847"/>
      <c r="AJ338" s="2847"/>
      <c r="AK338" s="2847"/>
      <c r="AL338" s="2847"/>
      <c r="AM338" s="2847"/>
      <c r="AN338" s="2847"/>
      <c r="AO338" s="2847"/>
      <c r="AP338" s="2847"/>
      <c r="AQ338" s="2847"/>
      <c r="AR338" s="2847"/>
      <c r="AS338" s="2847"/>
      <c r="AT338" s="2829"/>
      <c r="AU338" s="2856"/>
      <c r="AV338" s="790">
        <f t="shared" si="207"/>
        <v>0</v>
      </c>
      <c r="AW338" s="790">
        <f t="shared" si="208"/>
        <v>0</v>
      </c>
      <c r="AX338" s="790">
        <f t="shared" si="209"/>
        <v>0</v>
      </c>
      <c r="AY338" s="1069">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4">
        <f t="shared" si="205"/>
        <v>0</v>
      </c>
    </row>
    <row r="339" spans="1:72">
      <c r="A339" s="1134"/>
      <c r="B339" s="1142"/>
      <c r="C339" s="1142"/>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7"/>
      <c r="AE339" s="2847"/>
      <c r="AF339" s="2847"/>
      <c r="AG339" s="2847"/>
      <c r="AH339" s="2847"/>
      <c r="AI339" s="2847"/>
      <c r="AJ339" s="2847"/>
      <c r="AK339" s="2847"/>
      <c r="AL339" s="2847"/>
      <c r="AM339" s="2847"/>
      <c r="AN339" s="2847"/>
      <c r="AO339" s="2847"/>
      <c r="AP339" s="2847"/>
      <c r="AQ339" s="2847"/>
      <c r="AR339" s="2847"/>
      <c r="AS339" s="2847"/>
      <c r="AT339" s="2829"/>
      <c r="AU339" s="2856"/>
      <c r="AV339" s="790">
        <f t="shared" si="207"/>
        <v>0</v>
      </c>
      <c r="AW339" s="790">
        <f t="shared" si="208"/>
        <v>0</v>
      </c>
      <c r="AX339" s="790">
        <f t="shared" si="209"/>
        <v>0</v>
      </c>
      <c r="AY339" s="1069">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4">
        <f t="shared" si="205"/>
        <v>0</v>
      </c>
    </row>
    <row r="340" spans="1:72">
      <c r="A340" s="1134"/>
      <c r="B340" s="1142"/>
      <c r="C340" s="1142"/>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7"/>
      <c r="AE340" s="2847"/>
      <c r="AF340" s="2847"/>
      <c r="AG340" s="2847"/>
      <c r="AH340" s="2847"/>
      <c r="AI340" s="2847"/>
      <c r="AJ340" s="2847"/>
      <c r="AK340" s="2847"/>
      <c r="AL340" s="2847"/>
      <c r="AM340" s="2847"/>
      <c r="AN340" s="2847"/>
      <c r="AO340" s="2847"/>
      <c r="AP340" s="2847"/>
      <c r="AQ340" s="2847"/>
      <c r="AR340" s="2847"/>
      <c r="AS340" s="2847"/>
      <c r="AT340" s="2829"/>
      <c r="AU340" s="2856"/>
      <c r="AV340" s="790">
        <f t="shared" si="207"/>
        <v>0</v>
      </c>
      <c r="AW340" s="790">
        <f t="shared" si="208"/>
        <v>0</v>
      </c>
      <c r="AX340" s="790">
        <f t="shared" si="209"/>
        <v>0</v>
      </c>
      <c r="AY340" s="1069">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4">
        <f t="shared" si="205"/>
        <v>0</v>
      </c>
    </row>
    <row r="341" spans="1:72">
      <c r="A341" s="1134"/>
      <c r="B341" s="1142"/>
      <c r="C341" s="1142"/>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7"/>
      <c r="AE341" s="2847"/>
      <c r="AF341" s="2847"/>
      <c r="AG341" s="2847"/>
      <c r="AH341" s="2847"/>
      <c r="AI341" s="2847"/>
      <c r="AJ341" s="2847"/>
      <c r="AK341" s="2847"/>
      <c r="AL341" s="2847"/>
      <c r="AM341" s="2847"/>
      <c r="AN341" s="2847"/>
      <c r="AO341" s="2847"/>
      <c r="AP341" s="2847"/>
      <c r="AQ341" s="2847"/>
      <c r="AR341" s="2847"/>
      <c r="AS341" s="2847"/>
      <c r="AT341" s="2829"/>
      <c r="AU341" s="2856"/>
      <c r="AV341" s="790">
        <f t="shared" si="207"/>
        <v>0</v>
      </c>
      <c r="AW341" s="790">
        <f t="shared" si="208"/>
        <v>0</v>
      </c>
      <c r="AX341" s="790">
        <f t="shared" si="209"/>
        <v>0</v>
      </c>
      <c r="AY341" s="1069">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4">
        <f t="shared" si="205"/>
        <v>0</v>
      </c>
    </row>
    <row r="342" spans="1:72">
      <c r="A342" s="1134"/>
      <c r="B342" s="1142"/>
      <c r="C342" s="1142"/>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7"/>
      <c r="AE342" s="2847"/>
      <c r="AF342" s="2847"/>
      <c r="AG342" s="2847"/>
      <c r="AH342" s="2847"/>
      <c r="AI342" s="2847"/>
      <c r="AJ342" s="2847"/>
      <c r="AK342" s="2847"/>
      <c r="AL342" s="2847"/>
      <c r="AM342" s="2847"/>
      <c r="AN342" s="2847"/>
      <c r="AO342" s="2847"/>
      <c r="AP342" s="2847"/>
      <c r="AQ342" s="2847"/>
      <c r="AR342" s="2847"/>
      <c r="AS342" s="2847"/>
      <c r="AT342" s="2829"/>
      <c r="AU342" s="2856"/>
      <c r="AV342" s="790">
        <f t="shared" si="207"/>
        <v>0</v>
      </c>
      <c r="AW342" s="790">
        <f t="shared" si="208"/>
        <v>0</v>
      </c>
      <c r="AX342" s="790">
        <f t="shared" si="209"/>
        <v>0</v>
      </c>
      <c r="AY342" s="1069">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4">
        <f t="shared" si="205"/>
        <v>0</v>
      </c>
    </row>
    <row r="343" spans="1:72">
      <c r="A343" s="1134"/>
      <c r="B343" s="1142"/>
      <c r="C343" s="1142"/>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7"/>
      <c r="AE343" s="2847"/>
      <c r="AF343" s="2847"/>
      <c r="AG343" s="2847"/>
      <c r="AH343" s="2847"/>
      <c r="AI343" s="2847"/>
      <c r="AJ343" s="2847"/>
      <c r="AK343" s="2847"/>
      <c r="AL343" s="2847"/>
      <c r="AM343" s="2847"/>
      <c r="AN343" s="2847"/>
      <c r="AO343" s="2847"/>
      <c r="AP343" s="2847"/>
      <c r="AQ343" s="2847"/>
      <c r="AR343" s="2847"/>
      <c r="AS343" s="2847"/>
      <c r="AT343" s="2829"/>
      <c r="AU343" s="2856"/>
      <c r="AV343" s="790">
        <f t="shared" si="207"/>
        <v>0</v>
      </c>
      <c r="AW343" s="790">
        <f t="shared" si="208"/>
        <v>0</v>
      </c>
      <c r="AX343" s="790">
        <f t="shared" si="209"/>
        <v>0</v>
      </c>
      <c r="AY343" s="1069">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4">
        <f t="shared" si="205"/>
        <v>0</v>
      </c>
    </row>
    <row r="344" spans="1:72">
      <c r="A344" s="1134"/>
      <c r="B344" s="1142"/>
      <c r="C344" s="1142"/>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7"/>
      <c r="AE344" s="2847"/>
      <c r="AF344" s="2847"/>
      <c r="AG344" s="2847"/>
      <c r="AH344" s="2847"/>
      <c r="AI344" s="2847"/>
      <c r="AJ344" s="2847"/>
      <c r="AK344" s="2847"/>
      <c r="AL344" s="2847"/>
      <c r="AM344" s="2847"/>
      <c r="AN344" s="2847"/>
      <c r="AO344" s="2847"/>
      <c r="AP344" s="2847"/>
      <c r="AQ344" s="2847"/>
      <c r="AR344" s="2847"/>
      <c r="AS344" s="2847"/>
      <c r="AT344" s="2829"/>
      <c r="AU344" s="2856"/>
      <c r="AV344" s="790">
        <f t="shared" si="207"/>
        <v>0</v>
      </c>
      <c r="AW344" s="790">
        <f t="shared" si="208"/>
        <v>0</v>
      </c>
      <c r="AX344" s="790">
        <f t="shared" si="209"/>
        <v>0</v>
      </c>
      <c r="AY344" s="1069">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4">
        <f t="shared" si="205"/>
        <v>0</v>
      </c>
    </row>
    <row r="345" spans="1:72">
      <c r="A345" s="1134"/>
      <c r="B345" s="1142"/>
      <c r="C345" s="1142"/>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7"/>
      <c r="AE345" s="2847"/>
      <c r="AF345" s="2847"/>
      <c r="AG345" s="2847"/>
      <c r="AH345" s="2847"/>
      <c r="AI345" s="2847"/>
      <c r="AJ345" s="2847"/>
      <c r="AK345" s="2847"/>
      <c r="AL345" s="2847"/>
      <c r="AM345" s="2847"/>
      <c r="AN345" s="2847"/>
      <c r="AO345" s="2847"/>
      <c r="AP345" s="2847"/>
      <c r="AQ345" s="2847"/>
      <c r="AR345" s="2847"/>
      <c r="AS345" s="2847"/>
      <c r="AT345" s="2829"/>
      <c r="AU345" s="2856"/>
      <c r="AV345" s="790">
        <f t="shared" si="207"/>
        <v>0</v>
      </c>
      <c r="AW345" s="790">
        <f t="shared" si="208"/>
        <v>0</v>
      </c>
      <c r="AX345" s="790">
        <f t="shared" si="209"/>
        <v>0</v>
      </c>
      <c r="AY345" s="1069">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4">
        <f t="shared" si="205"/>
        <v>0</v>
      </c>
    </row>
    <row r="346" spans="1:72">
      <c r="A346" s="1134"/>
      <c r="B346" s="1142"/>
      <c r="C346" s="1142"/>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7"/>
      <c r="AE346" s="2847"/>
      <c r="AF346" s="2847"/>
      <c r="AG346" s="2847"/>
      <c r="AH346" s="2847"/>
      <c r="AI346" s="2847"/>
      <c r="AJ346" s="2847"/>
      <c r="AK346" s="2847"/>
      <c r="AL346" s="2847"/>
      <c r="AM346" s="2847"/>
      <c r="AN346" s="2847"/>
      <c r="AO346" s="2847"/>
      <c r="AP346" s="2847"/>
      <c r="AQ346" s="2847"/>
      <c r="AR346" s="2847"/>
      <c r="AS346" s="2847"/>
      <c r="AT346" s="2829"/>
      <c r="AU346" s="2856"/>
      <c r="AV346" s="790">
        <f t="shared" si="207"/>
        <v>0</v>
      </c>
      <c r="AW346" s="790">
        <f t="shared" si="208"/>
        <v>0</v>
      </c>
      <c r="AX346" s="790">
        <f t="shared" si="209"/>
        <v>0</v>
      </c>
      <c r="AY346" s="1069">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4">
        <f t="shared" si="205"/>
        <v>0</v>
      </c>
    </row>
    <row r="347" spans="1:72">
      <c r="A347" s="1134"/>
      <c r="B347" s="1142"/>
      <c r="C347" s="1142"/>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7"/>
      <c r="AE347" s="2847"/>
      <c r="AF347" s="2847"/>
      <c r="AG347" s="2847"/>
      <c r="AH347" s="2847"/>
      <c r="AI347" s="2847"/>
      <c r="AJ347" s="2847"/>
      <c r="AK347" s="2847"/>
      <c r="AL347" s="2847"/>
      <c r="AM347" s="2847"/>
      <c r="AN347" s="2847"/>
      <c r="AO347" s="2847"/>
      <c r="AP347" s="2847"/>
      <c r="AQ347" s="2847"/>
      <c r="AR347" s="2847"/>
      <c r="AS347" s="2847"/>
      <c r="AT347" s="2829"/>
      <c r="AU347" s="2856"/>
      <c r="AV347" s="790">
        <f t="shared" si="207"/>
        <v>0</v>
      </c>
      <c r="AW347" s="790">
        <f t="shared" si="208"/>
        <v>0</v>
      </c>
      <c r="AX347" s="790">
        <f t="shared" si="209"/>
        <v>0</v>
      </c>
      <c r="AY347" s="1069">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4">
        <f t="shared" si="205"/>
        <v>0</v>
      </c>
    </row>
    <row r="348" spans="1:72">
      <c r="A348" s="1134"/>
      <c r="B348" s="1142"/>
      <c r="C348" s="1142"/>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7"/>
      <c r="AE348" s="2847"/>
      <c r="AF348" s="2847"/>
      <c r="AG348" s="2847"/>
      <c r="AH348" s="2847"/>
      <c r="AI348" s="2847"/>
      <c r="AJ348" s="2847"/>
      <c r="AK348" s="2847"/>
      <c r="AL348" s="2847"/>
      <c r="AM348" s="2847"/>
      <c r="AN348" s="2847"/>
      <c r="AO348" s="2847"/>
      <c r="AP348" s="2847"/>
      <c r="AQ348" s="2847"/>
      <c r="AR348" s="2847"/>
      <c r="AS348" s="2847"/>
      <c r="AT348" s="2829"/>
      <c r="AU348" s="2856"/>
      <c r="AV348" s="790">
        <f t="shared" si="207"/>
        <v>0</v>
      </c>
      <c r="AW348" s="790">
        <f t="shared" si="208"/>
        <v>0</v>
      </c>
      <c r="AX348" s="790">
        <f t="shared" si="209"/>
        <v>0</v>
      </c>
      <c r="AY348" s="1069">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4">
        <f t="shared" si="205"/>
        <v>0</v>
      </c>
    </row>
    <row r="349" spans="1:72">
      <c r="A349" s="1134"/>
      <c r="B349" s="1142"/>
      <c r="C349" s="1142"/>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7"/>
      <c r="AE349" s="2847"/>
      <c r="AF349" s="2847"/>
      <c r="AG349" s="2847"/>
      <c r="AH349" s="2847"/>
      <c r="AI349" s="2847"/>
      <c r="AJ349" s="2847"/>
      <c r="AK349" s="2847"/>
      <c r="AL349" s="2847"/>
      <c r="AM349" s="2847"/>
      <c r="AN349" s="2847"/>
      <c r="AO349" s="2847"/>
      <c r="AP349" s="2847"/>
      <c r="AQ349" s="2847"/>
      <c r="AR349" s="2847"/>
      <c r="AS349" s="2847"/>
      <c r="AT349" s="2829"/>
      <c r="AU349" s="2856"/>
      <c r="AV349" s="790">
        <f t="shared" si="207"/>
        <v>0</v>
      </c>
      <c r="AW349" s="790">
        <f t="shared" si="208"/>
        <v>0</v>
      </c>
      <c r="AX349" s="790">
        <f t="shared" si="209"/>
        <v>0</v>
      </c>
      <c r="AY349" s="1069">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4">
        <f t="shared" si="205"/>
        <v>0</v>
      </c>
    </row>
    <row r="350" spans="1:72">
      <c r="A350" s="1134"/>
      <c r="B350" s="1142"/>
      <c r="C350" s="1142"/>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7"/>
      <c r="AE350" s="2847"/>
      <c r="AF350" s="2847"/>
      <c r="AG350" s="2847"/>
      <c r="AH350" s="2847"/>
      <c r="AI350" s="2847"/>
      <c r="AJ350" s="2847"/>
      <c r="AK350" s="2847"/>
      <c r="AL350" s="2847"/>
      <c r="AM350" s="2847"/>
      <c r="AN350" s="2847"/>
      <c r="AO350" s="2847"/>
      <c r="AP350" s="2847"/>
      <c r="AQ350" s="2847"/>
      <c r="AR350" s="2847"/>
      <c r="AS350" s="2847"/>
      <c r="AT350" s="2829"/>
      <c r="AU350" s="2856"/>
      <c r="AV350" s="790">
        <f t="shared" si="207"/>
        <v>0</v>
      </c>
      <c r="AW350" s="790">
        <f t="shared" si="208"/>
        <v>0</v>
      </c>
      <c r="AX350" s="790">
        <f t="shared" si="209"/>
        <v>0</v>
      </c>
      <c r="AY350" s="1069">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4">
        <f t="shared" si="205"/>
        <v>0</v>
      </c>
    </row>
    <row r="351" spans="1:72">
      <c r="A351" s="1134"/>
      <c r="B351" s="1142"/>
      <c r="C351" s="1142"/>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7"/>
      <c r="AE351" s="2847"/>
      <c r="AF351" s="2847"/>
      <c r="AG351" s="2847"/>
      <c r="AH351" s="2847"/>
      <c r="AI351" s="2847"/>
      <c r="AJ351" s="2847"/>
      <c r="AK351" s="2847"/>
      <c r="AL351" s="2847"/>
      <c r="AM351" s="2847"/>
      <c r="AN351" s="2847"/>
      <c r="AO351" s="2847"/>
      <c r="AP351" s="2847"/>
      <c r="AQ351" s="2847"/>
      <c r="AR351" s="2847"/>
      <c r="AS351" s="2847"/>
      <c r="AT351" s="2829"/>
      <c r="AU351" s="2856"/>
      <c r="AV351" s="790">
        <f t="shared" si="207"/>
        <v>0</v>
      </c>
      <c r="AW351" s="790">
        <f t="shared" si="208"/>
        <v>0</v>
      </c>
      <c r="AX351" s="790">
        <f t="shared" si="209"/>
        <v>0</v>
      </c>
      <c r="AY351" s="1069">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4">
        <f t="shared" si="205"/>
        <v>0</v>
      </c>
    </row>
    <row r="352" spans="1:72">
      <c r="A352" s="1134"/>
      <c r="B352" s="1142"/>
      <c r="C352" s="1142"/>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7"/>
      <c r="AE352" s="2847"/>
      <c r="AF352" s="2847"/>
      <c r="AG352" s="2847"/>
      <c r="AH352" s="2847"/>
      <c r="AI352" s="2847"/>
      <c r="AJ352" s="2847"/>
      <c r="AK352" s="2847"/>
      <c r="AL352" s="2847"/>
      <c r="AM352" s="2847"/>
      <c r="AN352" s="2847"/>
      <c r="AO352" s="2847"/>
      <c r="AP352" s="2847"/>
      <c r="AQ352" s="2847"/>
      <c r="AR352" s="2847"/>
      <c r="AS352" s="2847"/>
      <c r="AT352" s="2829"/>
      <c r="AU352" s="2856"/>
      <c r="AV352" s="790">
        <f t="shared" si="207"/>
        <v>0</v>
      </c>
      <c r="AW352" s="790">
        <f t="shared" si="208"/>
        <v>0</v>
      </c>
      <c r="AX352" s="790">
        <f t="shared" si="209"/>
        <v>0</v>
      </c>
      <c r="AY352" s="1069">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4">
        <f t="shared" si="205"/>
        <v>0</v>
      </c>
    </row>
    <row r="353" spans="1:72">
      <c r="A353" s="1134"/>
      <c r="B353" s="1142"/>
      <c r="C353" s="1142"/>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7"/>
      <c r="AE353" s="2847"/>
      <c r="AF353" s="2847"/>
      <c r="AG353" s="2847"/>
      <c r="AH353" s="2847"/>
      <c r="AI353" s="2847"/>
      <c r="AJ353" s="2847"/>
      <c r="AK353" s="2847"/>
      <c r="AL353" s="2847"/>
      <c r="AM353" s="2847"/>
      <c r="AN353" s="2847"/>
      <c r="AO353" s="2847"/>
      <c r="AP353" s="2847"/>
      <c r="AQ353" s="2847"/>
      <c r="AR353" s="2847"/>
      <c r="AS353" s="2847"/>
      <c r="AT353" s="2829"/>
      <c r="AU353" s="2856"/>
      <c r="AV353" s="790">
        <f t="shared" si="207"/>
        <v>0</v>
      </c>
      <c r="AW353" s="790">
        <f t="shared" si="208"/>
        <v>0</v>
      </c>
      <c r="AX353" s="790">
        <f t="shared" si="209"/>
        <v>0</v>
      </c>
      <c r="AY353" s="1069">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4">
        <f t="shared" si="205"/>
        <v>0</v>
      </c>
    </row>
    <row r="354" spans="1:72">
      <c r="A354" s="1134"/>
      <c r="B354" s="1142"/>
      <c r="C354" s="1142"/>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7"/>
      <c r="AE354" s="2847"/>
      <c r="AF354" s="2847"/>
      <c r="AG354" s="2847"/>
      <c r="AH354" s="2847"/>
      <c r="AI354" s="2847"/>
      <c r="AJ354" s="2847"/>
      <c r="AK354" s="2847"/>
      <c r="AL354" s="2847"/>
      <c r="AM354" s="2847"/>
      <c r="AN354" s="2847"/>
      <c r="AO354" s="2847"/>
      <c r="AP354" s="2847"/>
      <c r="AQ354" s="2847"/>
      <c r="AR354" s="2847"/>
      <c r="AS354" s="2847"/>
      <c r="AT354" s="2829"/>
      <c r="AU354" s="2856"/>
      <c r="AV354" s="790">
        <f t="shared" si="207"/>
        <v>0</v>
      </c>
      <c r="AW354" s="790">
        <f t="shared" si="208"/>
        <v>0</v>
      </c>
      <c r="AX354" s="790">
        <f t="shared" si="209"/>
        <v>0</v>
      </c>
      <c r="AY354" s="1069">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4">
        <f t="shared" si="205"/>
        <v>0</v>
      </c>
    </row>
    <row r="355" spans="1:72">
      <c r="A355" s="1134"/>
      <c r="B355" s="1142"/>
      <c r="C355" s="1142"/>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7"/>
      <c r="AE355" s="2847"/>
      <c r="AF355" s="2847"/>
      <c r="AG355" s="2847"/>
      <c r="AH355" s="2847"/>
      <c r="AI355" s="2847"/>
      <c r="AJ355" s="2847"/>
      <c r="AK355" s="2847"/>
      <c r="AL355" s="2847"/>
      <c r="AM355" s="2847"/>
      <c r="AN355" s="2847"/>
      <c r="AO355" s="2847"/>
      <c r="AP355" s="2847"/>
      <c r="AQ355" s="2847"/>
      <c r="AR355" s="2847"/>
      <c r="AS355" s="2847"/>
      <c r="AT355" s="2829"/>
      <c r="AU355" s="2856"/>
      <c r="AV355" s="790">
        <f t="shared" si="207"/>
        <v>0</v>
      </c>
      <c r="AW355" s="790">
        <f t="shared" si="208"/>
        <v>0</v>
      </c>
      <c r="AX355" s="790">
        <f t="shared" si="209"/>
        <v>0</v>
      </c>
      <c r="AY355" s="1069">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4">
        <f t="shared" si="205"/>
        <v>0</v>
      </c>
    </row>
    <row r="356" spans="1:72">
      <c r="A356" s="1134"/>
      <c r="B356" s="1142"/>
      <c r="C356" s="1142"/>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7"/>
      <c r="AE356" s="2847"/>
      <c r="AF356" s="2847"/>
      <c r="AG356" s="2847"/>
      <c r="AH356" s="2847"/>
      <c r="AI356" s="2847"/>
      <c r="AJ356" s="2847"/>
      <c r="AK356" s="2847"/>
      <c r="AL356" s="2847"/>
      <c r="AM356" s="2847"/>
      <c r="AN356" s="2847"/>
      <c r="AO356" s="2847"/>
      <c r="AP356" s="2847"/>
      <c r="AQ356" s="2847"/>
      <c r="AR356" s="2847"/>
      <c r="AS356" s="2847"/>
      <c r="AT356" s="2829"/>
      <c r="AU356" s="2856"/>
      <c r="AV356" s="790">
        <f t="shared" si="207"/>
        <v>0</v>
      </c>
      <c r="AW356" s="790">
        <f t="shared" si="208"/>
        <v>0</v>
      </c>
      <c r="AX356" s="790">
        <f t="shared" si="209"/>
        <v>0</v>
      </c>
      <c r="AY356" s="1069">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4">
        <f t="shared" si="205"/>
        <v>0</v>
      </c>
    </row>
    <row r="357" spans="1:72">
      <c r="A357" s="1134"/>
      <c r="B357" s="1142"/>
      <c r="C357" s="1142"/>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7"/>
      <c r="AE357" s="2847"/>
      <c r="AF357" s="2847"/>
      <c r="AG357" s="2847"/>
      <c r="AH357" s="2847"/>
      <c r="AI357" s="2847"/>
      <c r="AJ357" s="2847"/>
      <c r="AK357" s="2847"/>
      <c r="AL357" s="2847"/>
      <c r="AM357" s="2847"/>
      <c r="AN357" s="2847"/>
      <c r="AO357" s="2847"/>
      <c r="AP357" s="2847"/>
      <c r="AQ357" s="2847"/>
      <c r="AR357" s="2847"/>
      <c r="AS357" s="2847"/>
      <c r="AT357" s="2829"/>
      <c r="AU357" s="2856"/>
      <c r="AV357" s="790">
        <f t="shared" si="207"/>
        <v>0</v>
      </c>
      <c r="AW357" s="790">
        <f t="shared" si="208"/>
        <v>0</v>
      </c>
      <c r="AX357" s="790">
        <f t="shared" si="209"/>
        <v>0</v>
      </c>
      <c r="AY357" s="1069">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4">
        <f t="shared" si="205"/>
        <v>0</v>
      </c>
    </row>
    <row r="358" spans="1:72">
      <c r="A358" s="1134"/>
      <c r="B358" s="1142"/>
      <c r="C358" s="1142"/>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7"/>
      <c r="AE358" s="2847"/>
      <c r="AF358" s="2847"/>
      <c r="AG358" s="2847"/>
      <c r="AH358" s="2847"/>
      <c r="AI358" s="2847"/>
      <c r="AJ358" s="2847"/>
      <c r="AK358" s="2847"/>
      <c r="AL358" s="2847"/>
      <c r="AM358" s="2847"/>
      <c r="AN358" s="2847"/>
      <c r="AO358" s="2847"/>
      <c r="AP358" s="2847"/>
      <c r="AQ358" s="2847"/>
      <c r="AR358" s="2847"/>
      <c r="AS358" s="2847"/>
      <c r="AT358" s="2829"/>
      <c r="AU358" s="2856"/>
      <c r="AV358" s="790">
        <f t="shared" si="207"/>
        <v>0</v>
      </c>
      <c r="AW358" s="790">
        <f t="shared" si="208"/>
        <v>0</v>
      </c>
      <c r="AX358" s="790">
        <f t="shared" si="209"/>
        <v>0</v>
      </c>
      <c r="AY358" s="1069">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4">
        <f t="shared" si="205"/>
        <v>0</v>
      </c>
    </row>
    <row r="359" spans="1:72">
      <c r="A359" s="1134"/>
      <c r="B359" s="1142"/>
      <c r="C359" s="1142"/>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7"/>
      <c r="AE359" s="2847"/>
      <c r="AF359" s="2847"/>
      <c r="AG359" s="2847"/>
      <c r="AH359" s="2847"/>
      <c r="AI359" s="2847"/>
      <c r="AJ359" s="2847"/>
      <c r="AK359" s="2847"/>
      <c r="AL359" s="2847"/>
      <c r="AM359" s="2847"/>
      <c r="AN359" s="2847"/>
      <c r="AO359" s="2847"/>
      <c r="AP359" s="2847"/>
      <c r="AQ359" s="2847"/>
      <c r="AR359" s="2847"/>
      <c r="AS359" s="2847"/>
      <c r="AT359" s="2829"/>
      <c r="AU359" s="2856"/>
      <c r="AV359" s="790">
        <f t="shared" si="207"/>
        <v>0</v>
      </c>
      <c r="AW359" s="790">
        <f t="shared" si="208"/>
        <v>0</v>
      </c>
      <c r="AX359" s="790">
        <f t="shared" si="209"/>
        <v>0</v>
      </c>
      <c r="AY359" s="1069">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4">
        <f t="shared" si="205"/>
        <v>0</v>
      </c>
    </row>
    <row r="360" spans="1:72">
      <c r="A360" s="1134"/>
      <c r="B360" s="1142"/>
      <c r="C360" s="1142"/>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7"/>
      <c r="AE360" s="2847"/>
      <c r="AF360" s="2847"/>
      <c r="AG360" s="2847"/>
      <c r="AH360" s="2847"/>
      <c r="AI360" s="2847"/>
      <c r="AJ360" s="2847"/>
      <c r="AK360" s="2847"/>
      <c r="AL360" s="2847"/>
      <c r="AM360" s="2847"/>
      <c r="AN360" s="2847"/>
      <c r="AO360" s="2847"/>
      <c r="AP360" s="2847"/>
      <c r="AQ360" s="2847"/>
      <c r="AR360" s="2847"/>
      <c r="AS360" s="2847"/>
      <c r="AT360" s="2829"/>
      <c r="AU360" s="2856"/>
      <c r="AV360" s="790">
        <f t="shared" si="207"/>
        <v>0</v>
      </c>
      <c r="AW360" s="790">
        <f t="shared" si="208"/>
        <v>0</v>
      </c>
      <c r="AX360" s="790">
        <f t="shared" si="209"/>
        <v>0</v>
      </c>
      <c r="AY360" s="1069">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4">
        <f t="shared" si="205"/>
        <v>0</v>
      </c>
    </row>
    <row r="361" spans="1:72">
      <c r="A361" s="1134"/>
      <c r="B361" s="1142"/>
      <c r="C361" s="1142"/>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7"/>
      <c r="AE361" s="2847"/>
      <c r="AF361" s="2847"/>
      <c r="AG361" s="2847"/>
      <c r="AH361" s="2847"/>
      <c r="AI361" s="2847"/>
      <c r="AJ361" s="2847"/>
      <c r="AK361" s="2847"/>
      <c r="AL361" s="2847"/>
      <c r="AM361" s="2847"/>
      <c r="AN361" s="2847"/>
      <c r="AO361" s="2847"/>
      <c r="AP361" s="2847"/>
      <c r="AQ361" s="2847"/>
      <c r="AR361" s="2847"/>
      <c r="AS361" s="2847"/>
      <c r="AT361" s="2829"/>
      <c r="AU361" s="2856"/>
      <c r="AV361" s="790">
        <f t="shared" si="207"/>
        <v>0</v>
      </c>
      <c r="AW361" s="790">
        <f t="shared" si="208"/>
        <v>0</v>
      </c>
      <c r="AX361" s="790">
        <f t="shared" si="209"/>
        <v>0</v>
      </c>
      <c r="AY361" s="1069">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4">
        <f t="shared" si="205"/>
        <v>0</v>
      </c>
    </row>
    <row r="362" spans="1:72">
      <c r="A362" s="1134"/>
      <c r="B362" s="1142"/>
      <c r="C362" s="1142"/>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7"/>
      <c r="AE362" s="2847"/>
      <c r="AF362" s="2847"/>
      <c r="AG362" s="2847"/>
      <c r="AH362" s="2847"/>
      <c r="AI362" s="2847"/>
      <c r="AJ362" s="2847"/>
      <c r="AK362" s="2847"/>
      <c r="AL362" s="2847"/>
      <c r="AM362" s="2847"/>
      <c r="AN362" s="2847"/>
      <c r="AO362" s="2847"/>
      <c r="AP362" s="2847"/>
      <c r="AQ362" s="2847"/>
      <c r="AR362" s="2847"/>
      <c r="AS362" s="2847"/>
      <c r="AT362" s="2829"/>
      <c r="AU362" s="2856"/>
      <c r="AV362" s="790">
        <f t="shared" si="207"/>
        <v>0</v>
      </c>
      <c r="AW362" s="790">
        <f t="shared" si="208"/>
        <v>0</v>
      </c>
      <c r="AX362" s="790">
        <f t="shared" si="209"/>
        <v>0</v>
      </c>
      <c r="AY362" s="1069">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4">
        <f t="shared" si="205"/>
        <v>0</v>
      </c>
    </row>
    <row r="363" spans="1:72">
      <c r="A363" s="1134"/>
      <c r="B363" s="1142"/>
      <c r="C363" s="1142"/>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7"/>
      <c r="AE363" s="2847"/>
      <c r="AF363" s="2847"/>
      <c r="AG363" s="2847"/>
      <c r="AH363" s="2847"/>
      <c r="AI363" s="2847"/>
      <c r="AJ363" s="2847"/>
      <c r="AK363" s="2847"/>
      <c r="AL363" s="2847"/>
      <c r="AM363" s="2847"/>
      <c r="AN363" s="2847"/>
      <c r="AO363" s="2847"/>
      <c r="AP363" s="2847"/>
      <c r="AQ363" s="2847"/>
      <c r="AR363" s="2847"/>
      <c r="AS363" s="2847"/>
      <c r="AT363" s="2829"/>
      <c r="AU363" s="2856"/>
      <c r="AV363" s="790">
        <f t="shared" si="207"/>
        <v>0</v>
      </c>
      <c r="AW363" s="790">
        <f t="shared" si="208"/>
        <v>0</v>
      </c>
      <c r="AX363" s="790">
        <f t="shared" si="209"/>
        <v>0</v>
      </c>
      <c r="AY363" s="1069">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4">
        <f t="shared" si="205"/>
        <v>0</v>
      </c>
    </row>
    <row r="364" spans="1:72">
      <c r="A364" s="1134"/>
      <c r="B364" s="1142"/>
      <c r="C364" s="1142"/>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7"/>
      <c r="AE364" s="2847"/>
      <c r="AF364" s="2847"/>
      <c r="AG364" s="2847"/>
      <c r="AH364" s="2847"/>
      <c r="AI364" s="2847"/>
      <c r="AJ364" s="2847"/>
      <c r="AK364" s="2847"/>
      <c r="AL364" s="2847"/>
      <c r="AM364" s="2847"/>
      <c r="AN364" s="2847"/>
      <c r="AO364" s="2847"/>
      <c r="AP364" s="2847"/>
      <c r="AQ364" s="2847"/>
      <c r="AR364" s="2847"/>
      <c r="AS364" s="2847"/>
      <c r="AT364" s="2829"/>
      <c r="AU364" s="2856"/>
      <c r="AV364" s="790">
        <f t="shared" si="207"/>
        <v>0</v>
      </c>
      <c r="AW364" s="790">
        <f t="shared" si="208"/>
        <v>0</v>
      </c>
      <c r="AX364" s="790">
        <f t="shared" si="209"/>
        <v>0</v>
      </c>
      <c r="AY364" s="1069">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4">
        <f t="shared" ref="BT364:BT397" si="234">IF($D364="是",AR364-AS364,0)</f>
        <v>0</v>
      </c>
    </row>
    <row r="365" spans="1:72">
      <c r="A365" s="1134"/>
      <c r="B365" s="1142"/>
      <c r="C365" s="1142"/>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7"/>
      <c r="AE365" s="2847"/>
      <c r="AF365" s="2847"/>
      <c r="AG365" s="2847"/>
      <c r="AH365" s="2847"/>
      <c r="AI365" s="2847"/>
      <c r="AJ365" s="2847"/>
      <c r="AK365" s="2847"/>
      <c r="AL365" s="2847"/>
      <c r="AM365" s="2847"/>
      <c r="AN365" s="2847"/>
      <c r="AO365" s="2847"/>
      <c r="AP365" s="2847"/>
      <c r="AQ365" s="2847"/>
      <c r="AR365" s="2847"/>
      <c r="AS365" s="2847"/>
      <c r="AT365" s="2829"/>
      <c r="AU365" s="2856"/>
      <c r="AV365" s="790">
        <f t="shared" si="207"/>
        <v>0</v>
      </c>
      <c r="AW365" s="790">
        <f t="shared" si="208"/>
        <v>0</v>
      </c>
      <c r="AX365" s="790">
        <f t="shared" si="209"/>
        <v>0</v>
      </c>
      <c r="AY365" s="1069">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4">
        <f t="shared" si="234"/>
        <v>0</v>
      </c>
    </row>
    <row r="366" spans="1:72">
      <c r="A366" s="1134"/>
      <c r="B366" s="1142"/>
      <c r="C366" s="1142"/>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7"/>
      <c r="AE366" s="2847"/>
      <c r="AF366" s="2847"/>
      <c r="AG366" s="2847"/>
      <c r="AH366" s="2847"/>
      <c r="AI366" s="2847"/>
      <c r="AJ366" s="2847"/>
      <c r="AK366" s="2847"/>
      <c r="AL366" s="2847"/>
      <c r="AM366" s="2847"/>
      <c r="AN366" s="2847"/>
      <c r="AO366" s="2847"/>
      <c r="AP366" s="2847"/>
      <c r="AQ366" s="2847"/>
      <c r="AR366" s="2847"/>
      <c r="AS366" s="2847"/>
      <c r="AT366" s="2829"/>
      <c r="AU366" s="2856"/>
      <c r="AV366" s="790">
        <f t="shared" si="207"/>
        <v>0</v>
      </c>
      <c r="AW366" s="790">
        <f t="shared" si="208"/>
        <v>0</v>
      </c>
      <c r="AX366" s="790">
        <f t="shared" si="209"/>
        <v>0</v>
      </c>
      <c r="AY366" s="1069">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4">
        <f t="shared" si="234"/>
        <v>0</v>
      </c>
    </row>
    <row r="367" spans="1:72">
      <c r="A367" s="1134"/>
      <c r="B367" s="1142"/>
      <c r="C367" s="1142"/>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7"/>
      <c r="AE367" s="2847"/>
      <c r="AF367" s="2847"/>
      <c r="AG367" s="2847"/>
      <c r="AH367" s="2847"/>
      <c r="AI367" s="2847"/>
      <c r="AJ367" s="2847"/>
      <c r="AK367" s="2847"/>
      <c r="AL367" s="2847"/>
      <c r="AM367" s="2847"/>
      <c r="AN367" s="2847"/>
      <c r="AO367" s="2847"/>
      <c r="AP367" s="2847"/>
      <c r="AQ367" s="2847"/>
      <c r="AR367" s="2847"/>
      <c r="AS367" s="2847"/>
      <c r="AT367" s="2829"/>
      <c r="AU367" s="2856"/>
      <c r="AV367" s="790">
        <f t="shared" ref="AV367:AV397" si="236">A367</f>
        <v>0</v>
      </c>
      <c r="AW367" s="790">
        <f t="shared" ref="AW367:AW397" si="237">B367</f>
        <v>0</v>
      </c>
      <c r="AX367" s="790">
        <f t="shared" ref="AX367:AX397" si="238">C367</f>
        <v>0</v>
      </c>
      <c r="AY367" s="1069">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4">
        <f t="shared" si="234"/>
        <v>0</v>
      </c>
    </row>
    <row r="368" spans="1:72">
      <c r="A368" s="1134"/>
      <c r="B368" s="1142"/>
      <c r="C368" s="1142"/>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7"/>
      <c r="AE368" s="2847"/>
      <c r="AF368" s="2847"/>
      <c r="AG368" s="2847"/>
      <c r="AH368" s="2847"/>
      <c r="AI368" s="2847"/>
      <c r="AJ368" s="2847"/>
      <c r="AK368" s="2847"/>
      <c r="AL368" s="2847"/>
      <c r="AM368" s="2847"/>
      <c r="AN368" s="2847"/>
      <c r="AO368" s="2847"/>
      <c r="AP368" s="2847"/>
      <c r="AQ368" s="2847"/>
      <c r="AR368" s="2847"/>
      <c r="AS368" s="2847"/>
      <c r="AT368" s="2829"/>
      <c r="AU368" s="2856"/>
      <c r="AV368" s="790">
        <f t="shared" si="236"/>
        <v>0</v>
      </c>
      <c r="AW368" s="790">
        <f t="shared" si="237"/>
        <v>0</v>
      </c>
      <c r="AX368" s="790">
        <f t="shared" si="238"/>
        <v>0</v>
      </c>
      <c r="AY368" s="1069">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4">
        <f t="shared" si="234"/>
        <v>0</v>
      </c>
    </row>
    <row r="369" spans="1:72">
      <c r="A369" s="1134"/>
      <c r="B369" s="1142"/>
      <c r="C369" s="1142"/>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7"/>
      <c r="AE369" s="2847"/>
      <c r="AF369" s="2847"/>
      <c r="AG369" s="2847"/>
      <c r="AH369" s="2847"/>
      <c r="AI369" s="2847"/>
      <c r="AJ369" s="2847"/>
      <c r="AK369" s="2847"/>
      <c r="AL369" s="2847"/>
      <c r="AM369" s="2847"/>
      <c r="AN369" s="2847"/>
      <c r="AO369" s="2847"/>
      <c r="AP369" s="2847"/>
      <c r="AQ369" s="2847"/>
      <c r="AR369" s="2847"/>
      <c r="AS369" s="2847"/>
      <c r="AT369" s="2829"/>
      <c r="AU369" s="2856"/>
      <c r="AV369" s="790">
        <f t="shared" si="236"/>
        <v>0</v>
      </c>
      <c r="AW369" s="790">
        <f t="shared" si="237"/>
        <v>0</v>
      </c>
      <c r="AX369" s="790">
        <f t="shared" si="238"/>
        <v>0</v>
      </c>
      <c r="AY369" s="1069">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4">
        <f t="shared" si="234"/>
        <v>0</v>
      </c>
    </row>
    <row r="370" spans="1:72">
      <c r="A370" s="1134"/>
      <c r="B370" s="1142"/>
      <c r="C370" s="1142"/>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7"/>
      <c r="AE370" s="2847"/>
      <c r="AF370" s="2847"/>
      <c r="AG370" s="2847"/>
      <c r="AH370" s="2847"/>
      <c r="AI370" s="2847"/>
      <c r="AJ370" s="2847"/>
      <c r="AK370" s="2847"/>
      <c r="AL370" s="2847"/>
      <c r="AM370" s="2847"/>
      <c r="AN370" s="2847"/>
      <c r="AO370" s="2847"/>
      <c r="AP370" s="2847"/>
      <c r="AQ370" s="2847"/>
      <c r="AR370" s="2847"/>
      <c r="AS370" s="2847"/>
      <c r="AT370" s="2829"/>
      <c r="AU370" s="2856"/>
      <c r="AV370" s="790">
        <f t="shared" si="236"/>
        <v>0</v>
      </c>
      <c r="AW370" s="790">
        <f t="shared" si="237"/>
        <v>0</v>
      </c>
      <c r="AX370" s="790">
        <f t="shared" si="238"/>
        <v>0</v>
      </c>
      <c r="AY370" s="1069">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4">
        <f t="shared" si="234"/>
        <v>0</v>
      </c>
    </row>
    <row r="371" spans="1:72">
      <c r="A371" s="1134"/>
      <c r="B371" s="1142"/>
      <c r="C371" s="1142"/>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7"/>
      <c r="AE371" s="2847"/>
      <c r="AF371" s="2847"/>
      <c r="AG371" s="2847"/>
      <c r="AH371" s="2847"/>
      <c r="AI371" s="2847"/>
      <c r="AJ371" s="2847"/>
      <c r="AK371" s="2847"/>
      <c r="AL371" s="2847"/>
      <c r="AM371" s="2847"/>
      <c r="AN371" s="2847"/>
      <c r="AO371" s="2847"/>
      <c r="AP371" s="2847"/>
      <c r="AQ371" s="2847"/>
      <c r="AR371" s="2847"/>
      <c r="AS371" s="2847"/>
      <c r="AT371" s="2829"/>
      <c r="AU371" s="2856"/>
      <c r="AV371" s="790">
        <f t="shared" si="236"/>
        <v>0</v>
      </c>
      <c r="AW371" s="790">
        <f t="shared" si="237"/>
        <v>0</v>
      </c>
      <c r="AX371" s="790">
        <f t="shared" si="238"/>
        <v>0</v>
      </c>
      <c r="AY371" s="1069">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4">
        <f t="shared" si="234"/>
        <v>0</v>
      </c>
    </row>
    <row r="372" spans="1:72">
      <c r="A372" s="1134"/>
      <c r="B372" s="1142"/>
      <c r="C372" s="1142"/>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7"/>
      <c r="AE372" s="2847"/>
      <c r="AF372" s="2847"/>
      <c r="AG372" s="2847"/>
      <c r="AH372" s="2847"/>
      <c r="AI372" s="2847"/>
      <c r="AJ372" s="2847"/>
      <c r="AK372" s="2847"/>
      <c r="AL372" s="2847"/>
      <c r="AM372" s="2847"/>
      <c r="AN372" s="2847"/>
      <c r="AO372" s="2847"/>
      <c r="AP372" s="2847"/>
      <c r="AQ372" s="2847"/>
      <c r="AR372" s="2847"/>
      <c r="AS372" s="2847"/>
      <c r="AT372" s="2829"/>
      <c r="AU372" s="2856"/>
      <c r="AV372" s="790">
        <f t="shared" si="236"/>
        <v>0</v>
      </c>
      <c r="AW372" s="790">
        <f t="shared" si="237"/>
        <v>0</v>
      </c>
      <c r="AX372" s="790">
        <f t="shared" si="238"/>
        <v>0</v>
      </c>
      <c r="AY372" s="1069">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4">
        <f t="shared" si="234"/>
        <v>0</v>
      </c>
    </row>
    <row r="373" spans="1:72">
      <c r="A373" s="1134"/>
      <c r="B373" s="1142"/>
      <c r="C373" s="1142"/>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7"/>
      <c r="AE373" s="2847"/>
      <c r="AF373" s="2847"/>
      <c r="AG373" s="2847"/>
      <c r="AH373" s="2847"/>
      <c r="AI373" s="2847"/>
      <c r="AJ373" s="2847"/>
      <c r="AK373" s="2847"/>
      <c r="AL373" s="2847"/>
      <c r="AM373" s="2847"/>
      <c r="AN373" s="2847"/>
      <c r="AO373" s="2847"/>
      <c r="AP373" s="2847"/>
      <c r="AQ373" s="2847"/>
      <c r="AR373" s="2847"/>
      <c r="AS373" s="2847"/>
      <c r="AT373" s="2829"/>
      <c r="AU373" s="2856"/>
      <c r="AV373" s="790">
        <f t="shared" si="236"/>
        <v>0</v>
      </c>
      <c r="AW373" s="790">
        <f t="shared" si="237"/>
        <v>0</v>
      </c>
      <c r="AX373" s="790">
        <f t="shared" si="238"/>
        <v>0</v>
      </c>
      <c r="AY373" s="1069">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4">
        <f t="shared" si="234"/>
        <v>0</v>
      </c>
    </row>
    <row r="374" spans="1:72">
      <c r="A374" s="1134"/>
      <c r="B374" s="1142"/>
      <c r="C374" s="1142"/>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7"/>
      <c r="AE374" s="2847"/>
      <c r="AF374" s="2847"/>
      <c r="AG374" s="2847"/>
      <c r="AH374" s="2847"/>
      <c r="AI374" s="2847"/>
      <c r="AJ374" s="2847"/>
      <c r="AK374" s="2847"/>
      <c r="AL374" s="2847"/>
      <c r="AM374" s="2847"/>
      <c r="AN374" s="2847"/>
      <c r="AO374" s="2847"/>
      <c r="AP374" s="2847"/>
      <c r="AQ374" s="2847"/>
      <c r="AR374" s="2847"/>
      <c r="AS374" s="2847"/>
      <c r="AT374" s="2829"/>
      <c r="AU374" s="2856"/>
      <c r="AV374" s="790">
        <f t="shared" si="236"/>
        <v>0</v>
      </c>
      <c r="AW374" s="790">
        <f t="shared" si="237"/>
        <v>0</v>
      </c>
      <c r="AX374" s="790">
        <f t="shared" si="238"/>
        <v>0</v>
      </c>
      <c r="AY374" s="1069">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4">
        <f t="shared" si="234"/>
        <v>0</v>
      </c>
    </row>
    <row r="375" spans="1:72">
      <c r="A375" s="1134"/>
      <c r="B375" s="1142"/>
      <c r="C375" s="1142"/>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7"/>
      <c r="AE375" s="2847"/>
      <c r="AF375" s="2847"/>
      <c r="AG375" s="2847"/>
      <c r="AH375" s="2847"/>
      <c r="AI375" s="2847"/>
      <c r="AJ375" s="2847"/>
      <c r="AK375" s="2847"/>
      <c r="AL375" s="2847"/>
      <c r="AM375" s="2847"/>
      <c r="AN375" s="2847"/>
      <c r="AO375" s="2847"/>
      <c r="AP375" s="2847"/>
      <c r="AQ375" s="2847"/>
      <c r="AR375" s="2847"/>
      <c r="AS375" s="2847"/>
      <c r="AT375" s="2829"/>
      <c r="AU375" s="2856"/>
      <c r="AV375" s="790">
        <f t="shared" si="236"/>
        <v>0</v>
      </c>
      <c r="AW375" s="790">
        <f t="shared" si="237"/>
        <v>0</v>
      </c>
      <c r="AX375" s="790">
        <f t="shared" si="238"/>
        <v>0</v>
      </c>
      <c r="AY375" s="1069">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4">
        <f t="shared" si="234"/>
        <v>0</v>
      </c>
    </row>
    <row r="376" spans="1:72">
      <c r="A376" s="1134"/>
      <c r="B376" s="1142"/>
      <c r="C376" s="1142"/>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7"/>
      <c r="AE376" s="2847"/>
      <c r="AF376" s="2847"/>
      <c r="AG376" s="2847"/>
      <c r="AH376" s="2847"/>
      <c r="AI376" s="2847"/>
      <c r="AJ376" s="2847"/>
      <c r="AK376" s="2847"/>
      <c r="AL376" s="2847"/>
      <c r="AM376" s="2847"/>
      <c r="AN376" s="2847"/>
      <c r="AO376" s="2847"/>
      <c r="AP376" s="2847"/>
      <c r="AQ376" s="2847"/>
      <c r="AR376" s="2847"/>
      <c r="AS376" s="2847"/>
      <c r="AT376" s="2829"/>
      <c r="AU376" s="2856"/>
      <c r="AV376" s="790">
        <f t="shared" si="236"/>
        <v>0</v>
      </c>
      <c r="AW376" s="790">
        <f t="shared" si="237"/>
        <v>0</v>
      </c>
      <c r="AX376" s="790">
        <f t="shared" si="238"/>
        <v>0</v>
      </c>
      <c r="AY376" s="1069">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4">
        <f t="shared" si="234"/>
        <v>0</v>
      </c>
    </row>
    <row r="377" spans="1:72">
      <c r="A377" s="1134"/>
      <c r="B377" s="1142"/>
      <c r="C377" s="1142"/>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7"/>
      <c r="AE377" s="2847"/>
      <c r="AF377" s="2847"/>
      <c r="AG377" s="2847"/>
      <c r="AH377" s="2847"/>
      <c r="AI377" s="2847"/>
      <c r="AJ377" s="2847"/>
      <c r="AK377" s="2847"/>
      <c r="AL377" s="2847"/>
      <c r="AM377" s="2847"/>
      <c r="AN377" s="2847"/>
      <c r="AO377" s="2847"/>
      <c r="AP377" s="2847"/>
      <c r="AQ377" s="2847"/>
      <c r="AR377" s="2847"/>
      <c r="AS377" s="2847"/>
      <c r="AT377" s="2829"/>
      <c r="AU377" s="2856"/>
      <c r="AV377" s="790">
        <f t="shared" si="236"/>
        <v>0</v>
      </c>
      <c r="AW377" s="790">
        <f t="shared" si="237"/>
        <v>0</v>
      </c>
      <c r="AX377" s="790">
        <f t="shared" si="238"/>
        <v>0</v>
      </c>
      <c r="AY377" s="1069">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4">
        <f t="shared" si="234"/>
        <v>0</v>
      </c>
    </row>
    <row r="378" spans="1:72">
      <c r="A378" s="1134"/>
      <c r="B378" s="1142"/>
      <c r="C378" s="1142"/>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7"/>
      <c r="AE378" s="2847"/>
      <c r="AF378" s="2847"/>
      <c r="AG378" s="2847"/>
      <c r="AH378" s="2847"/>
      <c r="AI378" s="2847"/>
      <c r="AJ378" s="2847"/>
      <c r="AK378" s="2847"/>
      <c r="AL378" s="2847"/>
      <c r="AM378" s="2847"/>
      <c r="AN378" s="2847"/>
      <c r="AO378" s="2847"/>
      <c r="AP378" s="2847"/>
      <c r="AQ378" s="2847"/>
      <c r="AR378" s="2847"/>
      <c r="AS378" s="2847"/>
      <c r="AT378" s="2829"/>
      <c r="AU378" s="2856"/>
      <c r="AV378" s="790">
        <f t="shared" si="236"/>
        <v>0</v>
      </c>
      <c r="AW378" s="790">
        <f t="shared" si="237"/>
        <v>0</v>
      </c>
      <c r="AX378" s="790">
        <f t="shared" si="238"/>
        <v>0</v>
      </c>
      <c r="AY378" s="1069">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4">
        <f t="shared" si="234"/>
        <v>0</v>
      </c>
    </row>
    <row r="379" spans="1:72">
      <c r="A379" s="1134"/>
      <c r="B379" s="1142"/>
      <c r="C379" s="1142"/>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7"/>
      <c r="AE379" s="2847"/>
      <c r="AF379" s="2847"/>
      <c r="AG379" s="2847"/>
      <c r="AH379" s="2847"/>
      <c r="AI379" s="2847"/>
      <c r="AJ379" s="2847"/>
      <c r="AK379" s="2847"/>
      <c r="AL379" s="2847"/>
      <c r="AM379" s="2847"/>
      <c r="AN379" s="2847"/>
      <c r="AO379" s="2847"/>
      <c r="AP379" s="2847"/>
      <c r="AQ379" s="2847"/>
      <c r="AR379" s="2847"/>
      <c r="AS379" s="2847"/>
      <c r="AT379" s="2829"/>
      <c r="AU379" s="2856"/>
      <c r="AV379" s="790">
        <f t="shared" si="236"/>
        <v>0</v>
      </c>
      <c r="AW379" s="790">
        <f t="shared" si="237"/>
        <v>0</v>
      </c>
      <c r="AX379" s="790">
        <f t="shared" si="238"/>
        <v>0</v>
      </c>
      <c r="AY379" s="1069">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4">
        <f t="shared" si="234"/>
        <v>0</v>
      </c>
    </row>
    <row r="380" spans="1:72">
      <c r="A380" s="1134"/>
      <c r="B380" s="1142"/>
      <c r="C380" s="1142"/>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7"/>
      <c r="AE380" s="2847"/>
      <c r="AF380" s="2847"/>
      <c r="AG380" s="2847"/>
      <c r="AH380" s="2847"/>
      <c r="AI380" s="2847"/>
      <c r="AJ380" s="2847"/>
      <c r="AK380" s="2847"/>
      <c r="AL380" s="2847"/>
      <c r="AM380" s="2847"/>
      <c r="AN380" s="2847"/>
      <c r="AO380" s="2847"/>
      <c r="AP380" s="2847"/>
      <c r="AQ380" s="2847"/>
      <c r="AR380" s="2847"/>
      <c r="AS380" s="2847"/>
      <c r="AT380" s="2829"/>
      <c r="AU380" s="2856"/>
      <c r="AV380" s="790">
        <f t="shared" si="236"/>
        <v>0</v>
      </c>
      <c r="AW380" s="790">
        <f t="shared" si="237"/>
        <v>0</v>
      </c>
      <c r="AX380" s="790">
        <f t="shared" si="238"/>
        <v>0</v>
      </c>
      <c r="AY380" s="1069">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4">
        <f t="shared" si="234"/>
        <v>0</v>
      </c>
    </row>
    <row r="381" spans="1:72">
      <c r="A381" s="1134"/>
      <c r="B381" s="1142"/>
      <c r="C381" s="1142"/>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7"/>
      <c r="AE381" s="2847"/>
      <c r="AF381" s="2847"/>
      <c r="AG381" s="2847"/>
      <c r="AH381" s="2847"/>
      <c r="AI381" s="2847"/>
      <c r="AJ381" s="2847"/>
      <c r="AK381" s="2847"/>
      <c r="AL381" s="2847"/>
      <c r="AM381" s="2847"/>
      <c r="AN381" s="2847"/>
      <c r="AO381" s="2847"/>
      <c r="AP381" s="2847"/>
      <c r="AQ381" s="2847"/>
      <c r="AR381" s="2847"/>
      <c r="AS381" s="2847"/>
      <c r="AT381" s="2829"/>
      <c r="AU381" s="2856"/>
      <c r="AV381" s="790">
        <f t="shared" si="236"/>
        <v>0</v>
      </c>
      <c r="AW381" s="790">
        <f t="shared" si="237"/>
        <v>0</v>
      </c>
      <c r="AX381" s="790">
        <f t="shared" si="238"/>
        <v>0</v>
      </c>
      <c r="AY381" s="1069">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4">
        <f t="shared" si="234"/>
        <v>0</v>
      </c>
    </row>
    <row r="382" spans="1:72">
      <c r="A382" s="1134"/>
      <c r="B382" s="1142"/>
      <c r="C382" s="1142"/>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7"/>
      <c r="AE382" s="2847"/>
      <c r="AF382" s="2847"/>
      <c r="AG382" s="2847"/>
      <c r="AH382" s="2847"/>
      <c r="AI382" s="2847"/>
      <c r="AJ382" s="2847"/>
      <c r="AK382" s="2847"/>
      <c r="AL382" s="2847"/>
      <c r="AM382" s="2847"/>
      <c r="AN382" s="2847"/>
      <c r="AO382" s="2847"/>
      <c r="AP382" s="2847"/>
      <c r="AQ382" s="2847"/>
      <c r="AR382" s="2847"/>
      <c r="AS382" s="2847"/>
      <c r="AT382" s="2829"/>
      <c r="AU382" s="2856"/>
      <c r="AV382" s="790">
        <f t="shared" si="236"/>
        <v>0</v>
      </c>
      <c r="AW382" s="790">
        <f t="shared" si="237"/>
        <v>0</v>
      </c>
      <c r="AX382" s="790">
        <f t="shared" si="238"/>
        <v>0</v>
      </c>
      <c r="AY382" s="1069">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4">
        <f t="shared" si="234"/>
        <v>0</v>
      </c>
    </row>
    <row r="383" spans="1:72">
      <c r="A383" s="1134"/>
      <c r="B383" s="1142"/>
      <c r="C383" s="1142"/>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7"/>
      <c r="AE383" s="2847"/>
      <c r="AF383" s="2847"/>
      <c r="AG383" s="2847"/>
      <c r="AH383" s="2847"/>
      <c r="AI383" s="2847"/>
      <c r="AJ383" s="2847"/>
      <c r="AK383" s="2847"/>
      <c r="AL383" s="2847"/>
      <c r="AM383" s="2847"/>
      <c r="AN383" s="2847"/>
      <c r="AO383" s="2847"/>
      <c r="AP383" s="2847"/>
      <c r="AQ383" s="2847"/>
      <c r="AR383" s="2847"/>
      <c r="AS383" s="2847"/>
      <c r="AT383" s="2829"/>
      <c r="AU383" s="2856"/>
      <c r="AV383" s="790">
        <f t="shared" si="236"/>
        <v>0</v>
      </c>
      <c r="AW383" s="790">
        <f t="shared" si="237"/>
        <v>0</v>
      </c>
      <c r="AX383" s="790">
        <f t="shared" si="238"/>
        <v>0</v>
      </c>
      <c r="AY383" s="1069">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4">
        <f t="shared" si="234"/>
        <v>0</v>
      </c>
    </row>
    <row r="384" spans="1:72">
      <c r="A384" s="1134"/>
      <c r="B384" s="1142"/>
      <c r="C384" s="1142"/>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7"/>
      <c r="AE384" s="2847"/>
      <c r="AF384" s="2847"/>
      <c r="AG384" s="2847"/>
      <c r="AH384" s="2847"/>
      <c r="AI384" s="2847"/>
      <c r="AJ384" s="2847"/>
      <c r="AK384" s="2847"/>
      <c r="AL384" s="2847"/>
      <c r="AM384" s="2847"/>
      <c r="AN384" s="2847"/>
      <c r="AO384" s="2847"/>
      <c r="AP384" s="2847"/>
      <c r="AQ384" s="2847"/>
      <c r="AR384" s="2847"/>
      <c r="AS384" s="2847"/>
      <c r="AT384" s="2829"/>
      <c r="AU384" s="2856"/>
      <c r="AV384" s="790">
        <f t="shared" si="236"/>
        <v>0</v>
      </c>
      <c r="AW384" s="790">
        <f t="shared" si="237"/>
        <v>0</v>
      </c>
      <c r="AX384" s="790">
        <f t="shared" si="238"/>
        <v>0</v>
      </c>
      <c r="AY384" s="1069">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4">
        <f t="shared" si="234"/>
        <v>0</v>
      </c>
    </row>
    <row r="385" spans="1:72">
      <c r="A385" s="1134"/>
      <c r="B385" s="1142"/>
      <c r="C385" s="1142"/>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7"/>
      <c r="AE385" s="2847"/>
      <c r="AF385" s="2847"/>
      <c r="AG385" s="2847"/>
      <c r="AH385" s="2847"/>
      <c r="AI385" s="2847"/>
      <c r="AJ385" s="2847"/>
      <c r="AK385" s="2847"/>
      <c r="AL385" s="2847"/>
      <c r="AM385" s="2847"/>
      <c r="AN385" s="2847"/>
      <c r="AO385" s="2847"/>
      <c r="AP385" s="2847"/>
      <c r="AQ385" s="2847"/>
      <c r="AR385" s="2847"/>
      <c r="AS385" s="2847"/>
      <c r="AT385" s="2829"/>
      <c r="AU385" s="2856"/>
      <c r="AV385" s="790">
        <f t="shared" si="236"/>
        <v>0</v>
      </c>
      <c r="AW385" s="790">
        <f t="shared" si="237"/>
        <v>0</v>
      </c>
      <c r="AX385" s="790">
        <f t="shared" si="238"/>
        <v>0</v>
      </c>
      <c r="AY385" s="1069">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4">
        <f t="shared" si="234"/>
        <v>0</v>
      </c>
    </row>
    <row r="386" spans="1:72">
      <c r="A386" s="1134"/>
      <c r="B386" s="1142"/>
      <c r="C386" s="1142"/>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7"/>
      <c r="AE386" s="2847"/>
      <c r="AF386" s="2847"/>
      <c r="AG386" s="2847"/>
      <c r="AH386" s="2847"/>
      <c r="AI386" s="2847"/>
      <c r="AJ386" s="2847"/>
      <c r="AK386" s="2847"/>
      <c r="AL386" s="2847"/>
      <c r="AM386" s="2847"/>
      <c r="AN386" s="2847"/>
      <c r="AO386" s="2847"/>
      <c r="AP386" s="2847"/>
      <c r="AQ386" s="2847"/>
      <c r="AR386" s="2847"/>
      <c r="AS386" s="2847"/>
      <c r="AT386" s="2829"/>
      <c r="AU386" s="2856"/>
      <c r="AV386" s="790">
        <f t="shared" si="236"/>
        <v>0</v>
      </c>
      <c r="AW386" s="790">
        <f t="shared" si="237"/>
        <v>0</v>
      </c>
      <c r="AX386" s="790">
        <f t="shared" si="238"/>
        <v>0</v>
      </c>
      <c r="AY386" s="1069">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4">
        <f t="shared" si="234"/>
        <v>0</v>
      </c>
    </row>
    <row r="387" spans="1:72">
      <c r="A387" s="1134"/>
      <c r="B387" s="1142"/>
      <c r="C387" s="1142"/>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7"/>
      <c r="AE387" s="2847"/>
      <c r="AF387" s="2847"/>
      <c r="AG387" s="2847"/>
      <c r="AH387" s="2847"/>
      <c r="AI387" s="2847"/>
      <c r="AJ387" s="2847"/>
      <c r="AK387" s="2847"/>
      <c r="AL387" s="2847"/>
      <c r="AM387" s="2847"/>
      <c r="AN387" s="2847"/>
      <c r="AO387" s="2847"/>
      <c r="AP387" s="2847"/>
      <c r="AQ387" s="2847"/>
      <c r="AR387" s="2847"/>
      <c r="AS387" s="2847"/>
      <c r="AT387" s="2829"/>
      <c r="AU387" s="2856"/>
      <c r="AV387" s="790">
        <f t="shared" si="236"/>
        <v>0</v>
      </c>
      <c r="AW387" s="790">
        <f t="shared" si="237"/>
        <v>0</v>
      </c>
      <c r="AX387" s="790">
        <f t="shared" si="238"/>
        <v>0</v>
      </c>
      <c r="AY387" s="1069">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4">
        <f t="shared" si="234"/>
        <v>0</v>
      </c>
    </row>
    <row r="388" spans="1:72">
      <c r="A388" s="1134"/>
      <c r="B388" s="1142"/>
      <c r="C388" s="1142"/>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7"/>
      <c r="AE388" s="2847"/>
      <c r="AF388" s="2847"/>
      <c r="AG388" s="2847"/>
      <c r="AH388" s="2847"/>
      <c r="AI388" s="2847"/>
      <c r="AJ388" s="2847"/>
      <c r="AK388" s="2847"/>
      <c r="AL388" s="2847"/>
      <c r="AM388" s="2847"/>
      <c r="AN388" s="2847"/>
      <c r="AO388" s="2847"/>
      <c r="AP388" s="2847"/>
      <c r="AQ388" s="2847"/>
      <c r="AR388" s="2847"/>
      <c r="AS388" s="2847"/>
      <c r="AT388" s="2829"/>
      <c r="AU388" s="2856"/>
      <c r="AV388" s="790">
        <f t="shared" si="236"/>
        <v>0</v>
      </c>
      <c r="AW388" s="790">
        <f t="shared" si="237"/>
        <v>0</v>
      </c>
      <c r="AX388" s="790">
        <f t="shared" si="238"/>
        <v>0</v>
      </c>
      <c r="AY388" s="1069">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4">
        <f t="shared" si="234"/>
        <v>0</v>
      </c>
    </row>
    <row r="389" spans="1:72">
      <c r="A389" s="1134"/>
      <c r="B389" s="1142"/>
      <c r="C389" s="1142"/>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7"/>
      <c r="AE389" s="2847"/>
      <c r="AF389" s="2847"/>
      <c r="AG389" s="2847"/>
      <c r="AH389" s="2847"/>
      <c r="AI389" s="2847"/>
      <c r="AJ389" s="2847"/>
      <c r="AK389" s="2847"/>
      <c r="AL389" s="2847"/>
      <c r="AM389" s="2847"/>
      <c r="AN389" s="2847"/>
      <c r="AO389" s="2847"/>
      <c r="AP389" s="2847"/>
      <c r="AQ389" s="2847"/>
      <c r="AR389" s="2847"/>
      <c r="AS389" s="2847"/>
      <c r="AT389" s="2829"/>
      <c r="AU389" s="2856"/>
      <c r="AV389" s="790">
        <f t="shared" si="236"/>
        <v>0</v>
      </c>
      <c r="AW389" s="790">
        <f t="shared" si="237"/>
        <v>0</v>
      </c>
      <c r="AX389" s="790">
        <f t="shared" si="238"/>
        <v>0</v>
      </c>
      <c r="AY389" s="1069">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4">
        <f t="shared" si="234"/>
        <v>0</v>
      </c>
    </row>
    <row r="390" spans="1:72">
      <c r="A390" s="1134"/>
      <c r="B390" s="1142"/>
      <c r="C390" s="1142"/>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7"/>
      <c r="AE390" s="2847"/>
      <c r="AF390" s="2847"/>
      <c r="AG390" s="2847"/>
      <c r="AH390" s="2847"/>
      <c r="AI390" s="2847"/>
      <c r="AJ390" s="2847"/>
      <c r="AK390" s="2847"/>
      <c r="AL390" s="2847"/>
      <c r="AM390" s="2847"/>
      <c r="AN390" s="2847"/>
      <c r="AO390" s="2847"/>
      <c r="AP390" s="2847"/>
      <c r="AQ390" s="2847"/>
      <c r="AR390" s="2847"/>
      <c r="AS390" s="2847"/>
      <c r="AT390" s="2829"/>
      <c r="AU390" s="2856"/>
      <c r="AV390" s="790">
        <f t="shared" si="236"/>
        <v>0</v>
      </c>
      <c r="AW390" s="790">
        <f t="shared" si="237"/>
        <v>0</v>
      </c>
      <c r="AX390" s="790">
        <f t="shared" si="238"/>
        <v>0</v>
      </c>
      <c r="AY390" s="1069">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4">
        <f t="shared" si="234"/>
        <v>0</v>
      </c>
    </row>
    <row r="391" spans="1:72">
      <c r="A391" s="1134"/>
      <c r="B391" s="1142"/>
      <c r="C391" s="1142"/>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7"/>
      <c r="AE391" s="2847"/>
      <c r="AF391" s="2847"/>
      <c r="AG391" s="2847"/>
      <c r="AH391" s="2847"/>
      <c r="AI391" s="2847"/>
      <c r="AJ391" s="2847"/>
      <c r="AK391" s="2847"/>
      <c r="AL391" s="2847"/>
      <c r="AM391" s="2847"/>
      <c r="AN391" s="2847"/>
      <c r="AO391" s="2847"/>
      <c r="AP391" s="2847"/>
      <c r="AQ391" s="2847"/>
      <c r="AR391" s="2847"/>
      <c r="AS391" s="2847"/>
      <c r="AT391" s="2829"/>
      <c r="AU391" s="2856"/>
      <c r="AV391" s="790">
        <f t="shared" si="236"/>
        <v>0</v>
      </c>
      <c r="AW391" s="790">
        <f t="shared" si="237"/>
        <v>0</v>
      </c>
      <c r="AX391" s="790">
        <f t="shared" si="238"/>
        <v>0</v>
      </c>
      <c r="AY391" s="1069">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4">
        <f t="shared" si="234"/>
        <v>0</v>
      </c>
    </row>
    <row r="392" spans="1:72">
      <c r="A392" s="1134"/>
      <c r="B392" s="1142"/>
      <c r="C392" s="1142"/>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7"/>
      <c r="AE392" s="2847"/>
      <c r="AF392" s="2847"/>
      <c r="AG392" s="2847"/>
      <c r="AH392" s="2847"/>
      <c r="AI392" s="2847"/>
      <c r="AJ392" s="2847"/>
      <c r="AK392" s="2847"/>
      <c r="AL392" s="2847"/>
      <c r="AM392" s="2847"/>
      <c r="AN392" s="2847"/>
      <c r="AO392" s="2847"/>
      <c r="AP392" s="2847"/>
      <c r="AQ392" s="2847"/>
      <c r="AR392" s="2847"/>
      <c r="AS392" s="2847"/>
      <c r="AT392" s="2829"/>
      <c r="AU392" s="2856"/>
      <c r="AV392" s="790">
        <f t="shared" si="236"/>
        <v>0</v>
      </c>
      <c r="AW392" s="790">
        <f t="shared" si="237"/>
        <v>0</v>
      </c>
      <c r="AX392" s="790">
        <f t="shared" si="238"/>
        <v>0</v>
      </c>
      <c r="AY392" s="1069">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4">
        <f t="shared" si="234"/>
        <v>0</v>
      </c>
    </row>
    <row r="393" spans="1:72">
      <c r="A393" s="1134"/>
      <c r="B393" s="1142"/>
      <c r="C393" s="1142"/>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7"/>
      <c r="AE393" s="2847"/>
      <c r="AF393" s="2847"/>
      <c r="AG393" s="2847"/>
      <c r="AH393" s="2847"/>
      <c r="AI393" s="2847"/>
      <c r="AJ393" s="2847"/>
      <c r="AK393" s="2847"/>
      <c r="AL393" s="2847"/>
      <c r="AM393" s="2847"/>
      <c r="AN393" s="2847"/>
      <c r="AO393" s="2847"/>
      <c r="AP393" s="2847"/>
      <c r="AQ393" s="2847"/>
      <c r="AR393" s="2847"/>
      <c r="AS393" s="2847"/>
      <c r="AT393" s="2829"/>
      <c r="AU393" s="2856"/>
      <c r="AV393" s="790">
        <f t="shared" si="236"/>
        <v>0</v>
      </c>
      <c r="AW393" s="790">
        <f t="shared" si="237"/>
        <v>0</v>
      </c>
      <c r="AX393" s="790">
        <f t="shared" si="238"/>
        <v>0</v>
      </c>
      <c r="AY393" s="1069">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4">
        <f t="shared" si="234"/>
        <v>0</v>
      </c>
    </row>
    <row r="394" spans="1:72">
      <c r="A394" s="1134"/>
      <c r="B394" s="1142"/>
      <c r="C394" s="1142"/>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7"/>
      <c r="AE394" s="2847"/>
      <c r="AF394" s="2847"/>
      <c r="AG394" s="2847"/>
      <c r="AH394" s="2847"/>
      <c r="AI394" s="2847"/>
      <c r="AJ394" s="2847"/>
      <c r="AK394" s="2847"/>
      <c r="AL394" s="2847"/>
      <c r="AM394" s="2847"/>
      <c r="AN394" s="2847"/>
      <c r="AO394" s="2847"/>
      <c r="AP394" s="2847"/>
      <c r="AQ394" s="2847"/>
      <c r="AR394" s="2847"/>
      <c r="AS394" s="2847"/>
      <c r="AT394" s="2829"/>
      <c r="AU394" s="2856"/>
      <c r="AV394" s="790">
        <f t="shared" si="236"/>
        <v>0</v>
      </c>
      <c r="AW394" s="790">
        <f t="shared" si="237"/>
        <v>0</v>
      </c>
      <c r="AX394" s="790">
        <f t="shared" si="238"/>
        <v>0</v>
      </c>
      <c r="AY394" s="1069">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4">
        <f t="shared" si="234"/>
        <v>0</v>
      </c>
    </row>
    <row r="395" spans="1:72">
      <c r="A395" s="1134"/>
      <c r="B395" s="1134"/>
      <c r="C395" s="1134"/>
      <c r="D395" s="2827"/>
      <c r="E395" s="2828">
        <f t="shared" si="235"/>
        <v>0</v>
      </c>
      <c r="F395" s="2847"/>
      <c r="G395" s="2830">
        <f t="shared" si="210"/>
        <v>0</v>
      </c>
      <c r="H395" s="2831">
        <f t="shared" si="211"/>
        <v>0</v>
      </c>
      <c r="I395" s="2875"/>
      <c r="J395" s="2875"/>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7"/>
      <c r="AE395" s="2847"/>
      <c r="AF395" s="2847"/>
      <c r="AG395" s="2847"/>
      <c r="AH395" s="2847"/>
      <c r="AI395" s="2847"/>
      <c r="AJ395" s="2847"/>
      <c r="AK395" s="2847"/>
      <c r="AL395" s="2847"/>
      <c r="AM395" s="2847"/>
      <c r="AN395" s="2847"/>
      <c r="AO395" s="2847"/>
      <c r="AP395" s="2847"/>
      <c r="AQ395" s="2847"/>
      <c r="AR395" s="2847"/>
      <c r="AS395" s="2847"/>
      <c r="AT395" s="2847"/>
      <c r="AU395" s="1177"/>
      <c r="AV395" s="790">
        <f t="shared" si="236"/>
        <v>0</v>
      </c>
      <c r="AW395" s="790">
        <f t="shared" si="237"/>
        <v>0</v>
      </c>
      <c r="AX395" s="790">
        <f t="shared" si="238"/>
        <v>0</v>
      </c>
      <c r="AY395" s="1069">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4">
        <f t="shared" si="234"/>
        <v>0</v>
      </c>
    </row>
    <row r="396" spans="1:72">
      <c r="A396" s="1134"/>
      <c r="B396" s="1134"/>
      <c r="C396" s="1134"/>
      <c r="D396" s="2827"/>
      <c r="E396" s="2828">
        <f t="shared" si="235"/>
        <v>0</v>
      </c>
      <c r="F396" s="2847"/>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7"/>
      <c r="AE396" s="2847"/>
      <c r="AF396" s="2847"/>
      <c r="AG396" s="2847"/>
      <c r="AH396" s="2847"/>
      <c r="AI396" s="2847"/>
      <c r="AJ396" s="2847"/>
      <c r="AK396" s="2847"/>
      <c r="AL396" s="2847"/>
      <c r="AM396" s="2847"/>
      <c r="AN396" s="2847"/>
      <c r="AO396" s="2847"/>
      <c r="AP396" s="2847"/>
      <c r="AQ396" s="2847"/>
      <c r="AR396" s="2847"/>
      <c r="AS396" s="2847"/>
      <c r="AT396" s="2847"/>
      <c r="AU396" s="1177"/>
      <c r="AV396" s="790">
        <f t="shared" si="236"/>
        <v>0</v>
      </c>
      <c r="AW396" s="790">
        <f t="shared" si="237"/>
        <v>0</v>
      </c>
      <c r="AX396" s="790">
        <f t="shared" si="238"/>
        <v>0</v>
      </c>
      <c r="AY396" s="1069">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4">
        <f t="shared" si="234"/>
        <v>0</v>
      </c>
    </row>
    <row r="397" spans="1:72">
      <c r="A397" s="1134"/>
      <c r="B397" s="1134"/>
      <c r="C397" s="1134"/>
      <c r="D397" s="2827"/>
      <c r="E397" s="2828">
        <f t="shared" si="235"/>
        <v>0</v>
      </c>
      <c r="F397" s="2847"/>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7"/>
      <c r="AE397" s="2847"/>
      <c r="AF397" s="2847"/>
      <c r="AG397" s="2847"/>
      <c r="AH397" s="2847"/>
      <c r="AI397" s="2847"/>
      <c r="AJ397" s="2847"/>
      <c r="AK397" s="2847"/>
      <c r="AL397" s="2847"/>
      <c r="AM397" s="2847"/>
      <c r="AN397" s="2847"/>
      <c r="AO397" s="2847"/>
      <c r="AP397" s="2847"/>
      <c r="AQ397" s="2847"/>
      <c r="AR397" s="2847"/>
      <c r="AS397" s="2847"/>
      <c r="AT397" s="2847"/>
      <c r="AU397" s="1177"/>
      <c r="AV397" s="790">
        <f t="shared" si="236"/>
        <v>0</v>
      </c>
      <c r="AW397" s="790">
        <f t="shared" si="237"/>
        <v>0</v>
      </c>
      <c r="AX397" s="790">
        <f t="shared" si="238"/>
        <v>0</v>
      </c>
      <c r="AY397" s="1069">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4">
        <f t="shared" si="234"/>
        <v>0</v>
      </c>
    </row>
    <row r="398" spans="1:72">
      <c r="A398" s="1134"/>
      <c r="B398" s="1142"/>
      <c r="C398" s="1142"/>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7"/>
      <c r="AE398" s="2847"/>
      <c r="AF398" s="2847"/>
      <c r="AG398" s="2847"/>
      <c r="AH398" s="2847"/>
      <c r="AI398" s="2847"/>
      <c r="AJ398" s="2847"/>
      <c r="AK398" s="2847"/>
      <c r="AL398" s="2847"/>
      <c r="AM398" s="2847"/>
      <c r="AN398" s="2847"/>
      <c r="AO398" s="2847"/>
      <c r="AP398" s="2847"/>
      <c r="AQ398" s="2847"/>
      <c r="AR398" s="2847"/>
      <c r="AS398" s="2847"/>
      <c r="AT398" s="2829"/>
      <c r="AU398" s="2856"/>
      <c r="AV398" s="790">
        <f t="shared" ref="AV398:AV492" si="243">A398</f>
        <v>0</v>
      </c>
      <c r="AW398" s="790">
        <f t="shared" ref="AW398:AW492" si="244">B398</f>
        <v>0</v>
      </c>
      <c r="AX398" s="790">
        <f t="shared" ref="AX398:AX492" si="245">C398</f>
        <v>0</v>
      </c>
      <c r="AY398" s="1069">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4">
        <f t="shared" ref="BT398:BT489" si="267">IF($D398="是",AR398-AS398,0)</f>
        <v>0</v>
      </c>
    </row>
    <row r="399" spans="1:72">
      <c r="A399" s="1134"/>
      <c r="B399" s="1142"/>
      <c r="C399" s="1142"/>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7"/>
      <c r="AE399" s="2847"/>
      <c r="AF399" s="2847"/>
      <c r="AG399" s="2847"/>
      <c r="AH399" s="2847"/>
      <c r="AI399" s="2847"/>
      <c r="AJ399" s="2847"/>
      <c r="AK399" s="2847"/>
      <c r="AL399" s="2847"/>
      <c r="AM399" s="2847"/>
      <c r="AN399" s="2847"/>
      <c r="AO399" s="2847"/>
      <c r="AP399" s="2847"/>
      <c r="AQ399" s="2847"/>
      <c r="AR399" s="2847"/>
      <c r="AS399" s="2847"/>
      <c r="AT399" s="2829"/>
      <c r="AU399" s="2856"/>
      <c r="AV399" s="790">
        <f t="shared" si="243"/>
        <v>0</v>
      </c>
      <c r="AW399" s="790">
        <f t="shared" si="244"/>
        <v>0</v>
      </c>
      <c r="AX399" s="790">
        <f t="shared" si="245"/>
        <v>0</v>
      </c>
      <c r="AY399" s="1069">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4">
        <f t="shared" si="267"/>
        <v>0</v>
      </c>
    </row>
    <row r="400" spans="1:72">
      <c r="A400" s="1134"/>
      <c r="B400" s="1142"/>
      <c r="C400" s="1142"/>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7"/>
      <c r="AE400" s="2847"/>
      <c r="AF400" s="2847"/>
      <c r="AG400" s="2847"/>
      <c r="AH400" s="2847"/>
      <c r="AI400" s="2847"/>
      <c r="AJ400" s="2847"/>
      <c r="AK400" s="2847"/>
      <c r="AL400" s="2847"/>
      <c r="AM400" s="2847"/>
      <c r="AN400" s="2847"/>
      <c r="AO400" s="2847"/>
      <c r="AP400" s="2847"/>
      <c r="AQ400" s="2847"/>
      <c r="AR400" s="2847"/>
      <c r="AS400" s="2847"/>
      <c r="AT400" s="2829"/>
      <c r="AU400" s="2856"/>
      <c r="AV400" s="790">
        <f t="shared" si="243"/>
        <v>0</v>
      </c>
      <c r="AW400" s="790">
        <f t="shared" si="244"/>
        <v>0</v>
      </c>
      <c r="AX400" s="790">
        <f t="shared" si="245"/>
        <v>0</v>
      </c>
      <c r="AY400" s="1069">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4">
        <f t="shared" si="267"/>
        <v>0</v>
      </c>
    </row>
    <row r="401" spans="1:72">
      <c r="A401" s="1134"/>
      <c r="B401" s="1142"/>
      <c r="C401" s="1142"/>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7"/>
      <c r="AE401" s="2847"/>
      <c r="AF401" s="2847"/>
      <c r="AG401" s="2847"/>
      <c r="AH401" s="2847"/>
      <c r="AI401" s="2847"/>
      <c r="AJ401" s="2847"/>
      <c r="AK401" s="2847"/>
      <c r="AL401" s="2847"/>
      <c r="AM401" s="2847"/>
      <c r="AN401" s="2847"/>
      <c r="AO401" s="2847"/>
      <c r="AP401" s="2847"/>
      <c r="AQ401" s="2847"/>
      <c r="AR401" s="2847"/>
      <c r="AS401" s="2847"/>
      <c r="AT401" s="2829"/>
      <c r="AU401" s="2856"/>
      <c r="AV401" s="790">
        <f t="shared" si="243"/>
        <v>0</v>
      </c>
      <c r="AW401" s="790">
        <f t="shared" si="244"/>
        <v>0</v>
      </c>
      <c r="AX401" s="790">
        <f t="shared" si="245"/>
        <v>0</v>
      </c>
      <c r="AY401" s="1069">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4">
        <f t="shared" si="267"/>
        <v>0</v>
      </c>
    </row>
    <row r="402" spans="1:72">
      <c r="A402" s="1134"/>
      <c r="B402" s="1142"/>
      <c r="C402" s="1142"/>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7"/>
      <c r="AE402" s="2847"/>
      <c r="AF402" s="2847"/>
      <c r="AG402" s="2847"/>
      <c r="AH402" s="2847"/>
      <c r="AI402" s="2847"/>
      <c r="AJ402" s="2847"/>
      <c r="AK402" s="2847"/>
      <c r="AL402" s="2847"/>
      <c r="AM402" s="2847"/>
      <c r="AN402" s="2847"/>
      <c r="AO402" s="2847"/>
      <c r="AP402" s="2847"/>
      <c r="AQ402" s="2847"/>
      <c r="AR402" s="2847"/>
      <c r="AS402" s="2847"/>
      <c r="AT402" s="2829"/>
      <c r="AU402" s="2856"/>
      <c r="AV402" s="790">
        <f t="shared" si="243"/>
        <v>0</v>
      </c>
      <c r="AW402" s="790">
        <f t="shared" si="244"/>
        <v>0</v>
      </c>
      <c r="AX402" s="790">
        <f t="shared" si="245"/>
        <v>0</v>
      </c>
      <c r="AY402" s="1069">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4">
        <f t="shared" si="267"/>
        <v>0</v>
      </c>
    </row>
    <row r="403" spans="1:72">
      <c r="A403" s="1134"/>
      <c r="B403" s="1142"/>
      <c r="C403" s="1142"/>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7"/>
      <c r="AE403" s="2847"/>
      <c r="AF403" s="2847"/>
      <c r="AG403" s="2847"/>
      <c r="AH403" s="2847"/>
      <c r="AI403" s="2847"/>
      <c r="AJ403" s="2847"/>
      <c r="AK403" s="2847"/>
      <c r="AL403" s="2847"/>
      <c r="AM403" s="2847"/>
      <c r="AN403" s="2847"/>
      <c r="AO403" s="2847"/>
      <c r="AP403" s="2847"/>
      <c r="AQ403" s="2847"/>
      <c r="AR403" s="2847"/>
      <c r="AS403" s="2847"/>
      <c r="AT403" s="2829"/>
      <c r="AU403" s="2856"/>
      <c r="AV403" s="790">
        <f t="shared" si="243"/>
        <v>0</v>
      </c>
      <c r="AW403" s="790">
        <f t="shared" si="244"/>
        <v>0</v>
      </c>
      <c r="AX403" s="790">
        <f t="shared" si="245"/>
        <v>0</v>
      </c>
      <c r="AY403" s="1069">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4">
        <f t="shared" si="267"/>
        <v>0</v>
      </c>
    </row>
    <row r="404" spans="1:72">
      <c r="A404" s="1134"/>
      <c r="B404" s="1142"/>
      <c r="C404" s="1142"/>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7"/>
      <c r="AE404" s="2847"/>
      <c r="AF404" s="2847"/>
      <c r="AG404" s="2847"/>
      <c r="AH404" s="2847"/>
      <c r="AI404" s="2847"/>
      <c r="AJ404" s="2847"/>
      <c r="AK404" s="2847"/>
      <c r="AL404" s="2847"/>
      <c r="AM404" s="2847"/>
      <c r="AN404" s="2847"/>
      <c r="AO404" s="2847"/>
      <c r="AP404" s="2847"/>
      <c r="AQ404" s="2847"/>
      <c r="AR404" s="2847"/>
      <c r="AS404" s="2847"/>
      <c r="AT404" s="2829"/>
      <c r="AU404" s="2856"/>
      <c r="AV404" s="790">
        <f t="shared" si="243"/>
        <v>0</v>
      </c>
      <c r="AW404" s="790">
        <f t="shared" si="244"/>
        <v>0</v>
      </c>
      <c r="AX404" s="790">
        <f t="shared" si="245"/>
        <v>0</v>
      </c>
      <c r="AY404" s="1069">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4">
        <f t="shared" si="267"/>
        <v>0</v>
      </c>
    </row>
    <row r="405" spans="1:72">
      <c r="A405" s="1134"/>
      <c r="B405" s="1142"/>
      <c r="C405" s="1142"/>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7"/>
      <c r="AE405" s="2847"/>
      <c r="AF405" s="2847"/>
      <c r="AG405" s="2847"/>
      <c r="AH405" s="2847"/>
      <c r="AI405" s="2847"/>
      <c r="AJ405" s="2847"/>
      <c r="AK405" s="2847"/>
      <c r="AL405" s="2847"/>
      <c r="AM405" s="2847"/>
      <c r="AN405" s="2847"/>
      <c r="AO405" s="2847"/>
      <c r="AP405" s="2847"/>
      <c r="AQ405" s="2847"/>
      <c r="AR405" s="2847"/>
      <c r="AS405" s="2847"/>
      <c r="AT405" s="2829"/>
      <c r="AU405" s="2856"/>
      <c r="AV405" s="790">
        <f t="shared" si="243"/>
        <v>0</v>
      </c>
      <c r="AW405" s="790">
        <f t="shared" si="244"/>
        <v>0</v>
      </c>
      <c r="AX405" s="790">
        <f t="shared" si="245"/>
        <v>0</v>
      </c>
      <c r="AY405" s="1069">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4">
        <f t="shared" si="267"/>
        <v>0</v>
      </c>
    </row>
    <row r="406" spans="1:72">
      <c r="A406" s="1134"/>
      <c r="B406" s="1142"/>
      <c r="C406" s="1142"/>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7"/>
      <c r="AE406" s="2847"/>
      <c r="AF406" s="2847"/>
      <c r="AG406" s="2847"/>
      <c r="AH406" s="2847"/>
      <c r="AI406" s="2847"/>
      <c r="AJ406" s="2847"/>
      <c r="AK406" s="2847"/>
      <c r="AL406" s="2847"/>
      <c r="AM406" s="2847"/>
      <c r="AN406" s="2847"/>
      <c r="AO406" s="2847"/>
      <c r="AP406" s="2847"/>
      <c r="AQ406" s="2847"/>
      <c r="AR406" s="2847"/>
      <c r="AS406" s="2847"/>
      <c r="AT406" s="2829"/>
      <c r="AU406" s="2856"/>
      <c r="AV406" s="790">
        <f t="shared" si="243"/>
        <v>0</v>
      </c>
      <c r="AW406" s="790">
        <f t="shared" si="244"/>
        <v>0</v>
      </c>
      <c r="AX406" s="790">
        <f t="shared" si="245"/>
        <v>0</v>
      </c>
      <c r="AY406" s="1069">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4">
        <f t="shared" si="267"/>
        <v>0</v>
      </c>
    </row>
    <row r="407" spans="1:72">
      <c r="A407" s="1134"/>
      <c r="B407" s="1142"/>
      <c r="C407" s="1142"/>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7"/>
      <c r="AE407" s="2847"/>
      <c r="AF407" s="2847"/>
      <c r="AG407" s="2847"/>
      <c r="AH407" s="2847"/>
      <c r="AI407" s="2847"/>
      <c r="AJ407" s="2847"/>
      <c r="AK407" s="2847"/>
      <c r="AL407" s="2847"/>
      <c r="AM407" s="2847"/>
      <c r="AN407" s="2847"/>
      <c r="AO407" s="2847"/>
      <c r="AP407" s="2847"/>
      <c r="AQ407" s="2847"/>
      <c r="AR407" s="2847"/>
      <c r="AS407" s="2847"/>
      <c r="AT407" s="2829"/>
      <c r="AU407" s="2856"/>
      <c r="AV407" s="790">
        <f t="shared" si="243"/>
        <v>0</v>
      </c>
      <c r="AW407" s="790">
        <f t="shared" si="244"/>
        <v>0</v>
      </c>
      <c r="AX407" s="790">
        <f t="shared" si="245"/>
        <v>0</v>
      </c>
      <c r="AY407" s="1069">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4">
        <f t="shared" si="267"/>
        <v>0</v>
      </c>
    </row>
    <row r="408" spans="1:72">
      <c r="A408" s="1134"/>
      <c r="B408" s="1142"/>
      <c r="C408" s="1142"/>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7"/>
      <c r="AE408" s="2847"/>
      <c r="AF408" s="2847"/>
      <c r="AG408" s="2847"/>
      <c r="AH408" s="2847"/>
      <c r="AI408" s="2847"/>
      <c r="AJ408" s="2847"/>
      <c r="AK408" s="2847"/>
      <c r="AL408" s="2847"/>
      <c r="AM408" s="2847"/>
      <c r="AN408" s="2847"/>
      <c r="AO408" s="2847"/>
      <c r="AP408" s="2847"/>
      <c r="AQ408" s="2847"/>
      <c r="AR408" s="2847"/>
      <c r="AS408" s="2847"/>
      <c r="AT408" s="2829"/>
      <c r="AU408" s="2856"/>
      <c r="AV408" s="790">
        <f t="shared" si="243"/>
        <v>0</v>
      </c>
      <c r="AW408" s="790">
        <f t="shared" si="244"/>
        <v>0</v>
      </c>
      <c r="AX408" s="790">
        <f t="shared" si="245"/>
        <v>0</v>
      </c>
      <c r="AY408" s="1069">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4">
        <f t="shared" si="267"/>
        <v>0</v>
      </c>
    </row>
    <row r="409" spans="1:72">
      <c r="A409" s="1134"/>
      <c r="B409" s="1142"/>
      <c r="C409" s="1142"/>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7"/>
      <c r="AE409" s="2847"/>
      <c r="AF409" s="2847"/>
      <c r="AG409" s="2847"/>
      <c r="AH409" s="2847"/>
      <c r="AI409" s="2847"/>
      <c r="AJ409" s="2847"/>
      <c r="AK409" s="2847"/>
      <c r="AL409" s="2847"/>
      <c r="AM409" s="2847"/>
      <c r="AN409" s="2847"/>
      <c r="AO409" s="2847"/>
      <c r="AP409" s="2847"/>
      <c r="AQ409" s="2847"/>
      <c r="AR409" s="2847"/>
      <c r="AS409" s="2847"/>
      <c r="AT409" s="2829"/>
      <c r="AU409" s="2856"/>
      <c r="AV409" s="790">
        <f t="shared" si="243"/>
        <v>0</v>
      </c>
      <c r="AW409" s="790">
        <f t="shared" si="244"/>
        <v>0</v>
      </c>
      <c r="AX409" s="790">
        <f t="shared" si="245"/>
        <v>0</v>
      </c>
      <c r="AY409" s="1069">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4">
        <f t="shared" si="267"/>
        <v>0</v>
      </c>
    </row>
    <row r="410" spans="1:72">
      <c r="A410" s="1134"/>
      <c r="B410" s="1142"/>
      <c r="C410" s="1142"/>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7"/>
      <c r="AE410" s="2847"/>
      <c r="AF410" s="2847"/>
      <c r="AG410" s="2847"/>
      <c r="AH410" s="2847"/>
      <c r="AI410" s="2847"/>
      <c r="AJ410" s="2847"/>
      <c r="AK410" s="2847"/>
      <c r="AL410" s="2847"/>
      <c r="AM410" s="2847"/>
      <c r="AN410" s="2847"/>
      <c r="AO410" s="2847"/>
      <c r="AP410" s="2847"/>
      <c r="AQ410" s="2847"/>
      <c r="AR410" s="2847"/>
      <c r="AS410" s="2847"/>
      <c r="AT410" s="2829"/>
      <c r="AU410" s="2856"/>
      <c r="AV410" s="790">
        <f t="shared" si="243"/>
        <v>0</v>
      </c>
      <c r="AW410" s="790">
        <f t="shared" si="244"/>
        <v>0</v>
      </c>
      <c r="AX410" s="790">
        <f t="shared" si="245"/>
        <v>0</v>
      </c>
      <c r="AY410" s="1069">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4">
        <f t="shared" si="267"/>
        <v>0</v>
      </c>
    </row>
    <row r="411" spans="1:72">
      <c r="A411" s="1134"/>
      <c r="B411" s="1142"/>
      <c r="C411" s="1142"/>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7"/>
      <c r="AE411" s="2847"/>
      <c r="AF411" s="2847"/>
      <c r="AG411" s="2847"/>
      <c r="AH411" s="2847"/>
      <c r="AI411" s="2847"/>
      <c r="AJ411" s="2847"/>
      <c r="AK411" s="2847"/>
      <c r="AL411" s="2847"/>
      <c r="AM411" s="2847"/>
      <c r="AN411" s="2847"/>
      <c r="AO411" s="2847"/>
      <c r="AP411" s="2847"/>
      <c r="AQ411" s="2847"/>
      <c r="AR411" s="2847"/>
      <c r="AS411" s="2847"/>
      <c r="AT411" s="2829"/>
      <c r="AU411" s="2856"/>
      <c r="AV411" s="790">
        <f t="shared" si="243"/>
        <v>0</v>
      </c>
      <c r="AW411" s="790">
        <f t="shared" si="244"/>
        <v>0</v>
      </c>
      <c r="AX411" s="790">
        <f t="shared" si="245"/>
        <v>0</v>
      </c>
      <c r="AY411" s="1069">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4">
        <f t="shared" si="267"/>
        <v>0</v>
      </c>
    </row>
    <row r="412" spans="1:72">
      <c r="A412" s="1134"/>
      <c r="B412" s="1142"/>
      <c r="C412" s="1142"/>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7"/>
      <c r="AE412" s="2847"/>
      <c r="AF412" s="2847"/>
      <c r="AG412" s="2847"/>
      <c r="AH412" s="2847"/>
      <c r="AI412" s="2847"/>
      <c r="AJ412" s="2847"/>
      <c r="AK412" s="2847"/>
      <c r="AL412" s="2847"/>
      <c r="AM412" s="2847"/>
      <c r="AN412" s="2847"/>
      <c r="AO412" s="2847"/>
      <c r="AP412" s="2847"/>
      <c r="AQ412" s="2847"/>
      <c r="AR412" s="2847"/>
      <c r="AS412" s="2847"/>
      <c r="AT412" s="2829"/>
      <c r="AU412" s="2856"/>
      <c r="AV412" s="790">
        <f t="shared" si="243"/>
        <v>0</v>
      </c>
      <c r="AW412" s="790">
        <f t="shared" si="244"/>
        <v>0</v>
      </c>
      <c r="AX412" s="790">
        <f t="shared" si="245"/>
        <v>0</v>
      </c>
      <c r="AY412" s="1069">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4">
        <f t="shared" si="267"/>
        <v>0</v>
      </c>
    </row>
    <row r="413" spans="1:72">
      <c r="A413" s="1134"/>
      <c r="B413" s="1142"/>
      <c r="C413" s="1142"/>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7"/>
      <c r="AE413" s="2847"/>
      <c r="AF413" s="2847"/>
      <c r="AG413" s="2847"/>
      <c r="AH413" s="2847"/>
      <c r="AI413" s="2847"/>
      <c r="AJ413" s="2847"/>
      <c r="AK413" s="2847"/>
      <c r="AL413" s="2847"/>
      <c r="AM413" s="2847"/>
      <c r="AN413" s="2847"/>
      <c r="AO413" s="2847"/>
      <c r="AP413" s="2847"/>
      <c r="AQ413" s="2847"/>
      <c r="AR413" s="2847"/>
      <c r="AS413" s="2847"/>
      <c r="AT413" s="2829"/>
      <c r="AU413" s="2856"/>
      <c r="AV413" s="790">
        <f t="shared" si="243"/>
        <v>0</v>
      </c>
      <c r="AW413" s="790">
        <f t="shared" si="244"/>
        <v>0</v>
      </c>
      <c r="AX413" s="790">
        <f t="shared" si="245"/>
        <v>0</v>
      </c>
      <c r="AY413" s="1069">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4">
        <f t="shared" si="267"/>
        <v>0</v>
      </c>
    </row>
    <row r="414" spans="1:72">
      <c r="A414" s="1134"/>
      <c r="B414" s="1142"/>
      <c r="C414" s="1142"/>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7"/>
      <c r="AE414" s="2847"/>
      <c r="AF414" s="2847"/>
      <c r="AG414" s="2847"/>
      <c r="AH414" s="2847"/>
      <c r="AI414" s="2847"/>
      <c r="AJ414" s="2847"/>
      <c r="AK414" s="2847"/>
      <c r="AL414" s="2847"/>
      <c r="AM414" s="2847"/>
      <c r="AN414" s="2847"/>
      <c r="AO414" s="2847"/>
      <c r="AP414" s="2847"/>
      <c r="AQ414" s="2847"/>
      <c r="AR414" s="2847"/>
      <c r="AS414" s="2847"/>
      <c r="AT414" s="2829"/>
      <c r="AU414" s="2856"/>
      <c r="AV414" s="790">
        <f t="shared" si="243"/>
        <v>0</v>
      </c>
      <c r="AW414" s="790">
        <f t="shared" si="244"/>
        <v>0</v>
      </c>
      <c r="AX414" s="790">
        <f t="shared" si="245"/>
        <v>0</v>
      </c>
      <c r="AY414" s="1069">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4">
        <f t="shared" si="267"/>
        <v>0</v>
      </c>
    </row>
    <row r="415" spans="1:72">
      <c r="A415" s="1134"/>
      <c r="B415" s="1142"/>
      <c r="C415" s="1142"/>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7"/>
      <c r="AE415" s="2847"/>
      <c r="AF415" s="2847"/>
      <c r="AG415" s="2847"/>
      <c r="AH415" s="2847"/>
      <c r="AI415" s="2847"/>
      <c r="AJ415" s="2847"/>
      <c r="AK415" s="2847"/>
      <c r="AL415" s="2847"/>
      <c r="AM415" s="2847"/>
      <c r="AN415" s="2847"/>
      <c r="AO415" s="2847"/>
      <c r="AP415" s="2847"/>
      <c r="AQ415" s="2847"/>
      <c r="AR415" s="2847"/>
      <c r="AS415" s="2847"/>
      <c r="AT415" s="2829"/>
      <c r="AU415" s="2856"/>
      <c r="AV415" s="790">
        <f t="shared" si="243"/>
        <v>0</v>
      </c>
      <c r="AW415" s="790">
        <f t="shared" si="244"/>
        <v>0</v>
      </c>
      <c r="AX415" s="790">
        <f t="shared" si="245"/>
        <v>0</v>
      </c>
      <c r="AY415" s="1069">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4">
        <f t="shared" si="267"/>
        <v>0</v>
      </c>
    </row>
    <row r="416" spans="1:72">
      <c r="A416" s="1134"/>
      <c r="B416" s="1142"/>
      <c r="C416" s="1142"/>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7"/>
      <c r="AE416" s="2847"/>
      <c r="AF416" s="2847"/>
      <c r="AG416" s="2847"/>
      <c r="AH416" s="2847"/>
      <c r="AI416" s="2847"/>
      <c r="AJ416" s="2847"/>
      <c r="AK416" s="2847"/>
      <c r="AL416" s="2847"/>
      <c r="AM416" s="2847"/>
      <c r="AN416" s="2847"/>
      <c r="AO416" s="2847"/>
      <c r="AP416" s="2847"/>
      <c r="AQ416" s="2847"/>
      <c r="AR416" s="2847"/>
      <c r="AS416" s="2847"/>
      <c r="AT416" s="2829"/>
      <c r="AU416" s="2856"/>
      <c r="AV416" s="790">
        <f t="shared" si="243"/>
        <v>0</v>
      </c>
      <c r="AW416" s="790">
        <f t="shared" si="244"/>
        <v>0</v>
      </c>
      <c r="AX416" s="790">
        <f t="shared" si="245"/>
        <v>0</v>
      </c>
      <c r="AY416" s="1069">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4">
        <f t="shared" si="267"/>
        <v>0</v>
      </c>
    </row>
    <row r="417" spans="1:72">
      <c r="A417" s="1134"/>
      <c r="B417" s="1142"/>
      <c r="C417" s="1142"/>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7"/>
      <c r="AE417" s="2847"/>
      <c r="AF417" s="2847"/>
      <c r="AG417" s="2847"/>
      <c r="AH417" s="2847"/>
      <c r="AI417" s="2847"/>
      <c r="AJ417" s="2847"/>
      <c r="AK417" s="2847"/>
      <c r="AL417" s="2847"/>
      <c r="AM417" s="2847"/>
      <c r="AN417" s="2847"/>
      <c r="AO417" s="2847"/>
      <c r="AP417" s="2847"/>
      <c r="AQ417" s="2847"/>
      <c r="AR417" s="2847"/>
      <c r="AS417" s="2847"/>
      <c r="AT417" s="2829"/>
      <c r="AU417" s="2856"/>
      <c r="AV417" s="790">
        <f t="shared" si="243"/>
        <v>0</v>
      </c>
      <c r="AW417" s="790">
        <f t="shared" si="244"/>
        <v>0</v>
      </c>
      <c r="AX417" s="790">
        <f t="shared" si="245"/>
        <v>0</v>
      </c>
      <c r="AY417" s="1069">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4">
        <f t="shared" si="267"/>
        <v>0</v>
      </c>
    </row>
    <row r="418" spans="1:72">
      <c r="A418" s="1134"/>
      <c r="B418" s="1142"/>
      <c r="C418" s="1142"/>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7"/>
      <c r="AE418" s="2847"/>
      <c r="AF418" s="2847"/>
      <c r="AG418" s="2847"/>
      <c r="AH418" s="2847"/>
      <c r="AI418" s="2847"/>
      <c r="AJ418" s="2847"/>
      <c r="AK418" s="2847"/>
      <c r="AL418" s="2847"/>
      <c r="AM418" s="2847"/>
      <c r="AN418" s="2847"/>
      <c r="AO418" s="2847"/>
      <c r="AP418" s="2847"/>
      <c r="AQ418" s="2847"/>
      <c r="AR418" s="2847"/>
      <c r="AS418" s="2847"/>
      <c r="AT418" s="2829"/>
      <c r="AU418" s="2856"/>
      <c r="AV418" s="790">
        <f t="shared" si="243"/>
        <v>0</v>
      </c>
      <c r="AW418" s="790">
        <f t="shared" si="244"/>
        <v>0</v>
      </c>
      <c r="AX418" s="790">
        <f t="shared" si="245"/>
        <v>0</v>
      </c>
      <c r="AY418" s="1069">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4">
        <f t="shared" si="267"/>
        <v>0</v>
      </c>
    </row>
    <row r="419" spans="1:72">
      <c r="A419" s="1134"/>
      <c r="B419" s="1142"/>
      <c r="C419" s="1142"/>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7"/>
      <c r="AE419" s="2847"/>
      <c r="AF419" s="2847"/>
      <c r="AG419" s="2847"/>
      <c r="AH419" s="2847"/>
      <c r="AI419" s="2847"/>
      <c r="AJ419" s="2847"/>
      <c r="AK419" s="2847"/>
      <c r="AL419" s="2847"/>
      <c r="AM419" s="2847"/>
      <c r="AN419" s="2847"/>
      <c r="AO419" s="2847"/>
      <c r="AP419" s="2847"/>
      <c r="AQ419" s="2847"/>
      <c r="AR419" s="2847"/>
      <c r="AS419" s="2847"/>
      <c r="AT419" s="2829"/>
      <c r="AU419" s="2856"/>
      <c r="AV419" s="790">
        <f t="shared" si="243"/>
        <v>0</v>
      </c>
      <c r="AW419" s="790">
        <f t="shared" si="244"/>
        <v>0</v>
      </c>
      <c r="AX419" s="790">
        <f t="shared" si="245"/>
        <v>0</v>
      </c>
      <c r="AY419" s="1069">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4">
        <f t="shared" si="267"/>
        <v>0</v>
      </c>
    </row>
    <row r="420" spans="1:72">
      <c r="A420" s="1134"/>
      <c r="B420" s="1142"/>
      <c r="C420" s="1142"/>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7"/>
      <c r="AE420" s="2847"/>
      <c r="AF420" s="2847"/>
      <c r="AG420" s="2847"/>
      <c r="AH420" s="2847"/>
      <c r="AI420" s="2847"/>
      <c r="AJ420" s="2847"/>
      <c r="AK420" s="2847"/>
      <c r="AL420" s="2847"/>
      <c r="AM420" s="2847"/>
      <c r="AN420" s="2847"/>
      <c r="AO420" s="2847"/>
      <c r="AP420" s="2847"/>
      <c r="AQ420" s="2847"/>
      <c r="AR420" s="2847"/>
      <c r="AS420" s="2847"/>
      <c r="AT420" s="2829"/>
      <c r="AU420" s="2856"/>
      <c r="AV420" s="790">
        <f t="shared" si="243"/>
        <v>0</v>
      </c>
      <c r="AW420" s="790">
        <f t="shared" si="244"/>
        <v>0</v>
      </c>
      <c r="AX420" s="790">
        <f t="shared" si="245"/>
        <v>0</v>
      </c>
      <c r="AY420" s="1069">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4">
        <f t="shared" si="267"/>
        <v>0</v>
      </c>
    </row>
    <row r="421" spans="1:72">
      <c r="A421" s="1134"/>
      <c r="B421" s="1142"/>
      <c r="C421" s="1142"/>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7"/>
      <c r="AE421" s="2847"/>
      <c r="AF421" s="2847"/>
      <c r="AG421" s="2847"/>
      <c r="AH421" s="2847"/>
      <c r="AI421" s="2847"/>
      <c r="AJ421" s="2847"/>
      <c r="AK421" s="2847"/>
      <c r="AL421" s="2847"/>
      <c r="AM421" s="2847"/>
      <c r="AN421" s="2847"/>
      <c r="AO421" s="2847"/>
      <c r="AP421" s="2847"/>
      <c r="AQ421" s="2847"/>
      <c r="AR421" s="2847"/>
      <c r="AS421" s="2847"/>
      <c r="AT421" s="2829"/>
      <c r="AU421" s="2856"/>
      <c r="AV421" s="790">
        <f t="shared" si="243"/>
        <v>0</v>
      </c>
      <c r="AW421" s="790">
        <f t="shared" si="244"/>
        <v>0</v>
      </c>
      <c r="AX421" s="790">
        <f t="shared" si="245"/>
        <v>0</v>
      </c>
      <c r="AY421" s="1069">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4">
        <f t="shared" si="267"/>
        <v>0</v>
      </c>
    </row>
    <row r="422" spans="1:72">
      <c r="A422" s="1134"/>
      <c r="B422" s="1142"/>
      <c r="C422" s="1142"/>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7"/>
      <c r="AE422" s="2847"/>
      <c r="AF422" s="2847"/>
      <c r="AG422" s="2847"/>
      <c r="AH422" s="2847"/>
      <c r="AI422" s="2847"/>
      <c r="AJ422" s="2847"/>
      <c r="AK422" s="2847"/>
      <c r="AL422" s="2847"/>
      <c r="AM422" s="2847"/>
      <c r="AN422" s="2847"/>
      <c r="AO422" s="2847"/>
      <c r="AP422" s="2847"/>
      <c r="AQ422" s="2847"/>
      <c r="AR422" s="2847"/>
      <c r="AS422" s="2847"/>
      <c r="AT422" s="2829"/>
      <c r="AU422" s="2856"/>
      <c r="AV422" s="790">
        <f t="shared" si="243"/>
        <v>0</v>
      </c>
      <c r="AW422" s="790">
        <f t="shared" si="244"/>
        <v>0</v>
      </c>
      <c r="AX422" s="790">
        <f t="shared" si="245"/>
        <v>0</v>
      </c>
      <c r="AY422" s="1069">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4">
        <f t="shared" si="267"/>
        <v>0</v>
      </c>
    </row>
    <row r="423" spans="1:72">
      <c r="A423" s="1134"/>
      <c r="B423" s="1142"/>
      <c r="C423" s="1142"/>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7"/>
      <c r="AE423" s="2847"/>
      <c r="AF423" s="2847"/>
      <c r="AG423" s="2847"/>
      <c r="AH423" s="2847"/>
      <c r="AI423" s="2847"/>
      <c r="AJ423" s="2847"/>
      <c r="AK423" s="2847"/>
      <c r="AL423" s="2847"/>
      <c r="AM423" s="2847"/>
      <c r="AN423" s="2847"/>
      <c r="AO423" s="2847"/>
      <c r="AP423" s="2847"/>
      <c r="AQ423" s="2847"/>
      <c r="AR423" s="2847"/>
      <c r="AS423" s="2847"/>
      <c r="AT423" s="2829"/>
      <c r="AU423" s="2856"/>
      <c r="AV423" s="790">
        <f t="shared" si="243"/>
        <v>0</v>
      </c>
      <c r="AW423" s="790">
        <f t="shared" si="244"/>
        <v>0</v>
      </c>
      <c r="AX423" s="790">
        <f t="shared" si="245"/>
        <v>0</v>
      </c>
      <c r="AY423" s="1069">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4">
        <f t="shared" si="267"/>
        <v>0</v>
      </c>
    </row>
    <row r="424" spans="1:72">
      <c r="A424" s="1134"/>
      <c r="B424" s="1142"/>
      <c r="C424" s="1142"/>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7"/>
      <c r="AE424" s="2847"/>
      <c r="AF424" s="2847"/>
      <c r="AG424" s="2847"/>
      <c r="AH424" s="2847"/>
      <c r="AI424" s="2847"/>
      <c r="AJ424" s="2847"/>
      <c r="AK424" s="2847"/>
      <c r="AL424" s="2847"/>
      <c r="AM424" s="2847"/>
      <c r="AN424" s="2847"/>
      <c r="AO424" s="2847"/>
      <c r="AP424" s="2847"/>
      <c r="AQ424" s="2847"/>
      <c r="AR424" s="2847"/>
      <c r="AS424" s="2847"/>
      <c r="AT424" s="2829"/>
      <c r="AU424" s="2856"/>
      <c r="AV424" s="790">
        <f t="shared" si="243"/>
        <v>0</v>
      </c>
      <c r="AW424" s="790">
        <f t="shared" si="244"/>
        <v>0</v>
      </c>
      <c r="AX424" s="790">
        <f t="shared" si="245"/>
        <v>0</v>
      </c>
      <c r="AY424" s="1069">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4">
        <f t="shared" si="267"/>
        <v>0</v>
      </c>
    </row>
    <row r="425" spans="1:72">
      <c r="A425" s="1134"/>
      <c r="B425" s="1142"/>
      <c r="C425" s="1142"/>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7"/>
      <c r="AE425" s="2847"/>
      <c r="AF425" s="2847"/>
      <c r="AG425" s="2847"/>
      <c r="AH425" s="2847"/>
      <c r="AI425" s="2847"/>
      <c r="AJ425" s="2847"/>
      <c r="AK425" s="2847"/>
      <c r="AL425" s="2847"/>
      <c r="AM425" s="2847"/>
      <c r="AN425" s="2847"/>
      <c r="AO425" s="2847"/>
      <c r="AP425" s="2847"/>
      <c r="AQ425" s="2847"/>
      <c r="AR425" s="2847"/>
      <c r="AS425" s="2847"/>
      <c r="AT425" s="2829"/>
      <c r="AU425" s="2856"/>
      <c r="AV425" s="790">
        <f t="shared" si="243"/>
        <v>0</v>
      </c>
      <c r="AW425" s="790">
        <f t="shared" si="244"/>
        <v>0</v>
      </c>
      <c r="AX425" s="790">
        <f t="shared" si="245"/>
        <v>0</v>
      </c>
      <c r="AY425" s="1069">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4">
        <f t="shared" si="267"/>
        <v>0</v>
      </c>
    </row>
    <row r="426" spans="1:72">
      <c r="A426" s="1134"/>
      <c r="B426" s="1142"/>
      <c r="C426" s="1142"/>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7"/>
      <c r="AE426" s="2847"/>
      <c r="AF426" s="2847"/>
      <c r="AG426" s="2847"/>
      <c r="AH426" s="2847"/>
      <c r="AI426" s="2847"/>
      <c r="AJ426" s="2847"/>
      <c r="AK426" s="2847"/>
      <c r="AL426" s="2847"/>
      <c r="AM426" s="2847"/>
      <c r="AN426" s="2847"/>
      <c r="AO426" s="2847"/>
      <c r="AP426" s="2847"/>
      <c r="AQ426" s="2847"/>
      <c r="AR426" s="2847"/>
      <c r="AS426" s="2847"/>
      <c r="AT426" s="2829"/>
      <c r="AU426" s="2856"/>
      <c r="AV426" s="790">
        <f t="shared" si="243"/>
        <v>0</v>
      </c>
      <c r="AW426" s="790">
        <f t="shared" si="244"/>
        <v>0</v>
      </c>
      <c r="AX426" s="790">
        <f t="shared" si="245"/>
        <v>0</v>
      </c>
      <c r="AY426" s="1069">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4">
        <f t="shared" si="267"/>
        <v>0</v>
      </c>
    </row>
    <row r="427" spans="1:72">
      <c r="A427" s="1134"/>
      <c r="B427" s="1142"/>
      <c r="C427" s="1142"/>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7"/>
      <c r="AE427" s="2847"/>
      <c r="AF427" s="2847"/>
      <c r="AG427" s="2847"/>
      <c r="AH427" s="2847"/>
      <c r="AI427" s="2847"/>
      <c r="AJ427" s="2847"/>
      <c r="AK427" s="2847"/>
      <c r="AL427" s="2847"/>
      <c r="AM427" s="2847"/>
      <c r="AN427" s="2847"/>
      <c r="AO427" s="2847"/>
      <c r="AP427" s="2847"/>
      <c r="AQ427" s="2847"/>
      <c r="AR427" s="2847"/>
      <c r="AS427" s="2847"/>
      <c r="AT427" s="2829"/>
      <c r="AU427" s="2856"/>
      <c r="AV427" s="790">
        <f t="shared" si="243"/>
        <v>0</v>
      </c>
      <c r="AW427" s="790">
        <f t="shared" si="244"/>
        <v>0</v>
      </c>
      <c r="AX427" s="790">
        <f t="shared" si="245"/>
        <v>0</v>
      </c>
      <c r="AY427" s="1069">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4">
        <f t="shared" si="267"/>
        <v>0</v>
      </c>
    </row>
    <row r="428" spans="1:72">
      <c r="A428" s="1134"/>
      <c r="B428" s="1142"/>
      <c r="C428" s="1142"/>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7"/>
      <c r="AE428" s="2847"/>
      <c r="AF428" s="2847"/>
      <c r="AG428" s="2847"/>
      <c r="AH428" s="2847"/>
      <c r="AI428" s="2847"/>
      <c r="AJ428" s="2847"/>
      <c r="AK428" s="2847"/>
      <c r="AL428" s="2847"/>
      <c r="AM428" s="2847"/>
      <c r="AN428" s="2847"/>
      <c r="AO428" s="2847"/>
      <c r="AP428" s="2847"/>
      <c r="AQ428" s="2847"/>
      <c r="AR428" s="2847"/>
      <c r="AS428" s="2847"/>
      <c r="AT428" s="2829"/>
      <c r="AU428" s="2856"/>
      <c r="AV428" s="790">
        <f t="shared" si="243"/>
        <v>0</v>
      </c>
      <c r="AW428" s="790">
        <f t="shared" si="244"/>
        <v>0</v>
      </c>
      <c r="AX428" s="790">
        <f t="shared" si="245"/>
        <v>0</v>
      </c>
      <c r="AY428" s="1069">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4">
        <f t="shared" si="267"/>
        <v>0</v>
      </c>
    </row>
    <row r="429" spans="1:72">
      <c r="A429" s="1134"/>
      <c r="B429" s="1142"/>
      <c r="C429" s="1142"/>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7"/>
      <c r="AE429" s="2847"/>
      <c r="AF429" s="2847"/>
      <c r="AG429" s="2847"/>
      <c r="AH429" s="2847"/>
      <c r="AI429" s="2847"/>
      <c r="AJ429" s="2847"/>
      <c r="AK429" s="2847"/>
      <c r="AL429" s="2847"/>
      <c r="AM429" s="2847"/>
      <c r="AN429" s="2847"/>
      <c r="AO429" s="2847"/>
      <c r="AP429" s="2847"/>
      <c r="AQ429" s="2847"/>
      <c r="AR429" s="2847"/>
      <c r="AS429" s="2847"/>
      <c r="AT429" s="2829"/>
      <c r="AU429" s="2856"/>
      <c r="AV429" s="790">
        <f t="shared" si="243"/>
        <v>0</v>
      </c>
      <c r="AW429" s="790">
        <f t="shared" si="244"/>
        <v>0</v>
      </c>
      <c r="AX429" s="790">
        <f t="shared" si="245"/>
        <v>0</v>
      </c>
      <c r="AY429" s="1069">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4">
        <f t="shared" si="267"/>
        <v>0</v>
      </c>
    </row>
    <row r="430" spans="1:72">
      <c r="A430" s="1134"/>
      <c r="B430" s="1142"/>
      <c r="C430" s="1142"/>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7"/>
      <c r="AE430" s="2847"/>
      <c r="AF430" s="2847"/>
      <c r="AG430" s="2847"/>
      <c r="AH430" s="2847"/>
      <c r="AI430" s="2847"/>
      <c r="AJ430" s="2847"/>
      <c r="AK430" s="2847"/>
      <c r="AL430" s="2847"/>
      <c r="AM430" s="2847"/>
      <c r="AN430" s="2847"/>
      <c r="AO430" s="2847"/>
      <c r="AP430" s="2847"/>
      <c r="AQ430" s="2847"/>
      <c r="AR430" s="2847"/>
      <c r="AS430" s="2847"/>
      <c r="AT430" s="2829"/>
      <c r="AU430" s="2856"/>
      <c r="AV430" s="790">
        <f t="shared" si="243"/>
        <v>0</v>
      </c>
      <c r="AW430" s="790">
        <f t="shared" si="244"/>
        <v>0</v>
      </c>
      <c r="AX430" s="790">
        <f t="shared" si="245"/>
        <v>0</v>
      </c>
      <c r="AY430" s="1069">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4">
        <f t="shared" si="267"/>
        <v>0</v>
      </c>
    </row>
    <row r="431" spans="1:72">
      <c r="A431" s="1134"/>
      <c r="B431" s="1142"/>
      <c r="C431" s="1142"/>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7"/>
      <c r="AE431" s="2847"/>
      <c r="AF431" s="2847"/>
      <c r="AG431" s="2847"/>
      <c r="AH431" s="2847"/>
      <c r="AI431" s="2847"/>
      <c r="AJ431" s="2847"/>
      <c r="AK431" s="2847"/>
      <c r="AL431" s="2847"/>
      <c r="AM431" s="2847"/>
      <c r="AN431" s="2847"/>
      <c r="AO431" s="2847"/>
      <c r="AP431" s="2847"/>
      <c r="AQ431" s="2847"/>
      <c r="AR431" s="2847"/>
      <c r="AS431" s="2847"/>
      <c r="AT431" s="2829"/>
      <c r="AU431" s="2856"/>
      <c r="AV431" s="790">
        <f t="shared" si="243"/>
        <v>0</v>
      </c>
      <c r="AW431" s="790">
        <f t="shared" si="244"/>
        <v>0</v>
      </c>
      <c r="AX431" s="790">
        <f t="shared" si="245"/>
        <v>0</v>
      </c>
      <c r="AY431" s="1069">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4">
        <f t="shared" si="267"/>
        <v>0</v>
      </c>
    </row>
    <row r="432" spans="1:72">
      <c r="A432" s="1134"/>
      <c r="B432" s="1142"/>
      <c r="C432" s="1142"/>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7"/>
      <c r="AE432" s="2847"/>
      <c r="AF432" s="2847"/>
      <c r="AG432" s="2847"/>
      <c r="AH432" s="2847"/>
      <c r="AI432" s="2847"/>
      <c r="AJ432" s="2847"/>
      <c r="AK432" s="2847"/>
      <c r="AL432" s="2847"/>
      <c r="AM432" s="2847"/>
      <c r="AN432" s="2847"/>
      <c r="AO432" s="2847"/>
      <c r="AP432" s="2847"/>
      <c r="AQ432" s="2847"/>
      <c r="AR432" s="2847"/>
      <c r="AS432" s="2847"/>
      <c r="AT432" s="2829"/>
      <c r="AU432" s="2856"/>
      <c r="AV432" s="790">
        <f t="shared" si="243"/>
        <v>0</v>
      </c>
      <c r="AW432" s="790">
        <f t="shared" si="244"/>
        <v>0</v>
      </c>
      <c r="AX432" s="790">
        <f t="shared" si="245"/>
        <v>0</v>
      </c>
      <c r="AY432" s="1069">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4">
        <f t="shared" si="267"/>
        <v>0</v>
      </c>
    </row>
    <row r="433" spans="1:72">
      <c r="A433" s="1134"/>
      <c r="B433" s="1142"/>
      <c r="C433" s="1142"/>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7"/>
      <c r="AE433" s="2847"/>
      <c r="AF433" s="2847"/>
      <c r="AG433" s="2847"/>
      <c r="AH433" s="2847"/>
      <c r="AI433" s="2847"/>
      <c r="AJ433" s="2847"/>
      <c r="AK433" s="2847"/>
      <c r="AL433" s="2847"/>
      <c r="AM433" s="2847"/>
      <c r="AN433" s="2847"/>
      <c r="AO433" s="2847"/>
      <c r="AP433" s="2847"/>
      <c r="AQ433" s="2847"/>
      <c r="AR433" s="2847"/>
      <c r="AS433" s="2847"/>
      <c r="AT433" s="2829"/>
      <c r="AU433" s="2856"/>
      <c r="AV433" s="790">
        <f t="shared" si="243"/>
        <v>0</v>
      </c>
      <c r="AW433" s="790">
        <f t="shared" si="244"/>
        <v>0</v>
      </c>
      <c r="AX433" s="790">
        <f t="shared" si="245"/>
        <v>0</v>
      </c>
      <c r="AY433" s="1069">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4">
        <f t="shared" si="267"/>
        <v>0</v>
      </c>
    </row>
    <row r="434" spans="1:72">
      <c r="A434" s="1134"/>
      <c r="B434" s="1142"/>
      <c r="C434" s="1142"/>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7"/>
      <c r="AE434" s="2847"/>
      <c r="AF434" s="2847"/>
      <c r="AG434" s="2847"/>
      <c r="AH434" s="2847"/>
      <c r="AI434" s="2847"/>
      <c r="AJ434" s="2847"/>
      <c r="AK434" s="2847"/>
      <c r="AL434" s="2847"/>
      <c r="AM434" s="2847"/>
      <c r="AN434" s="2847"/>
      <c r="AO434" s="2847"/>
      <c r="AP434" s="2847"/>
      <c r="AQ434" s="2847"/>
      <c r="AR434" s="2847"/>
      <c r="AS434" s="2847"/>
      <c r="AT434" s="2829"/>
      <c r="AU434" s="2856"/>
      <c r="AV434" s="790">
        <f t="shared" si="243"/>
        <v>0</v>
      </c>
      <c r="AW434" s="790">
        <f t="shared" si="244"/>
        <v>0</v>
      </c>
      <c r="AX434" s="790">
        <f t="shared" si="245"/>
        <v>0</v>
      </c>
      <c r="AY434" s="1069">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4">
        <f t="shared" si="267"/>
        <v>0</v>
      </c>
    </row>
    <row r="435" spans="1:72">
      <c r="A435" s="1134"/>
      <c r="B435" s="1142"/>
      <c r="C435" s="1142"/>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7"/>
      <c r="AE435" s="2847"/>
      <c r="AF435" s="2847"/>
      <c r="AG435" s="2847"/>
      <c r="AH435" s="2847"/>
      <c r="AI435" s="2847"/>
      <c r="AJ435" s="2847"/>
      <c r="AK435" s="2847"/>
      <c r="AL435" s="2847"/>
      <c r="AM435" s="2847"/>
      <c r="AN435" s="2847"/>
      <c r="AO435" s="2847"/>
      <c r="AP435" s="2847"/>
      <c r="AQ435" s="2847"/>
      <c r="AR435" s="2847"/>
      <c r="AS435" s="2847"/>
      <c r="AT435" s="2829"/>
      <c r="AU435" s="2856"/>
      <c r="AV435" s="790">
        <f t="shared" si="243"/>
        <v>0</v>
      </c>
      <c r="AW435" s="790">
        <f t="shared" si="244"/>
        <v>0</v>
      </c>
      <c r="AX435" s="790">
        <f t="shared" si="245"/>
        <v>0</v>
      </c>
      <c r="AY435" s="1069">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4">
        <f t="shared" si="267"/>
        <v>0</v>
      </c>
    </row>
    <row r="436" spans="1:72">
      <c r="A436" s="1134"/>
      <c r="B436" s="1142"/>
      <c r="C436" s="1142"/>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7"/>
      <c r="AE436" s="2847"/>
      <c r="AF436" s="2847"/>
      <c r="AG436" s="2847"/>
      <c r="AH436" s="2847"/>
      <c r="AI436" s="2847"/>
      <c r="AJ436" s="2847"/>
      <c r="AK436" s="2847"/>
      <c r="AL436" s="2847"/>
      <c r="AM436" s="2847"/>
      <c r="AN436" s="2847"/>
      <c r="AO436" s="2847"/>
      <c r="AP436" s="2847"/>
      <c r="AQ436" s="2847"/>
      <c r="AR436" s="2847"/>
      <c r="AS436" s="2847"/>
      <c r="AT436" s="2829"/>
      <c r="AU436" s="2856"/>
      <c r="AV436" s="790">
        <f t="shared" si="243"/>
        <v>0</v>
      </c>
      <c r="AW436" s="790">
        <f t="shared" si="244"/>
        <v>0</v>
      </c>
      <c r="AX436" s="790">
        <f t="shared" si="245"/>
        <v>0</v>
      </c>
      <c r="AY436" s="1069">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4">
        <f t="shared" si="267"/>
        <v>0</v>
      </c>
    </row>
    <row r="437" spans="1:72">
      <c r="A437" s="1134"/>
      <c r="B437" s="1142"/>
      <c r="C437" s="1142"/>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7"/>
      <c r="AE437" s="2847"/>
      <c r="AF437" s="2847"/>
      <c r="AG437" s="2847"/>
      <c r="AH437" s="2847"/>
      <c r="AI437" s="2847"/>
      <c r="AJ437" s="2847"/>
      <c r="AK437" s="2847"/>
      <c r="AL437" s="2847"/>
      <c r="AM437" s="2847"/>
      <c r="AN437" s="2847"/>
      <c r="AO437" s="2847"/>
      <c r="AP437" s="2847"/>
      <c r="AQ437" s="2847"/>
      <c r="AR437" s="2847"/>
      <c r="AS437" s="2847"/>
      <c r="AT437" s="2829"/>
      <c r="AU437" s="2856"/>
      <c r="AV437" s="790">
        <f t="shared" si="243"/>
        <v>0</v>
      </c>
      <c r="AW437" s="790">
        <f t="shared" si="244"/>
        <v>0</v>
      </c>
      <c r="AX437" s="790">
        <f t="shared" si="245"/>
        <v>0</v>
      </c>
      <c r="AY437" s="1069">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4">
        <f t="shared" si="267"/>
        <v>0</v>
      </c>
    </row>
    <row r="438" spans="1:72">
      <c r="A438" s="1134"/>
      <c r="B438" s="1142"/>
      <c r="C438" s="1142"/>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7"/>
      <c r="AE438" s="2847"/>
      <c r="AF438" s="2847"/>
      <c r="AG438" s="2847"/>
      <c r="AH438" s="2847"/>
      <c r="AI438" s="2847"/>
      <c r="AJ438" s="2847"/>
      <c r="AK438" s="2847"/>
      <c r="AL438" s="2847"/>
      <c r="AM438" s="2847"/>
      <c r="AN438" s="2847"/>
      <c r="AO438" s="2847"/>
      <c r="AP438" s="2847"/>
      <c r="AQ438" s="2847"/>
      <c r="AR438" s="2847"/>
      <c r="AS438" s="2847"/>
      <c r="AT438" s="2829"/>
      <c r="AU438" s="2856"/>
      <c r="AV438" s="790">
        <f t="shared" si="243"/>
        <v>0</v>
      </c>
      <c r="AW438" s="790">
        <f t="shared" si="244"/>
        <v>0</v>
      </c>
      <c r="AX438" s="790">
        <f t="shared" si="245"/>
        <v>0</v>
      </c>
      <c r="AY438" s="1069">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4">
        <f t="shared" si="267"/>
        <v>0</v>
      </c>
    </row>
    <row r="439" spans="1:72">
      <c r="A439" s="1134"/>
      <c r="B439" s="1142"/>
      <c r="C439" s="1142"/>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7"/>
      <c r="AE439" s="2847"/>
      <c r="AF439" s="2847"/>
      <c r="AG439" s="2847"/>
      <c r="AH439" s="2847"/>
      <c r="AI439" s="2847"/>
      <c r="AJ439" s="2847"/>
      <c r="AK439" s="2847"/>
      <c r="AL439" s="2847"/>
      <c r="AM439" s="2847"/>
      <c r="AN439" s="2847"/>
      <c r="AO439" s="2847"/>
      <c r="AP439" s="2847"/>
      <c r="AQ439" s="2847"/>
      <c r="AR439" s="2847"/>
      <c r="AS439" s="2847"/>
      <c r="AT439" s="2829"/>
      <c r="AU439" s="2856"/>
      <c r="AV439" s="790">
        <f t="shared" si="243"/>
        <v>0</v>
      </c>
      <c r="AW439" s="790">
        <f t="shared" si="244"/>
        <v>0</v>
      </c>
      <c r="AX439" s="790">
        <f t="shared" si="245"/>
        <v>0</v>
      </c>
      <c r="AY439" s="1069">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4">
        <f t="shared" si="267"/>
        <v>0</v>
      </c>
    </row>
    <row r="440" spans="1:72">
      <c r="A440" s="1134"/>
      <c r="B440" s="1142"/>
      <c r="C440" s="1142"/>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7"/>
      <c r="AE440" s="2847"/>
      <c r="AF440" s="2847"/>
      <c r="AG440" s="2847"/>
      <c r="AH440" s="2847"/>
      <c r="AI440" s="2847"/>
      <c r="AJ440" s="2847"/>
      <c r="AK440" s="2847"/>
      <c r="AL440" s="2847"/>
      <c r="AM440" s="2847"/>
      <c r="AN440" s="2847"/>
      <c r="AO440" s="2847"/>
      <c r="AP440" s="2847"/>
      <c r="AQ440" s="2847"/>
      <c r="AR440" s="2847"/>
      <c r="AS440" s="2847"/>
      <c r="AT440" s="2829"/>
      <c r="AU440" s="2856"/>
      <c r="AV440" s="790">
        <f t="shared" si="243"/>
        <v>0</v>
      </c>
      <c r="AW440" s="790">
        <f t="shared" si="244"/>
        <v>0</v>
      </c>
      <c r="AX440" s="790">
        <f t="shared" si="245"/>
        <v>0</v>
      </c>
      <c r="AY440" s="1069">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4">
        <f t="shared" si="267"/>
        <v>0</v>
      </c>
    </row>
    <row r="441" spans="1:72">
      <c r="A441" s="1134"/>
      <c r="B441" s="1142"/>
      <c r="C441" s="1142"/>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7"/>
      <c r="AE441" s="2847"/>
      <c r="AF441" s="2847"/>
      <c r="AG441" s="2847"/>
      <c r="AH441" s="2847"/>
      <c r="AI441" s="2847"/>
      <c r="AJ441" s="2847"/>
      <c r="AK441" s="2847"/>
      <c r="AL441" s="2847"/>
      <c r="AM441" s="2847"/>
      <c r="AN441" s="2847"/>
      <c r="AO441" s="2847"/>
      <c r="AP441" s="2847"/>
      <c r="AQ441" s="2847"/>
      <c r="AR441" s="2847"/>
      <c r="AS441" s="2847"/>
      <c r="AT441" s="2829"/>
      <c r="AU441" s="2856"/>
      <c r="AV441" s="790">
        <f t="shared" si="243"/>
        <v>0</v>
      </c>
      <c r="AW441" s="790">
        <f t="shared" si="244"/>
        <v>0</v>
      </c>
      <c r="AX441" s="790">
        <f t="shared" si="245"/>
        <v>0</v>
      </c>
      <c r="AY441" s="1069">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4">
        <f t="shared" si="267"/>
        <v>0</v>
      </c>
    </row>
    <row r="442" spans="1:72">
      <c r="A442" s="1134"/>
      <c r="B442" s="1142"/>
      <c r="C442" s="1142"/>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7"/>
      <c r="AE442" s="2847"/>
      <c r="AF442" s="2847"/>
      <c r="AG442" s="2847"/>
      <c r="AH442" s="2847"/>
      <c r="AI442" s="2847"/>
      <c r="AJ442" s="2847"/>
      <c r="AK442" s="2847"/>
      <c r="AL442" s="2847"/>
      <c r="AM442" s="2847"/>
      <c r="AN442" s="2847"/>
      <c r="AO442" s="2847"/>
      <c r="AP442" s="2847"/>
      <c r="AQ442" s="2847"/>
      <c r="AR442" s="2847"/>
      <c r="AS442" s="2847"/>
      <c r="AT442" s="2829"/>
      <c r="AU442" s="2856"/>
      <c r="AV442" s="790">
        <f t="shared" si="243"/>
        <v>0</v>
      </c>
      <c r="AW442" s="790">
        <f t="shared" si="244"/>
        <v>0</v>
      </c>
      <c r="AX442" s="790">
        <f t="shared" si="245"/>
        <v>0</v>
      </c>
      <c r="AY442" s="1069">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4">
        <f t="shared" si="267"/>
        <v>0</v>
      </c>
    </row>
    <row r="443" spans="1:72">
      <c r="A443" s="1134"/>
      <c r="B443" s="1142"/>
      <c r="C443" s="1142"/>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7"/>
      <c r="AE443" s="2847"/>
      <c r="AF443" s="2847"/>
      <c r="AG443" s="2847"/>
      <c r="AH443" s="2847"/>
      <c r="AI443" s="2847"/>
      <c r="AJ443" s="2847"/>
      <c r="AK443" s="2847"/>
      <c r="AL443" s="2847"/>
      <c r="AM443" s="2847"/>
      <c r="AN443" s="2847"/>
      <c r="AO443" s="2847"/>
      <c r="AP443" s="2847"/>
      <c r="AQ443" s="2847"/>
      <c r="AR443" s="2847"/>
      <c r="AS443" s="2847"/>
      <c r="AT443" s="2829"/>
      <c r="AU443" s="2856"/>
      <c r="AV443" s="790">
        <f t="shared" si="243"/>
        <v>0</v>
      </c>
      <c r="AW443" s="790">
        <f t="shared" si="244"/>
        <v>0</v>
      </c>
      <c r="AX443" s="790">
        <f t="shared" si="245"/>
        <v>0</v>
      </c>
      <c r="AY443" s="1069">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4">
        <f t="shared" si="267"/>
        <v>0</v>
      </c>
    </row>
    <row r="444" spans="1:72">
      <c r="A444" s="1134"/>
      <c r="B444" s="1142"/>
      <c r="C444" s="1142"/>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7"/>
      <c r="AE444" s="2847"/>
      <c r="AF444" s="2847"/>
      <c r="AG444" s="2847"/>
      <c r="AH444" s="2847"/>
      <c r="AI444" s="2847"/>
      <c r="AJ444" s="2847"/>
      <c r="AK444" s="2847"/>
      <c r="AL444" s="2847"/>
      <c r="AM444" s="2847"/>
      <c r="AN444" s="2847"/>
      <c r="AO444" s="2847"/>
      <c r="AP444" s="2847"/>
      <c r="AQ444" s="2847"/>
      <c r="AR444" s="2847"/>
      <c r="AS444" s="2847"/>
      <c r="AT444" s="2829"/>
      <c r="AU444" s="2856"/>
      <c r="AV444" s="790">
        <f t="shared" si="243"/>
        <v>0</v>
      </c>
      <c r="AW444" s="790">
        <f t="shared" si="244"/>
        <v>0</v>
      </c>
      <c r="AX444" s="790">
        <f t="shared" si="245"/>
        <v>0</v>
      </c>
      <c r="AY444" s="1069">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4">
        <f t="shared" si="267"/>
        <v>0</v>
      </c>
    </row>
    <row r="445" spans="1:72">
      <c r="A445" s="1134"/>
      <c r="B445" s="1142"/>
      <c r="C445" s="1142"/>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7"/>
      <c r="AE445" s="2847"/>
      <c r="AF445" s="2847"/>
      <c r="AG445" s="2847"/>
      <c r="AH445" s="2847"/>
      <c r="AI445" s="2847"/>
      <c r="AJ445" s="2847"/>
      <c r="AK445" s="2847"/>
      <c r="AL445" s="2847"/>
      <c r="AM445" s="2847"/>
      <c r="AN445" s="2847"/>
      <c r="AO445" s="2847"/>
      <c r="AP445" s="2847"/>
      <c r="AQ445" s="2847"/>
      <c r="AR445" s="2847"/>
      <c r="AS445" s="2847"/>
      <c r="AT445" s="2829"/>
      <c r="AU445" s="2856"/>
      <c r="AV445" s="790">
        <f t="shared" si="243"/>
        <v>0</v>
      </c>
      <c r="AW445" s="790">
        <f t="shared" si="244"/>
        <v>0</v>
      </c>
      <c r="AX445" s="790">
        <f t="shared" si="245"/>
        <v>0</v>
      </c>
      <c r="AY445" s="1069">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4">
        <f t="shared" si="267"/>
        <v>0</v>
      </c>
    </row>
    <row r="446" spans="1:72">
      <c r="A446" s="1134"/>
      <c r="B446" s="1142"/>
      <c r="C446" s="1142"/>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7"/>
      <c r="AE446" s="2847"/>
      <c r="AF446" s="2847"/>
      <c r="AG446" s="2847"/>
      <c r="AH446" s="2847"/>
      <c r="AI446" s="2847"/>
      <c r="AJ446" s="2847"/>
      <c r="AK446" s="2847"/>
      <c r="AL446" s="2847"/>
      <c r="AM446" s="2847"/>
      <c r="AN446" s="2847"/>
      <c r="AO446" s="2847"/>
      <c r="AP446" s="2847"/>
      <c r="AQ446" s="2847"/>
      <c r="AR446" s="2847"/>
      <c r="AS446" s="2847"/>
      <c r="AT446" s="2829"/>
      <c r="AU446" s="2856"/>
      <c r="AV446" s="790">
        <f t="shared" si="243"/>
        <v>0</v>
      </c>
      <c r="AW446" s="790">
        <f t="shared" si="244"/>
        <v>0</v>
      </c>
      <c r="AX446" s="790">
        <f t="shared" si="245"/>
        <v>0</v>
      </c>
      <c r="AY446" s="1069">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4">
        <f t="shared" si="267"/>
        <v>0</v>
      </c>
    </row>
    <row r="447" spans="1:72">
      <c r="A447" s="1134"/>
      <c r="B447" s="1142"/>
      <c r="C447" s="1142"/>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7"/>
      <c r="AE447" s="2847"/>
      <c r="AF447" s="2847"/>
      <c r="AG447" s="2847"/>
      <c r="AH447" s="2847"/>
      <c r="AI447" s="2847"/>
      <c r="AJ447" s="2847"/>
      <c r="AK447" s="2847"/>
      <c r="AL447" s="2847"/>
      <c r="AM447" s="2847"/>
      <c r="AN447" s="2847"/>
      <c r="AO447" s="2847"/>
      <c r="AP447" s="2847"/>
      <c r="AQ447" s="2847"/>
      <c r="AR447" s="2847"/>
      <c r="AS447" s="2847"/>
      <c r="AT447" s="2829"/>
      <c r="AU447" s="2856"/>
      <c r="AV447" s="790">
        <f t="shared" si="243"/>
        <v>0</v>
      </c>
      <c r="AW447" s="790">
        <f t="shared" si="244"/>
        <v>0</v>
      </c>
      <c r="AX447" s="790">
        <f t="shared" si="245"/>
        <v>0</v>
      </c>
      <c r="AY447" s="1069">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4">
        <f t="shared" si="267"/>
        <v>0</v>
      </c>
    </row>
    <row r="448" spans="1:72">
      <c r="A448" s="1134"/>
      <c r="B448" s="1142"/>
      <c r="C448" s="1142"/>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7"/>
      <c r="AE448" s="2847"/>
      <c r="AF448" s="2847"/>
      <c r="AG448" s="2847"/>
      <c r="AH448" s="2847"/>
      <c r="AI448" s="2847"/>
      <c r="AJ448" s="2847"/>
      <c r="AK448" s="2847"/>
      <c r="AL448" s="2847"/>
      <c r="AM448" s="2847"/>
      <c r="AN448" s="2847"/>
      <c r="AO448" s="2847"/>
      <c r="AP448" s="2847"/>
      <c r="AQ448" s="2847"/>
      <c r="AR448" s="2847"/>
      <c r="AS448" s="2847"/>
      <c r="AT448" s="2829"/>
      <c r="AU448" s="2856"/>
      <c r="AV448" s="790">
        <f t="shared" si="243"/>
        <v>0</v>
      </c>
      <c r="AW448" s="790">
        <f t="shared" si="244"/>
        <v>0</v>
      </c>
      <c r="AX448" s="790">
        <f t="shared" si="245"/>
        <v>0</v>
      </c>
      <c r="AY448" s="1069">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4">
        <f t="shared" si="267"/>
        <v>0</v>
      </c>
    </row>
    <row r="449" spans="1:72">
      <c r="A449" s="1134"/>
      <c r="B449" s="1142"/>
      <c r="C449" s="1142"/>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7"/>
      <c r="AE449" s="2847"/>
      <c r="AF449" s="2847"/>
      <c r="AG449" s="2847"/>
      <c r="AH449" s="2847"/>
      <c r="AI449" s="2847"/>
      <c r="AJ449" s="2847"/>
      <c r="AK449" s="2847"/>
      <c r="AL449" s="2847"/>
      <c r="AM449" s="2847"/>
      <c r="AN449" s="2847"/>
      <c r="AO449" s="2847"/>
      <c r="AP449" s="2847"/>
      <c r="AQ449" s="2847"/>
      <c r="AR449" s="2847"/>
      <c r="AS449" s="2847"/>
      <c r="AT449" s="2829"/>
      <c r="AU449" s="2856"/>
      <c r="AV449" s="790">
        <f t="shared" si="243"/>
        <v>0</v>
      </c>
      <c r="AW449" s="790">
        <f t="shared" si="244"/>
        <v>0</v>
      </c>
      <c r="AX449" s="790">
        <f t="shared" si="245"/>
        <v>0</v>
      </c>
      <c r="AY449" s="1069">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4">
        <f t="shared" si="267"/>
        <v>0</v>
      </c>
    </row>
    <row r="450" spans="1:72">
      <c r="A450" s="1134"/>
      <c r="B450" s="1142"/>
      <c r="C450" s="1142"/>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7"/>
      <c r="AE450" s="2847"/>
      <c r="AF450" s="2847"/>
      <c r="AG450" s="2847"/>
      <c r="AH450" s="2847"/>
      <c r="AI450" s="2847"/>
      <c r="AJ450" s="2847"/>
      <c r="AK450" s="2847"/>
      <c r="AL450" s="2847"/>
      <c r="AM450" s="2847"/>
      <c r="AN450" s="2847"/>
      <c r="AO450" s="2847"/>
      <c r="AP450" s="2847"/>
      <c r="AQ450" s="2847"/>
      <c r="AR450" s="2847"/>
      <c r="AS450" s="2847"/>
      <c r="AT450" s="2829"/>
      <c r="AU450" s="2856"/>
      <c r="AV450" s="790">
        <f t="shared" si="243"/>
        <v>0</v>
      </c>
      <c r="AW450" s="790">
        <f t="shared" si="244"/>
        <v>0</v>
      </c>
      <c r="AX450" s="790">
        <f t="shared" si="245"/>
        <v>0</v>
      </c>
      <c r="AY450" s="1069">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4">
        <f t="shared" si="267"/>
        <v>0</v>
      </c>
    </row>
    <row r="451" spans="1:72">
      <c r="A451" s="1134"/>
      <c r="B451" s="1142"/>
      <c r="C451" s="1142"/>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7"/>
      <c r="AE451" s="2847"/>
      <c r="AF451" s="2847"/>
      <c r="AG451" s="2847"/>
      <c r="AH451" s="2847"/>
      <c r="AI451" s="2847"/>
      <c r="AJ451" s="2847"/>
      <c r="AK451" s="2847"/>
      <c r="AL451" s="2847"/>
      <c r="AM451" s="2847"/>
      <c r="AN451" s="2847"/>
      <c r="AO451" s="2847"/>
      <c r="AP451" s="2847"/>
      <c r="AQ451" s="2847"/>
      <c r="AR451" s="2847"/>
      <c r="AS451" s="2847"/>
      <c r="AT451" s="2829"/>
      <c r="AU451" s="2856"/>
      <c r="AV451" s="790">
        <f t="shared" si="243"/>
        <v>0</v>
      </c>
      <c r="AW451" s="790">
        <f t="shared" si="244"/>
        <v>0</v>
      </c>
      <c r="AX451" s="790">
        <f t="shared" si="245"/>
        <v>0</v>
      </c>
      <c r="AY451" s="1069">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4">
        <f t="shared" si="267"/>
        <v>0</v>
      </c>
    </row>
    <row r="452" spans="1:72">
      <c r="A452" s="1134"/>
      <c r="B452" s="1142"/>
      <c r="C452" s="1142"/>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7"/>
      <c r="AE452" s="2847"/>
      <c r="AF452" s="2847"/>
      <c r="AG452" s="2847"/>
      <c r="AH452" s="2847"/>
      <c r="AI452" s="2847"/>
      <c r="AJ452" s="2847"/>
      <c r="AK452" s="2847"/>
      <c r="AL452" s="2847"/>
      <c r="AM452" s="2847"/>
      <c r="AN452" s="2847"/>
      <c r="AO452" s="2847"/>
      <c r="AP452" s="2847"/>
      <c r="AQ452" s="2847"/>
      <c r="AR452" s="2847"/>
      <c r="AS452" s="2847"/>
      <c r="AT452" s="2829"/>
      <c r="AU452" s="2856"/>
      <c r="AV452" s="790">
        <f t="shared" si="243"/>
        <v>0</v>
      </c>
      <c r="AW452" s="790">
        <f t="shared" si="244"/>
        <v>0</v>
      </c>
      <c r="AX452" s="790">
        <f t="shared" si="245"/>
        <v>0</v>
      </c>
      <c r="AY452" s="1069">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4">
        <f t="shared" si="267"/>
        <v>0</v>
      </c>
    </row>
    <row r="453" spans="1:72">
      <c r="A453" s="1134"/>
      <c r="B453" s="1142"/>
      <c r="C453" s="1142"/>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7"/>
      <c r="AE453" s="2847"/>
      <c r="AF453" s="2847"/>
      <c r="AG453" s="2847"/>
      <c r="AH453" s="2847"/>
      <c r="AI453" s="2847"/>
      <c r="AJ453" s="2847"/>
      <c r="AK453" s="2847"/>
      <c r="AL453" s="2847"/>
      <c r="AM453" s="2847"/>
      <c r="AN453" s="2847"/>
      <c r="AO453" s="2847"/>
      <c r="AP453" s="2847"/>
      <c r="AQ453" s="2847"/>
      <c r="AR453" s="2847"/>
      <c r="AS453" s="2847"/>
      <c r="AT453" s="2829"/>
      <c r="AU453" s="2856"/>
      <c r="AV453" s="790">
        <f t="shared" si="243"/>
        <v>0</v>
      </c>
      <c r="AW453" s="790">
        <f t="shared" si="244"/>
        <v>0</v>
      </c>
      <c r="AX453" s="790">
        <f t="shared" si="245"/>
        <v>0</v>
      </c>
      <c r="AY453" s="1069">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4">
        <f t="shared" si="267"/>
        <v>0</v>
      </c>
    </row>
    <row r="454" spans="1:72">
      <c r="A454" s="1134"/>
      <c r="B454" s="1142"/>
      <c r="C454" s="1142"/>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7"/>
      <c r="AE454" s="2847"/>
      <c r="AF454" s="2847"/>
      <c r="AG454" s="2847"/>
      <c r="AH454" s="2847"/>
      <c r="AI454" s="2847"/>
      <c r="AJ454" s="2847"/>
      <c r="AK454" s="2847"/>
      <c r="AL454" s="2847"/>
      <c r="AM454" s="2847"/>
      <c r="AN454" s="2847"/>
      <c r="AO454" s="2847"/>
      <c r="AP454" s="2847"/>
      <c r="AQ454" s="2847"/>
      <c r="AR454" s="2847"/>
      <c r="AS454" s="2847"/>
      <c r="AT454" s="2829"/>
      <c r="AU454" s="2856"/>
      <c r="AV454" s="790">
        <f t="shared" si="243"/>
        <v>0</v>
      </c>
      <c r="AW454" s="790">
        <f t="shared" si="244"/>
        <v>0</v>
      </c>
      <c r="AX454" s="790">
        <f t="shared" si="245"/>
        <v>0</v>
      </c>
      <c r="AY454" s="1069">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4">
        <f t="shared" si="267"/>
        <v>0</v>
      </c>
    </row>
    <row r="455" spans="1:72">
      <c r="A455" s="1134"/>
      <c r="B455" s="1142"/>
      <c r="C455" s="1142"/>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7"/>
      <c r="AE455" s="2847"/>
      <c r="AF455" s="2847"/>
      <c r="AG455" s="2847"/>
      <c r="AH455" s="2847"/>
      <c r="AI455" s="2847"/>
      <c r="AJ455" s="2847"/>
      <c r="AK455" s="2847"/>
      <c r="AL455" s="2847"/>
      <c r="AM455" s="2847"/>
      <c r="AN455" s="2847"/>
      <c r="AO455" s="2847"/>
      <c r="AP455" s="2847"/>
      <c r="AQ455" s="2847"/>
      <c r="AR455" s="2847"/>
      <c r="AS455" s="2847"/>
      <c r="AT455" s="2829"/>
      <c r="AU455" s="2856"/>
      <c r="AV455" s="790">
        <f t="shared" si="243"/>
        <v>0</v>
      </c>
      <c r="AW455" s="790">
        <f t="shared" si="244"/>
        <v>0</v>
      </c>
      <c r="AX455" s="790">
        <f t="shared" si="245"/>
        <v>0</v>
      </c>
      <c r="AY455" s="1069">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4">
        <f t="shared" si="267"/>
        <v>0</v>
      </c>
    </row>
    <row r="456" spans="1:72">
      <c r="A456" s="1134"/>
      <c r="B456" s="1142"/>
      <c r="C456" s="1142"/>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7"/>
      <c r="AE456" s="2847"/>
      <c r="AF456" s="2847"/>
      <c r="AG456" s="2847"/>
      <c r="AH456" s="2847"/>
      <c r="AI456" s="2847"/>
      <c r="AJ456" s="2847"/>
      <c r="AK456" s="2847"/>
      <c r="AL456" s="2847"/>
      <c r="AM456" s="2847"/>
      <c r="AN456" s="2847"/>
      <c r="AO456" s="2847"/>
      <c r="AP456" s="2847"/>
      <c r="AQ456" s="2847"/>
      <c r="AR456" s="2847"/>
      <c r="AS456" s="2847"/>
      <c r="AT456" s="2829"/>
      <c r="AU456" s="2856"/>
      <c r="AV456" s="790">
        <f t="shared" si="243"/>
        <v>0</v>
      </c>
      <c r="AW456" s="790">
        <f t="shared" si="244"/>
        <v>0</v>
      </c>
      <c r="AX456" s="790">
        <f t="shared" si="245"/>
        <v>0</v>
      </c>
      <c r="AY456" s="1069">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4">
        <f t="shared" si="267"/>
        <v>0</v>
      </c>
    </row>
    <row r="457" spans="1:72">
      <c r="A457" s="1134"/>
      <c r="B457" s="1142"/>
      <c r="C457" s="1142"/>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7"/>
      <c r="AE457" s="2847"/>
      <c r="AF457" s="2847"/>
      <c r="AG457" s="2847"/>
      <c r="AH457" s="2847"/>
      <c r="AI457" s="2847"/>
      <c r="AJ457" s="2847"/>
      <c r="AK457" s="2847"/>
      <c r="AL457" s="2847"/>
      <c r="AM457" s="2847"/>
      <c r="AN457" s="2847"/>
      <c r="AO457" s="2847"/>
      <c r="AP457" s="2847"/>
      <c r="AQ457" s="2847"/>
      <c r="AR457" s="2847"/>
      <c r="AS457" s="2847"/>
      <c r="AT457" s="2829"/>
      <c r="AU457" s="2856"/>
      <c r="AV457" s="790">
        <f t="shared" si="243"/>
        <v>0</v>
      </c>
      <c r="AW457" s="790">
        <f t="shared" si="244"/>
        <v>0</v>
      </c>
      <c r="AX457" s="790">
        <f t="shared" si="245"/>
        <v>0</v>
      </c>
      <c r="AY457" s="1069">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4">
        <f t="shared" si="267"/>
        <v>0</v>
      </c>
    </row>
    <row r="458" spans="1:72">
      <c r="A458" s="1134"/>
      <c r="B458" s="1142"/>
      <c r="C458" s="1142"/>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7"/>
      <c r="AE458" s="2847"/>
      <c r="AF458" s="2847"/>
      <c r="AG458" s="2847"/>
      <c r="AH458" s="2847"/>
      <c r="AI458" s="2847"/>
      <c r="AJ458" s="2847"/>
      <c r="AK458" s="2847"/>
      <c r="AL458" s="2847"/>
      <c r="AM458" s="2847"/>
      <c r="AN458" s="2847"/>
      <c r="AO458" s="2847"/>
      <c r="AP458" s="2847"/>
      <c r="AQ458" s="2847"/>
      <c r="AR458" s="2847"/>
      <c r="AS458" s="2847"/>
      <c r="AT458" s="2829"/>
      <c r="AU458" s="2856"/>
      <c r="AV458" s="790">
        <f t="shared" si="243"/>
        <v>0</v>
      </c>
      <c r="AW458" s="790">
        <f t="shared" si="244"/>
        <v>0</v>
      </c>
      <c r="AX458" s="790">
        <f t="shared" si="245"/>
        <v>0</v>
      </c>
      <c r="AY458" s="1069">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4">
        <f t="shared" si="267"/>
        <v>0</v>
      </c>
    </row>
    <row r="459" spans="1:72">
      <c r="A459" s="1134"/>
      <c r="B459" s="1142"/>
      <c r="C459" s="1142"/>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7"/>
      <c r="AE459" s="2847"/>
      <c r="AF459" s="2847"/>
      <c r="AG459" s="2847"/>
      <c r="AH459" s="2847"/>
      <c r="AI459" s="2847"/>
      <c r="AJ459" s="2847"/>
      <c r="AK459" s="2847"/>
      <c r="AL459" s="2847"/>
      <c r="AM459" s="2847"/>
      <c r="AN459" s="2847"/>
      <c r="AO459" s="2847"/>
      <c r="AP459" s="2847"/>
      <c r="AQ459" s="2847"/>
      <c r="AR459" s="2847"/>
      <c r="AS459" s="2847"/>
      <c r="AT459" s="2829"/>
      <c r="AU459" s="2856"/>
      <c r="AV459" s="790">
        <f t="shared" si="243"/>
        <v>0</v>
      </c>
      <c r="AW459" s="790">
        <f t="shared" si="244"/>
        <v>0</v>
      </c>
      <c r="AX459" s="790">
        <f t="shared" si="245"/>
        <v>0</v>
      </c>
      <c r="AY459" s="1069">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4">
        <f t="shared" si="267"/>
        <v>0</v>
      </c>
    </row>
    <row r="460" spans="1:72">
      <c r="A460" s="1134"/>
      <c r="B460" s="1142"/>
      <c r="C460" s="1142"/>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7"/>
      <c r="AE460" s="2847"/>
      <c r="AF460" s="2847"/>
      <c r="AG460" s="2847"/>
      <c r="AH460" s="2847"/>
      <c r="AI460" s="2847"/>
      <c r="AJ460" s="2847"/>
      <c r="AK460" s="2847"/>
      <c r="AL460" s="2847"/>
      <c r="AM460" s="2847"/>
      <c r="AN460" s="2847"/>
      <c r="AO460" s="2847"/>
      <c r="AP460" s="2847"/>
      <c r="AQ460" s="2847"/>
      <c r="AR460" s="2847"/>
      <c r="AS460" s="2847"/>
      <c r="AT460" s="2829"/>
      <c r="AU460" s="2856"/>
      <c r="AV460" s="790">
        <f t="shared" si="243"/>
        <v>0</v>
      </c>
      <c r="AW460" s="790">
        <f t="shared" si="244"/>
        <v>0</v>
      </c>
      <c r="AX460" s="790">
        <f t="shared" si="245"/>
        <v>0</v>
      </c>
      <c r="AY460" s="1069">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4">
        <f t="shared" si="267"/>
        <v>0</v>
      </c>
    </row>
    <row r="461" spans="1:72">
      <c r="A461" s="1134"/>
      <c r="B461" s="1142"/>
      <c r="C461" s="1142"/>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7"/>
      <c r="AE461" s="2847"/>
      <c r="AF461" s="2847"/>
      <c r="AG461" s="2847"/>
      <c r="AH461" s="2847"/>
      <c r="AI461" s="2847"/>
      <c r="AJ461" s="2847"/>
      <c r="AK461" s="2847"/>
      <c r="AL461" s="2847"/>
      <c r="AM461" s="2847"/>
      <c r="AN461" s="2847"/>
      <c r="AO461" s="2847"/>
      <c r="AP461" s="2847"/>
      <c r="AQ461" s="2847"/>
      <c r="AR461" s="2847"/>
      <c r="AS461" s="2847"/>
      <c r="AT461" s="2829"/>
      <c r="AU461" s="2856"/>
      <c r="AV461" s="790">
        <f t="shared" si="243"/>
        <v>0</v>
      </c>
      <c r="AW461" s="790">
        <f t="shared" si="244"/>
        <v>0</v>
      </c>
      <c r="AX461" s="790">
        <f t="shared" si="245"/>
        <v>0</v>
      </c>
      <c r="AY461" s="1069">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4">
        <f t="shared" si="267"/>
        <v>0</v>
      </c>
    </row>
    <row r="462" spans="1:72">
      <c r="A462" s="1134"/>
      <c r="B462" s="1142"/>
      <c r="C462" s="1142"/>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7"/>
      <c r="AE462" s="2847"/>
      <c r="AF462" s="2847"/>
      <c r="AG462" s="2847"/>
      <c r="AH462" s="2847"/>
      <c r="AI462" s="2847"/>
      <c r="AJ462" s="2847"/>
      <c r="AK462" s="2847"/>
      <c r="AL462" s="2847"/>
      <c r="AM462" s="2847"/>
      <c r="AN462" s="2847"/>
      <c r="AO462" s="2847"/>
      <c r="AP462" s="2847"/>
      <c r="AQ462" s="2847"/>
      <c r="AR462" s="2847"/>
      <c r="AS462" s="2847"/>
      <c r="AT462" s="2829"/>
      <c r="AU462" s="2856"/>
      <c r="AV462" s="790">
        <f t="shared" si="243"/>
        <v>0</v>
      </c>
      <c r="AW462" s="790">
        <f t="shared" si="244"/>
        <v>0</v>
      </c>
      <c r="AX462" s="790">
        <f t="shared" si="245"/>
        <v>0</v>
      </c>
      <c r="AY462" s="1069">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4">
        <f t="shared" si="267"/>
        <v>0</v>
      </c>
    </row>
    <row r="463" spans="1:72">
      <c r="A463" s="1134"/>
      <c r="B463" s="1142"/>
      <c r="C463" s="1142"/>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7"/>
      <c r="AE463" s="2847"/>
      <c r="AF463" s="2847"/>
      <c r="AG463" s="2847"/>
      <c r="AH463" s="2847"/>
      <c r="AI463" s="2847"/>
      <c r="AJ463" s="2847"/>
      <c r="AK463" s="2847"/>
      <c r="AL463" s="2847"/>
      <c r="AM463" s="2847"/>
      <c r="AN463" s="2847"/>
      <c r="AO463" s="2847"/>
      <c r="AP463" s="2847"/>
      <c r="AQ463" s="2847"/>
      <c r="AR463" s="2847"/>
      <c r="AS463" s="2847"/>
      <c r="AT463" s="2829"/>
      <c r="AU463" s="2856"/>
      <c r="AV463" s="790">
        <f t="shared" si="243"/>
        <v>0</v>
      </c>
      <c r="AW463" s="790">
        <f t="shared" si="244"/>
        <v>0</v>
      </c>
      <c r="AX463" s="790">
        <f t="shared" si="245"/>
        <v>0</v>
      </c>
      <c r="AY463" s="1069">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4">
        <f t="shared" si="267"/>
        <v>0</v>
      </c>
    </row>
    <row r="464" spans="1:72">
      <c r="A464" s="1134"/>
      <c r="B464" s="1142"/>
      <c r="C464" s="1142"/>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7"/>
      <c r="AE464" s="2847"/>
      <c r="AF464" s="2847"/>
      <c r="AG464" s="2847"/>
      <c r="AH464" s="2847"/>
      <c r="AI464" s="2847"/>
      <c r="AJ464" s="2847"/>
      <c r="AK464" s="2847"/>
      <c r="AL464" s="2847"/>
      <c r="AM464" s="2847"/>
      <c r="AN464" s="2847"/>
      <c r="AO464" s="2847"/>
      <c r="AP464" s="2847"/>
      <c r="AQ464" s="2847"/>
      <c r="AR464" s="2847"/>
      <c r="AS464" s="2847"/>
      <c r="AT464" s="2829"/>
      <c r="AU464" s="2856"/>
      <c r="AV464" s="790">
        <f t="shared" si="243"/>
        <v>0</v>
      </c>
      <c r="AW464" s="790">
        <f t="shared" si="244"/>
        <v>0</v>
      </c>
      <c r="AX464" s="790">
        <f t="shared" si="245"/>
        <v>0</v>
      </c>
      <c r="AY464" s="1069">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4">
        <f t="shared" si="267"/>
        <v>0</v>
      </c>
    </row>
    <row r="465" spans="1:72">
      <c r="A465" s="1134"/>
      <c r="B465" s="1142"/>
      <c r="C465" s="1142"/>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7"/>
      <c r="AE465" s="2847"/>
      <c r="AF465" s="2847"/>
      <c r="AG465" s="2847"/>
      <c r="AH465" s="2847"/>
      <c r="AI465" s="2847"/>
      <c r="AJ465" s="2847"/>
      <c r="AK465" s="2847"/>
      <c r="AL465" s="2847"/>
      <c r="AM465" s="2847"/>
      <c r="AN465" s="2847"/>
      <c r="AO465" s="2847"/>
      <c r="AP465" s="2847"/>
      <c r="AQ465" s="2847"/>
      <c r="AR465" s="2847"/>
      <c r="AS465" s="2847"/>
      <c r="AT465" s="2829"/>
      <c r="AU465" s="2856"/>
      <c r="AV465" s="790">
        <f t="shared" si="243"/>
        <v>0</v>
      </c>
      <c r="AW465" s="790">
        <f t="shared" si="244"/>
        <v>0</v>
      </c>
      <c r="AX465" s="790">
        <f t="shared" si="245"/>
        <v>0</v>
      </c>
      <c r="AY465" s="1069">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4">
        <f t="shared" si="267"/>
        <v>0</v>
      </c>
    </row>
    <row r="466" spans="1:72">
      <c r="A466" s="1134"/>
      <c r="B466" s="1142"/>
      <c r="C466" s="1142"/>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7"/>
      <c r="AE466" s="2847"/>
      <c r="AF466" s="2847"/>
      <c r="AG466" s="2847"/>
      <c r="AH466" s="2847"/>
      <c r="AI466" s="2847"/>
      <c r="AJ466" s="2847"/>
      <c r="AK466" s="2847"/>
      <c r="AL466" s="2847"/>
      <c r="AM466" s="2847"/>
      <c r="AN466" s="2847"/>
      <c r="AO466" s="2847"/>
      <c r="AP466" s="2847"/>
      <c r="AQ466" s="2847"/>
      <c r="AR466" s="2847"/>
      <c r="AS466" s="2847"/>
      <c r="AT466" s="2829"/>
      <c r="AU466" s="2856"/>
      <c r="AV466" s="790">
        <f t="shared" si="243"/>
        <v>0</v>
      </c>
      <c r="AW466" s="790">
        <f t="shared" si="244"/>
        <v>0</v>
      </c>
      <c r="AX466" s="790">
        <f t="shared" si="245"/>
        <v>0</v>
      </c>
      <c r="AY466" s="1069">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4">
        <f t="shared" si="267"/>
        <v>0</v>
      </c>
    </row>
    <row r="467" spans="1:72">
      <c r="A467" s="1134"/>
      <c r="B467" s="1142"/>
      <c r="C467" s="1142"/>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7"/>
      <c r="AE467" s="2847"/>
      <c r="AF467" s="2847"/>
      <c r="AG467" s="2847"/>
      <c r="AH467" s="2847"/>
      <c r="AI467" s="2847"/>
      <c r="AJ467" s="2847"/>
      <c r="AK467" s="2847"/>
      <c r="AL467" s="2847"/>
      <c r="AM467" s="2847"/>
      <c r="AN467" s="2847"/>
      <c r="AO467" s="2847"/>
      <c r="AP467" s="2847"/>
      <c r="AQ467" s="2847"/>
      <c r="AR467" s="2847"/>
      <c r="AS467" s="2847"/>
      <c r="AT467" s="2829"/>
      <c r="AU467" s="2856"/>
      <c r="AV467" s="790">
        <f t="shared" si="243"/>
        <v>0</v>
      </c>
      <c r="AW467" s="790">
        <f t="shared" si="244"/>
        <v>0</v>
      </c>
      <c r="AX467" s="790">
        <f t="shared" si="245"/>
        <v>0</v>
      </c>
      <c r="AY467" s="1069">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4">
        <f t="shared" si="267"/>
        <v>0</v>
      </c>
    </row>
    <row r="468" spans="1:72">
      <c r="A468" s="1134"/>
      <c r="B468" s="1142"/>
      <c r="C468" s="1142"/>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7"/>
      <c r="AE468" s="2847"/>
      <c r="AF468" s="2847"/>
      <c r="AG468" s="2847"/>
      <c r="AH468" s="2847"/>
      <c r="AI468" s="2847"/>
      <c r="AJ468" s="2847"/>
      <c r="AK468" s="2847"/>
      <c r="AL468" s="2847"/>
      <c r="AM468" s="2847"/>
      <c r="AN468" s="2847"/>
      <c r="AO468" s="2847"/>
      <c r="AP468" s="2847"/>
      <c r="AQ468" s="2847"/>
      <c r="AR468" s="2847"/>
      <c r="AS468" s="2847"/>
      <c r="AT468" s="2829"/>
      <c r="AU468" s="2856"/>
      <c r="AV468" s="790">
        <f t="shared" si="243"/>
        <v>0</v>
      </c>
      <c r="AW468" s="790">
        <f t="shared" si="244"/>
        <v>0</v>
      </c>
      <c r="AX468" s="790">
        <f t="shared" si="245"/>
        <v>0</v>
      </c>
      <c r="AY468" s="1069">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4">
        <f t="shared" si="267"/>
        <v>0</v>
      </c>
    </row>
    <row r="469" spans="1:72">
      <c r="A469" s="1134"/>
      <c r="B469" s="1142"/>
      <c r="C469" s="1142"/>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7"/>
      <c r="AE469" s="2847"/>
      <c r="AF469" s="2847"/>
      <c r="AG469" s="2847"/>
      <c r="AH469" s="2847"/>
      <c r="AI469" s="2847"/>
      <c r="AJ469" s="2847"/>
      <c r="AK469" s="2847"/>
      <c r="AL469" s="2847"/>
      <c r="AM469" s="2847"/>
      <c r="AN469" s="2847"/>
      <c r="AO469" s="2847"/>
      <c r="AP469" s="2847"/>
      <c r="AQ469" s="2847"/>
      <c r="AR469" s="2847"/>
      <c r="AS469" s="2847"/>
      <c r="AT469" s="2829"/>
      <c r="AU469" s="2856"/>
      <c r="AV469" s="790">
        <f t="shared" si="243"/>
        <v>0</v>
      </c>
      <c r="AW469" s="790">
        <f t="shared" si="244"/>
        <v>0</v>
      </c>
      <c r="AX469" s="790">
        <f t="shared" si="245"/>
        <v>0</v>
      </c>
      <c r="AY469" s="1069">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4">
        <f t="shared" si="267"/>
        <v>0</v>
      </c>
    </row>
    <row r="470" spans="1:72">
      <c r="A470" s="1134"/>
      <c r="B470" s="1142"/>
      <c r="C470" s="1142"/>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7"/>
      <c r="AE470" s="2847"/>
      <c r="AF470" s="2847"/>
      <c r="AG470" s="2847"/>
      <c r="AH470" s="2847"/>
      <c r="AI470" s="2847"/>
      <c r="AJ470" s="2847"/>
      <c r="AK470" s="2847"/>
      <c r="AL470" s="2847"/>
      <c r="AM470" s="2847"/>
      <c r="AN470" s="2847"/>
      <c r="AO470" s="2847"/>
      <c r="AP470" s="2847"/>
      <c r="AQ470" s="2847"/>
      <c r="AR470" s="2847"/>
      <c r="AS470" s="2847"/>
      <c r="AT470" s="2829"/>
      <c r="AU470" s="2856"/>
      <c r="AV470" s="790">
        <f t="shared" si="243"/>
        <v>0</v>
      </c>
      <c r="AW470" s="790">
        <f t="shared" si="244"/>
        <v>0</v>
      </c>
      <c r="AX470" s="790">
        <f t="shared" si="245"/>
        <v>0</v>
      </c>
      <c r="AY470" s="1069">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4">
        <f t="shared" si="267"/>
        <v>0</v>
      </c>
    </row>
    <row r="471" spans="1:72">
      <c r="A471" s="1134"/>
      <c r="B471" s="1142"/>
      <c r="C471" s="1142"/>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7"/>
      <c r="AE471" s="2847"/>
      <c r="AF471" s="2847"/>
      <c r="AG471" s="2847"/>
      <c r="AH471" s="2847"/>
      <c r="AI471" s="2847"/>
      <c r="AJ471" s="2847"/>
      <c r="AK471" s="2847"/>
      <c r="AL471" s="2847"/>
      <c r="AM471" s="2847"/>
      <c r="AN471" s="2847"/>
      <c r="AO471" s="2847"/>
      <c r="AP471" s="2847"/>
      <c r="AQ471" s="2847"/>
      <c r="AR471" s="2847"/>
      <c r="AS471" s="2847"/>
      <c r="AT471" s="2829"/>
      <c r="AU471" s="2856"/>
      <c r="AV471" s="790">
        <f t="shared" si="243"/>
        <v>0</v>
      </c>
      <c r="AW471" s="790">
        <f t="shared" si="244"/>
        <v>0</v>
      </c>
      <c r="AX471" s="790">
        <f t="shared" si="245"/>
        <v>0</v>
      </c>
      <c r="AY471" s="1069">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4">
        <f t="shared" si="267"/>
        <v>0</v>
      </c>
    </row>
    <row r="472" spans="1:72">
      <c r="A472" s="1134"/>
      <c r="B472" s="1142"/>
      <c r="C472" s="1142"/>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7"/>
      <c r="AE472" s="2847"/>
      <c r="AF472" s="2847"/>
      <c r="AG472" s="2847"/>
      <c r="AH472" s="2847"/>
      <c r="AI472" s="2847"/>
      <c r="AJ472" s="2847"/>
      <c r="AK472" s="2847"/>
      <c r="AL472" s="2847"/>
      <c r="AM472" s="2847"/>
      <c r="AN472" s="2847"/>
      <c r="AO472" s="2847"/>
      <c r="AP472" s="2847"/>
      <c r="AQ472" s="2847"/>
      <c r="AR472" s="2847"/>
      <c r="AS472" s="2847"/>
      <c r="AT472" s="2829"/>
      <c r="AU472" s="2856"/>
      <c r="AV472" s="790">
        <f t="shared" si="243"/>
        <v>0</v>
      </c>
      <c r="AW472" s="790">
        <f t="shared" si="244"/>
        <v>0</v>
      </c>
      <c r="AX472" s="790">
        <f t="shared" si="245"/>
        <v>0</v>
      </c>
      <c r="AY472" s="1069">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4">
        <f t="shared" si="267"/>
        <v>0</v>
      </c>
    </row>
    <row r="473" spans="1:72">
      <c r="A473" s="1134"/>
      <c r="B473" s="1142"/>
      <c r="C473" s="1142"/>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7"/>
      <c r="AE473" s="2847"/>
      <c r="AF473" s="2847"/>
      <c r="AG473" s="2847"/>
      <c r="AH473" s="2847"/>
      <c r="AI473" s="2847"/>
      <c r="AJ473" s="2847"/>
      <c r="AK473" s="2847"/>
      <c r="AL473" s="2847"/>
      <c r="AM473" s="2847"/>
      <c r="AN473" s="2847"/>
      <c r="AO473" s="2847"/>
      <c r="AP473" s="2847"/>
      <c r="AQ473" s="2847"/>
      <c r="AR473" s="2847"/>
      <c r="AS473" s="2847"/>
      <c r="AT473" s="2829"/>
      <c r="AU473" s="2856"/>
      <c r="AV473" s="790">
        <f t="shared" si="243"/>
        <v>0</v>
      </c>
      <c r="AW473" s="790">
        <f t="shared" si="244"/>
        <v>0</v>
      </c>
      <c r="AX473" s="790">
        <f t="shared" si="245"/>
        <v>0</v>
      </c>
      <c r="AY473" s="1069">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4">
        <f t="shared" si="267"/>
        <v>0</v>
      </c>
    </row>
    <row r="474" spans="1:72">
      <c r="A474" s="1134"/>
      <c r="B474" s="1142"/>
      <c r="C474" s="1142"/>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7"/>
      <c r="AE474" s="2847"/>
      <c r="AF474" s="2847"/>
      <c r="AG474" s="2847"/>
      <c r="AH474" s="2847"/>
      <c r="AI474" s="2847"/>
      <c r="AJ474" s="2847"/>
      <c r="AK474" s="2847"/>
      <c r="AL474" s="2847"/>
      <c r="AM474" s="2847"/>
      <c r="AN474" s="2847"/>
      <c r="AO474" s="2847"/>
      <c r="AP474" s="2847"/>
      <c r="AQ474" s="2847"/>
      <c r="AR474" s="2847"/>
      <c r="AS474" s="2847"/>
      <c r="AT474" s="2829"/>
      <c r="AU474" s="2856"/>
      <c r="AV474" s="790">
        <f t="shared" si="243"/>
        <v>0</v>
      </c>
      <c r="AW474" s="790">
        <f t="shared" si="244"/>
        <v>0</v>
      </c>
      <c r="AX474" s="790">
        <f t="shared" si="245"/>
        <v>0</v>
      </c>
      <c r="AY474" s="1069">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4">
        <f t="shared" si="267"/>
        <v>0</v>
      </c>
    </row>
    <row r="475" spans="1:72">
      <c r="A475" s="1134"/>
      <c r="B475" s="1142"/>
      <c r="C475" s="1142"/>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7"/>
      <c r="AE475" s="2847"/>
      <c r="AF475" s="2847"/>
      <c r="AG475" s="2847"/>
      <c r="AH475" s="2847"/>
      <c r="AI475" s="2847"/>
      <c r="AJ475" s="2847"/>
      <c r="AK475" s="2847"/>
      <c r="AL475" s="2847"/>
      <c r="AM475" s="2847"/>
      <c r="AN475" s="2847"/>
      <c r="AO475" s="2847"/>
      <c r="AP475" s="2847"/>
      <c r="AQ475" s="2847"/>
      <c r="AR475" s="2847"/>
      <c r="AS475" s="2847"/>
      <c r="AT475" s="2829"/>
      <c r="AU475" s="2856"/>
      <c r="AV475" s="790">
        <f t="shared" si="243"/>
        <v>0</v>
      </c>
      <c r="AW475" s="790">
        <f t="shared" si="244"/>
        <v>0</v>
      </c>
      <c r="AX475" s="790">
        <f t="shared" si="245"/>
        <v>0</v>
      </c>
      <c r="AY475" s="1069">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4">
        <f t="shared" si="267"/>
        <v>0</v>
      </c>
    </row>
    <row r="476" spans="1:72">
      <c r="A476" s="1134"/>
      <c r="B476" s="1142"/>
      <c r="C476" s="1142"/>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7"/>
      <c r="AE476" s="2847"/>
      <c r="AF476" s="2847"/>
      <c r="AG476" s="2847"/>
      <c r="AH476" s="2847"/>
      <c r="AI476" s="2847"/>
      <c r="AJ476" s="2847"/>
      <c r="AK476" s="2847"/>
      <c r="AL476" s="2847"/>
      <c r="AM476" s="2847"/>
      <c r="AN476" s="2847"/>
      <c r="AO476" s="2847"/>
      <c r="AP476" s="2847"/>
      <c r="AQ476" s="2847"/>
      <c r="AR476" s="2847"/>
      <c r="AS476" s="2847"/>
      <c r="AT476" s="2829"/>
      <c r="AU476" s="2856"/>
      <c r="AV476" s="790">
        <f t="shared" si="243"/>
        <v>0</v>
      </c>
      <c r="AW476" s="790">
        <f t="shared" si="244"/>
        <v>0</v>
      </c>
      <c r="AX476" s="790">
        <f t="shared" si="245"/>
        <v>0</v>
      </c>
      <c r="AY476" s="1069">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4">
        <f t="shared" si="267"/>
        <v>0</v>
      </c>
    </row>
    <row r="477" spans="1:72">
      <c r="A477" s="1134"/>
      <c r="B477" s="1142"/>
      <c r="C477" s="1142"/>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7"/>
      <c r="AE477" s="2847"/>
      <c r="AF477" s="2847"/>
      <c r="AG477" s="2847"/>
      <c r="AH477" s="2847"/>
      <c r="AI477" s="2847"/>
      <c r="AJ477" s="2847"/>
      <c r="AK477" s="2847"/>
      <c r="AL477" s="2847"/>
      <c r="AM477" s="2847"/>
      <c r="AN477" s="2847"/>
      <c r="AO477" s="2847"/>
      <c r="AP477" s="2847"/>
      <c r="AQ477" s="2847"/>
      <c r="AR477" s="2847"/>
      <c r="AS477" s="2847"/>
      <c r="AT477" s="2829"/>
      <c r="AU477" s="2856"/>
      <c r="AV477" s="790">
        <f t="shared" si="243"/>
        <v>0</v>
      </c>
      <c r="AW477" s="790">
        <f t="shared" si="244"/>
        <v>0</v>
      </c>
      <c r="AX477" s="790">
        <f t="shared" si="245"/>
        <v>0</v>
      </c>
      <c r="AY477" s="1069">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4">
        <f t="shared" si="267"/>
        <v>0</v>
      </c>
    </row>
    <row r="478" spans="1:72">
      <c r="A478" s="1134"/>
      <c r="B478" s="1142"/>
      <c r="C478" s="1142"/>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7"/>
      <c r="AE478" s="2847"/>
      <c r="AF478" s="2847"/>
      <c r="AG478" s="2847"/>
      <c r="AH478" s="2847"/>
      <c r="AI478" s="2847"/>
      <c r="AJ478" s="2847"/>
      <c r="AK478" s="2847"/>
      <c r="AL478" s="2847"/>
      <c r="AM478" s="2847"/>
      <c r="AN478" s="2847"/>
      <c r="AO478" s="2847"/>
      <c r="AP478" s="2847"/>
      <c r="AQ478" s="2847"/>
      <c r="AR478" s="2847"/>
      <c r="AS478" s="2847"/>
      <c r="AT478" s="2829"/>
      <c r="AU478" s="2856"/>
      <c r="AV478" s="790">
        <f t="shared" si="243"/>
        <v>0</v>
      </c>
      <c r="AW478" s="790">
        <f t="shared" si="244"/>
        <v>0</v>
      </c>
      <c r="AX478" s="790">
        <f t="shared" si="245"/>
        <v>0</v>
      </c>
      <c r="AY478" s="1069">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4">
        <f t="shared" si="267"/>
        <v>0</v>
      </c>
    </row>
    <row r="479" spans="1:72">
      <c r="A479" s="1134"/>
      <c r="B479" s="1142"/>
      <c r="C479" s="1142"/>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7"/>
      <c r="AE479" s="2847"/>
      <c r="AF479" s="2847"/>
      <c r="AG479" s="2847"/>
      <c r="AH479" s="2847"/>
      <c r="AI479" s="2847"/>
      <c r="AJ479" s="2847"/>
      <c r="AK479" s="2847"/>
      <c r="AL479" s="2847"/>
      <c r="AM479" s="2847"/>
      <c r="AN479" s="2847"/>
      <c r="AO479" s="2847"/>
      <c r="AP479" s="2847"/>
      <c r="AQ479" s="2847"/>
      <c r="AR479" s="2847"/>
      <c r="AS479" s="2847"/>
      <c r="AT479" s="2829"/>
      <c r="AU479" s="2856"/>
      <c r="AV479" s="790">
        <f t="shared" si="243"/>
        <v>0</v>
      </c>
      <c r="AW479" s="790">
        <f t="shared" si="244"/>
        <v>0</v>
      </c>
      <c r="AX479" s="790">
        <f t="shared" si="245"/>
        <v>0</v>
      </c>
      <c r="AY479" s="1069">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4">
        <f t="shared" si="267"/>
        <v>0</v>
      </c>
    </row>
    <row r="480" spans="1:72">
      <c r="A480" s="1134"/>
      <c r="B480" s="1142"/>
      <c r="C480" s="1142"/>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7"/>
      <c r="AE480" s="2847"/>
      <c r="AF480" s="2847"/>
      <c r="AG480" s="2847"/>
      <c r="AH480" s="2847"/>
      <c r="AI480" s="2847"/>
      <c r="AJ480" s="2847"/>
      <c r="AK480" s="2847"/>
      <c r="AL480" s="2847"/>
      <c r="AM480" s="2847"/>
      <c r="AN480" s="2847"/>
      <c r="AO480" s="2847"/>
      <c r="AP480" s="2847"/>
      <c r="AQ480" s="2847"/>
      <c r="AR480" s="2847"/>
      <c r="AS480" s="2847"/>
      <c r="AT480" s="2829"/>
      <c r="AU480" s="2856"/>
      <c r="AV480" s="790">
        <f t="shared" si="243"/>
        <v>0</v>
      </c>
      <c r="AW480" s="790">
        <f t="shared" si="244"/>
        <v>0</v>
      </c>
      <c r="AX480" s="790">
        <f t="shared" si="245"/>
        <v>0</v>
      </c>
      <c r="AY480" s="1069">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4">
        <f t="shared" si="267"/>
        <v>0</v>
      </c>
    </row>
    <row r="481" spans="1:72">
      <c r="A481" s="1134"/>
      <c r="B481" s="1142"/>
      <c r="C481" s="1142"/>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7"/>
      <c r="AE481" s="2847"/>
      <c r="AF481" s="2847"/>
      <c r="AG481" s="2847"/>
      <c r="AH481" s="2847"/>
      <c r="AI481" s="2847"/>
      <c r="AJ481" s="2847"/>
      <c r="AK481" s="2847"/>
      <c r="AL481" s="2847"/>
      <c r="AM481" s="2847"/>
      <c r="AN481" s="2847"/>
      <c r="AO481" s="2847"/>
      <c r="AP481" s="2847"/>
      <c r="AQ481" s="2847"/>
      <c r="AR481" s="2847"/>
      <c r="AS481" s="2847"/>
      <c r="AT481" s="2829"/>
      <c r="AU481" s="2856"/>
      <c r="AV481" s="790">
        <f t="shared" si="243"/>
        <v>0</v>
      </c>
      <c r="AW481" s="790">
        <f t="shared" si="244"/>
        <v>0</v>
      </c>
      <c r="AX481" s="790">
        <f t="shared" si="245"/>
        <v>0</v>
      </c>
      <c r="AY481" s="1069">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4">
        <f t="shared" si="267"/>
        <v>0</v>
      </c>
    </row>
    <row r="482" spans="1:72">
      <c r="A482" s="1134"/>
      <c r="B482" s="1142"/>
      <c r="C482" s="1142"/>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7"/>
      <c r="AE482" s="2847"/>
      <c r="AF482" s="2847"/>
      <c r="AG482" s="2847"/>
      <c r="AH482" s="2847"/>
      <c r="AI482" s="2847"/>
      <c r="AJ482" s="2847"/>
      <c r="AK482" s="2847"/>
      <c r="AL482" s="2847"/>
      <c r="AM482" s="2847"/>
      <c r="AN482" s="2847"/>
      <c r="AO482" s="2847"/>
      <c r="AP482" s="2847"/>
      <c r="AQ482" s="2847"/>
      <c r="AR482" s="2847"/>
      <c r="AS482" s="2847"/>
      <c r="AT482" s="2829"/>
      <c r="AU482" s="2856"/>
      <c r="AV482" s="790">
        <f t="shared" si="243"/>
        <v>0</v>
      </c>
      <c r="AW482" s="790">
        <f t="shared" si="244"/>
        <v>0</v>
      </c>
      <c r="AX482" s="790">
        <f t="shared" si="245"/>
        <v>0</v>
      </c>
      <c r="AY482" s="1069">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4">
        <f t="shared" si="267"/>
        <v>0</v>
      </c>
    </row>
    <row r="483" spans="1:72">
      <c r="A483" s="1134"/>
      <c r="B483" s="1142"/>
      <c r="C483" s="1142"/>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7"/>
      <c r="AE483" s="2847"/>
      <c r="AF483" s="2847"/>
      <c r="AG483" s="2847"/>
      <c r="AH483" s="2847"/>
      <c r="AI483" s="2847"/>
      <c r="AJ483" s="2847"/>
      <c r="AK483" s="2847"/>
      <c r="AL483" s="2847"/>
      <c r="AM483" s="2847"/>
      <c r="AN483" s="2847"/>
      <c r="AO483" s="2847"/>
      <c r="AP483" s="2847"/>
      <c r="AQ483" s="2847"/>
      <c r="AR483" s="2847"/>
      <c r="AS483" s="2847"/>
      <c r="AT483" s="2829"/>
      <c r="AU483" s="2856"/>
      <c r="AV483" s="790">
        <f t="shared" si="243"/>
        <v>0</v>
      </c>
      <c r="AW483" s="790">
        <f t="shared" si="244"/>
        <v>0</v>
      </c>
      <c r="AX483" s="790">
        <f t="shared" si="245"/>
        <v>0</v>
      </c>
      <c r="AY483" s="1069">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4">
        <f t="shared" si="267"/>
        <v>0</v>
      </c>
    </row>
    <row r="484" spans="1:72">
      <c r="A484" s="1134"/>
      <c r="B484" s="1142"/>
      <c r="C484" s="1142"/>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7"/>
      <c r="AE484" s="2847"/>
      <c r="AF484" s="2847"/>
      <c r="AG484" s="2847"/>
      <c r="AH484" s="2847"/>
      <c r="AI484" s="2847"/>
      <c r="AJ484" s="2847"/>
      <c r="AK484" s="2847"/>
      <c r="AL484" s="2847"/>
      <c r="AM484" s="2847"/>
      <c r="AN484" s="2847"/>
      <c r="AO484" s="2847"/>
      <c r="AP484" s="2847"/>
      <c r="AQ484" s="2847"/>
      <c r="AR484" s="2847"/>
      <c r="AS484" s="2847"/>
      <c r="AT484" s="2829"/>
      <c r="AU484" s="2856"/>
      <c r="AV484" s="790">
        <f t="shared" si="243"/>
        <v>0</v>
      </c>
      <c r="AW484" s="790">
        <f t="shared" si="244"/>
        <v>0</v>
      </c>
      <c r="AX484" s="790">
        <f t="shared" si="245"/>
        <v>0</v>
      </c>
      <c r="AY484" s="1069">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4">
        <f t="shared" si="267"/>
        <v>0</v>
      </c>
    </row>
    <row r="485" spans="1:72">
      <c r="A485" s="1134"/>
      <c r="B485" s="1142"/>
      <c r="C485" s="1142"/>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7"/>
      <c r="AE485" s="2847"/>
      <c r="AF485" s="2847"/>
      <c r="AG485" s="2847"/>
      <c r="AH485" s="2847"/>
      <c r="AI485" s="2847"/>
      <c r="AJ485" s="2847"/>
      <c r="AK485" s="2847"/>
      <c r="AL485" s="2847"/>
      <c r="AM485" s="2847"/>
      <c r="AN485" s="2847"/>
      <c r="AO485" s="2847"/>
      <c r="AP485" s="2847"/>
      <c r="AQ485" s="2847"/>
      <c r="AR485" s="2847"/>
      <c r="AS485" s="2847"/>
      <c r="AT485" s="2829"/>
      <c r="AU485" s="2856"/>
      <c r="AV485" s="790">
        <f t="shared" si="243"/>
        <v>0</v>
      </c>
      <c r="AW485" s="790">
        <f t="shared" si="244"/>
        <v>0</v>
      </c>
      <c r="AX485" s="790">
        <f t="shared" si="245"/>
        <v>0</v>
      </c>
      <c r="AY485" s="1069">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4">
        <f t="shared" si="267"/>
        <v>0</v>
      </c>
    </row>
    <row r="486" spans="1:72">
      <c r="A486" s="1134"/>
      <c r="B486" s="1142"/>
      <c r="C486" s="1142"/>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7"/>
      <c r="AE486" s="2847"/>
      <c r="AF486" s="2847"/>
      <c r="AG486" s="2847"/>
      <c r="AH486" s="2847"/>
      <c r="AI486" s="2847"/>
      <c r="AJ486" s="2847"/>
      <c r="AK486" s="2847"/>
      <c r="AL486" s="2847"/>
      <c r="AM486" s="2847"/>
      <c r="AN486" s="2847"/>
      <c r="AO486" s="2847"/>
      <c r="AP486" s="2847"/>
      <c r="AQ486" s="2847"/>
      <c r="AR486" s="2847"/>
      <c r="AS486" s="2847"/>
      <c r="AT486" s="2829"/>
      <c r="AU486" s="2856"/>
      <c r="AV486" s="790">
        <f t="shared" si="243"/>
        <v>0</v>
      </c>
      <c r="AW486" s="790">
        <f t="shared" si="244"/>
        <v>0</v>
      </c>
      <c r="AX486" s="790">
        <f t="shared" si="245"/>
        <v>0</v>
      </c>
      <c r="AY486" s="1069">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4">
        <f t="shared" si="267"/>
        <v>0</v>
      </c>
    </row>
    <row r="487" spans="1:72">
      <c r="A487" s="1134"/>
      <c r="B487" s="1142"/>
      <c r="C487" s="1142"/>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7"/>
      <c r="AE487" s="2847"/>
      <c r="AF487" s="2847"/>
      <c r="AG487" s="2847"/>
      <c r="AH487" s="2847"/>
      <c r="AI487" s="2847"/>
      <c r="AJ487" s="2847"/>
      <c r="AK487" s="2847"/>
      <c r="AL487" s="2847"/>
      <c r="AM487" s="2847"/>
      <c r="AN487" s="2847"/>
      <c r="AO487" s="2847"/>
      <c r="AP487" s="2847"/>
      <c r="AQ487" s="2847"/>
      <c r="AR487" s="2847"/>
      <c r="AS487" s="2847"/>
      <c r="AT487" s="2829"/>
      <c r="AU487" s="2856"/>
      <c r="AV487" s="790">
        <f t="shared" si="243"/>
        <v>0</v>
      </c>
      <c r="AW487" s="790">
        <f t="shared" si="244"/>
        <v>0</v>
      </c>
      <c r="AX487" s="790">
        <f t="shared" si="245"/>
        <v>0</v>
      </c>
      <c r="AY487" s="1069">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4">
        <f t="shared" si="267"/>
        <v>0</v>
      </c>
    </row>
    <row r="488" spans="1:72">
      <c r="A488" s="1134"/>
      <c r="B488" s="1142"/>
      <c r="C488" s="1142"/>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7"/>
      <c r="AE488" s="2847"/>
      <c r="AF488" s="2847"/>
      <c r="AG488" s="2847"/>
      <c r="AH488" s="2847"/>
      <c r="AI488" s="2847"/>
      <c r="AJ488" s="2847"/>
      <c r="AK488" s="2847"/>
      <c r="AL488" s="2847"/>
      <c r="AM488" s="2847"/>
      <c r="AN488" s="2847"/>
      <c r="AO488" s="2847"/>
      <c r="AP488" s="2847"/>
      <c r="AQ488" s="2847"/>
      <c r="AR488" s="2847"/>
      <c r="AS488" s="2847"/>
      <c r="AT488" s="2829"/>
      <c r="AU488" s="2856"/>
      <c r="AV488" s="790">
        <f t="shared" si="243"/>
        <v>0</v>
      </c>
      <c r="AW488" s="790">
        <f t="shared" si="244"/>
        <v>0</v>
      </c>
      <c r="AX488" s="790">
        <f t="shared" si="245"/>
        <v>0</v>
      </c>
      <c r="AY488" s="1069">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4">
        <f t="shared" si="267"/>
        <v>0</v>
      </c>
    </row>
    <row r="489" spans="1:72">
      <c r="A489" s="1134"/>
      <c r="B489" s="1142"/>
      <c r="C489" s="1142"/>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7"/>
      <c r="AE489" s="2847"/>
      <c r="AF489" s="2847"/>
      <c r="AG489" s="2847"/>
      <c r="AH489" s="2847"/>
      <c r="AI489" s="2847"/>
      <c r="AJ489" s="2847"/>
      <c r="AK489" s="2847"/>
      <c r="AL489" s="2847"/>
      <c r="AM489" s="2847"/>
      <c r="AN489" s="2847"/>
      <c r="AO489" s="2847"/>
      <c r="AP489" s="2847"/>
      <c r="AQ489" s="2847"/>
      <c r="AR489" s="2847"/>
      <c r="AS489" s="2847"/>
      <c r="AT489" s="2829"/>
      <c r="AU489" s="2856"/>
      <c r="AV489" s="790">
        <f t="shared" si="243"/>
        <v>0</v>
      </c>
      <c r="AW489" s="790">
        <f t="shared" si="244"/>
        <v>0</v>
      </c>
      <c r="AX489" s="790">
        <f t="shared" si="245"/>
        <v>0</v>
      </c>
      <c r="AY489" s="1069">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4">
        <f t="shared" si="267"/>
        <v>0</v>
      </c>
    </row>
    <row r="490" spans="1:72">
      <c r="A490" s="1134"/>
      <c r="B490" s="1134"/>
      <c r="C490" s="1134"/>
      <c r="D490" s="2827"/>
      <c r="E490" s="2828">
        <f t="shared" si="239"/>
        <v>0</v>
      </c>
      <c r="F490" s="2847"/>
      <c r="G490" s="2830">
        <f t="shared" ref="G490:G521" si="268">H490+AC490+AT490</f>
        <v>0</v>
      </c>
      <c r="H490" s="2831">
        <f t="shared" ref="H490:H521" si="269">SUMIF(I$12:AB$12,"总值",I490:AB490)</f>
        <v>0</v>
      </c>
      <c r="I490" s="2875"/>
      <c r="J490" s="2875"/>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7"/>
      <c r="AE490" s="2847"/>
      <c r="AF490" s="2847"/>
      <c r="AG490" s="2847"/>
      <c r="AH490" s="2847"/>
      <c r="AI490" s="2847"/>
      <c r="AJ490" s="2847"/>
      <c r="AK490" s="2847"/>
      <c r="AL490" s="2847"/>
      <c r="AM490" s="2847"/>
      <c r="AN490" s="2847"/>
      <c r="AO490" s="2847"/>
      <c r="AP490" s="2847"/>
      <c r="AQ490" s="2847"/>
      <c r="AR490" s="2847"/>
      <c r="AS490" s="2847"/>
      <c r="AT490" s="2847"/>
      <c r="AU490" s="1177"/>
      <c r="AV490" s="790">
        <f t="shared" si="243"/>
        <v>0</v>
      </c>
      <c r="AW490" s="790">
        <f t="shared" si="244"/>
        <v>0</v>
      </c>
      <c r="AX490" s="790">
        <f t="shared" si="245"/>
        <v>0</v>
      </c>
      <c r="AY490" s="1069">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4">
        <f t="shared" ref="BT490:BT521" si="292">IF($D490="是",AR490-AS490,0)</f>
        <v>0</v>
      </c>
    </row>
    <row r="491" spans="1:72">
      <c r="A491" s="1134"/>
      <c r="B491" s="1134"/>
      <c r="C491" s="1134"/>
      <c r="D491" s="2827"/>
      <c r="E491" s="2828">
        <f t="shared" si="239"/>
        <v>0</v>
      </c>
      <c r="F491" s="2847"/>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7"/>
      <c r="AE491" s="2847"/>
      <c r="AF491" s="2847"/>
      <c r="AG491" s="2847"/>
      <c r="AH491" s="2847"/>
      <c r="AI491" s="2847"/>
      <c r="AJ491" s="2847"/>
      <c r="AK491" s="2847"/>
      <c r="AL491" s="2847"/>
      <c r="AM491" s="2847"/>
      <c r="AN491" s="2847"/>
      <c r="AO491" s="2847"/>
      <c r="AP491" s="2847"/>
      <c r="AQ491" s="2847"/>
      <c r="AR491" s="2847"/>
      <c r="AS491" s="2847"/>
      <c r="AT491" s="2847"/>
      <c r="AU491" s="1177"/>
      <c r="AV491" s="790">
        <f t="shared" si="243"/>
        <v>0</v>
      </c>
      <c r="AW491" s="790">
        <f t="shared" si="244"/>
        <v>0</v>
      </c>
      <c r="AX491" s="790">
        <f t="shared" si="245"/>
        <v>0</v>
      </c>
      <c r="AY491" s="1069">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4">
        <f t="shared" si="292"/>
        <v>0</v>
      </c>
    </row>
    <row r="492" spans="1:72">
      <c r="A492" s="1134"/>
      <c r="B492" s="1134"/>
      <c r="C492" s="1134"/>
      <c r="D492" s="2827"/>
      <c r="E492" s="2828">
        <f t="shared" si="239"/>
        <v>0</v>
      </c>
      <c r="F492" s="2847"/>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7"/>
      <c r="AE492" s="2847"/>
      <c r="AF492" s="2847"/>
      <c r="AG492" s="2847"/>
      <c r="AH492" s="2847"/>
      <c r="AI492" s="2847"/>
      <c r="AJ492" s="2847"/>
      <c r="AK492" s="2847"/>
      <c r="AL492" s="2847"/>
      <c r="AM492" s="2847"/>
      <c r="AN492" s="2847"/>
      <c r="AO492" s="2847"/>
      <c r="AP492" s="2847"/>
      <c r="AQ492" s="2847"/>
      <c r="AR492" s="2847"/>
      <c r="AS492" s="2847"/>
      <c r="AT492" s="2847"/>
      <c r="AU492" s="1177"/>
      <c r="AV492" s="790">
        <f t="shared" si="243"/>
        <v>0</v>
      </c>
      <c r="AW492" s="790">
        <f t="shared" si="244"/>
        <v>0</v>
      </c>
      <c r="AX492" s="790">
        <f t="shared" si="245"/>
        <v>0</v>
      </c>
      <c r="AY492" s="1069">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4">
        <f t="shared" si="292"/>
        <v>0</v>
      </c>
    </row>
    <row r="493" spans="1:72">
      <c r="A493" s="1134"/>
      <c r="B493" s="1142"/>
      <c r="C493" s="1142"/>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7"/>
      <c r="AE493" s="2847"/>
      <c r="AF493" s="2847"/>
      <c r="AG493" s="2847"/>
      <c r="AH493" s="2847"/>
      <c r="AI493" s="2847"/>
      <c r="AJ493" s="2847"/>
      <c r="AK493" s="2847"/>
      <c r="AL493" s="2847"/>
      <c r="AM493" s="2847"/>
      <c r="AN493" s="2847"/>
      <c r="AO493" s="2847"/>
      <c r="AP493" s="2847"/>
      <c r="AQ493" s="2847"/>
      <c r="AR493" s="2847"/>
      <c r="AS493" s="2847"/>
      <c r="AT493" s="2829"/>
      <c r="AU493" s="2856"/>
      <c r="AV493" s="790">
        <f t="shared" ref="AV493:AV520" si="294">A493</f>
        <v>0</v>
      </c>
      <c r="AW493" s="790">
        <f t="shared" ref="AW493:AW520" si="295">B493</f>
        <v>0</v>
      </c>
      <c r="AX493" s="790">
        <f t="shared" ref="AX493:AX520" si="296">C493</f>
        <v>0</v>
      </c>
      <c r="AY493" s="1069">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4">
        <f t="shared" si="292"/>
        <v>0</v>
      </c>
    </row>
    <row r="494" spans="1:72">
      <c r="A494" s="1134"/>
      <c r="B494" s="1142"/>
      <c r="C494" s="1142"/>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7"/>
      <c r="AE494" s="2847"/>
      <c r="AF494" s="2847"/>
      <c r="AG494" s="2847"/>
      <c r="AH494" s="2847"/>
      <c r="AI494" s="2847"/>
      <c r="AJ494" s="2847"/>
      <c r="AK494" s="2847"/>
      <c r="AL494" s="2847"/>
      <c r="AM494" s="2847"/>
      <c r="AN494" s="2847"/>
      <c r="AO494" s="2847"/>
      <c r="AP494" s="2847"/>
      <c r="AQ494" s="2847"/>
      <c r="AR494" s="2847"/>
      <c r="AS494" s="2847"/>
      <c r="AT494" s="2829"/>
      <c r="AU494" s="2856"/>
      <c r="AV494" s="790">
        <f t="shared" si="294"/>
        <v>0</v>
      </c>
      <c r="AW494" s="790">
        <f t="shared" si="295"/>
        <v>0</v>
      </c>
      <c r="AX494" s="790">
        <f t="shared" si="296"/>
        <v>0</v>
      </c>
      <c r="AY494" s="1069">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4">
        <f t="shared" si="292"/>
        <v>0</v>
      </c>
    </row>
    <row r="495" spans="1:72">
      <c r="A495" s="1134"/>
      <c r="B495" s="1142"/>
      <c r="C495" s="1142"/>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7"/>
      <c r="AE495" s="2847"/>
      <c r="AF495" s="2847"/>
      <c r="AG495" s="2847"/>
      <c r="AH495" s="2847"/>
      <c r="AI495" s="2847"/>
      <c r="AJ495" s="2847"/>
      <c r="AK495" s="2847"/>
      <c r="AL495" s="2847"/>
      <c r="AM495" s="2847"/>
      <c r="AN495" s="2847"/>
      <c r="AO495" s="2847"/>
      <c r="AP495" s="2847"/>
      <c r="AQ495" s="2847"/>
      <c r="AR495" s="2847"/>
      <c r="AS495" s="2847"/>
      <c r="AT495" s="2829"/>
      <c r="AU495" s="2856"/>
      <c r="AV495" s="790">
        <f t="shared" si="294"/>
        <v>0</v>
      </c>
      <c r="AW495" s="790">
        <f t="shared" si="295"/>
        <v>0</v>
      </c>
      <c r="AX495" s="790">
        <f t="shared" si="296"/>
        <v>0</v>
      </c>
      <c r="AY495" s="1069">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4">
        <f t="shared" si="292"/>
        <v>0</v>
      </c>
    </row>
    <row r="496" spans="1:72">
      <c r="A496" s="1134"/>
      <c r="B496" s="1142"/>
      <c r="C496" s="1142"/>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7"/>
      <c r="AE496" s="2847"/>
      <c r="AF496" s="2847"/>
      <c r="AG496" s="2847"/>
      <c r="AH496" s="2847"/>
      <c r="AI496" s="2847"/>
      <c r="AJ496" s="2847"/>
      <c r="AK496" s="2847"/>
      <c r="AL496" s="2847"/>
      <c r="AM496" s="2847"/>
      <c r="AN496" s="2847"/>
      <c r="AO496" s="2847"/>
      <c r="AP496" s="2847"/>
      <c r="AQ496" s="2847"/>
      <c r="AR496" s="2847"/>
      <c r="AS496" s="2847"/>
      <c r="AT496" s="2829"/>
      <c r="AU496" s="2856"/>
      <c r="AV496" s="790">
        <f t="shared" si="294"/>
        <v>0</v>
      </c>
      <c r="AW496" s="790">
        <f t="shared" si="295"/>
        <v>0</v>
      </c>
      <c r="AX496" s="790">
        <f t="shared" si="296"/>
        <v>0</v>
      </c>
      <c r="AY496" s="1069">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4">
        <f t="shared" si="292"/>
        <v>0</v>
      </c>
    </row>
    <row r="497" spans="1:72">
      <c r="A497" s="1134"/>
      <c r="B497" s="1142"/>
      <c r="C497" s="1142"/>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7"/>
      <c r="AE497" s="2847"/>
      <c r="AF497" s="2847"/>
      <c r="AG497" s="2847"/>
      <c r="AH497" s="2847"/>
      <c r="AI497" s="2847"/>
      <c r="AJ497" s="2847"/>
      <c r="AK497" s="2847"/>
      <c r="AL497" s="2847"/>
      <c r="AM497" s="2847"/>
      <c r="AN497" s="2847"/>
      <c r="AO497" s="2847"/>
      <c r="AP497" s="2847"/>
      <c r="AQ497" s="2847"/>
      <c r="AR497" s="2847"/>
      <c r="AS497" s="2847"/>
      <c r="AT497" s="2829"/>
      <c r="AU497" s="2856"/>
      <c r="AV497" s="790">
        <f t="shared" si="294"/>
        <v>0</v>
      </c>
      <c r="AW497" s="790">
        <f t="shared" si="295"/>
        <v>0</v>
      </c>
      <c r="AX497" s="790">
        <f t="shared" si="296"/>
        <v>0</v>
      </c>
      <c r="AY497" s="1069">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4">
        <f t="shared" si="292"/>
        <v>0</v>
      </c>
    </row>
    <row r="498" spans="1:72">
      <c r="A498" s="1134"/>
      <c r="B498" s="1142"/>
      <c r="C498" s="1142"/>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7"/>
      <c r="AE498" s="2847"/>
      <c r="AF498" s="2847"/>
      <c r="AG498" s="2847"/>
      <c r="AH498" s="2847"/>
      <c r="AI498" s="2847"/>
      <c r="AJ498" s="2847"/>
      <c r="AK498" s="2847"/>
      <c r="AL498" s="2847"/>
      <c r="AM498" s="2847"/>
      <c r="AN498" s="2847"/>
      <c r="AO498" s="2847"/>
      <c r="AP498" s="2847"/>
      <c r="AQ498" s="2847"/>
      <c r="AR498" s="2847"/>
      <c r="AS498" s="2847"/>
      <c r="AT498" s="2829"/>
      <c r="AU498" s="2856"/>
      <c r="AV498" s="790">
        <f t="shared" si="294"/>
        <v>0</v>
      </c>
      <c r="AW498" s="790">
        <f t="shared" si="295"/>
        <v>0</v>
      </c>
      <c r="AX498" s="790">
        <f t="shared" si="296"/>
        <v>0</v>
      </c>
      <c r="AY498" s="1069">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4">
        <f t="shared" si="292"/>
        <v>0</v>
      </c>
    </row>
    <row r="499" spans="1:72">
      <c r="A499" s="1134"/>
      <c r="B499" s="1142"/>
      <c r="C499" s="1142"/>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7"/>
      <c r="AE499" s="2847"/>
      <c r="AF499" s="2847"/>
      <c r="AG499" s="2847"/>
      <c r="AH499" s="2847"/>
      <c r="AI499" s="2847"/>
      <c r="AJ499" s="2847"/>
      <c r="AK499" s="2847"/>
      <c r="AL499" s="2847"/>
      <c r="AM499" s="2847"/>
      <c r="AN499" s="2847"/>
      <c r="AO499" s="2847"/>
      <c r="AP499" s="2847"/>
      <c r="AQ499" s="2847"/>
      <c r="AR499" s="2847"/>
      <c r="AS499" s="2847"/>
      <c r="AT499" s="2829"/>
      <c r="AU499" s="2856"/>
      <c r="AV499" s="790">
        <f t="shared" si="294"/>
        <v>0</v>
      </c>
      <c r="AW499" s="790">
        <f t="shared" si="295"/>
        <v>0</v>
      </c>
      <c r="AX499" s="790">
        <f t="shared" si="296"/>
        <v>0</v>
      </c>
      <c r="AY499" s="1069">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4">
        <f t="shared" si="292"/>
        <v>0</v>
      </c>
    </row>
    <row r="500" spans="1:72">
      <c r="A500" s="1134"/>
      <c r="B500" s="1142"/>
      <c r="C500" s="1142"/>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7"/>
      <c r="AE500" s="2847"/>
      <c r="AF500" s="2847"/>
      <c r="AG500" s="2847"/>
      <c r="AH500" s="2847"/>
      <c r="AI500" s="2847"/>
      <c r="AJ500" s="2847"/>
      <c r="AK500" s="2847"/>
      <c r="AL500" s="2847"/>
      <c r="AM500" s="2847"/>
      <c r="AN500" s="2847"/>
      <c r="AO500" s="2847"/>
      <c r="AP500" s="2847"/>
      <c r="AQ500" s="2847"/>
      <c r="AR500" s="2847"/>
      <c r="AS500" s="2847"/>
      <c r="AT500" s="2829"/>
      <c r="AU500" s="2856"/>
      <c r="AV500" s="790">
        <f t="shared" si="294"/>
        <v>0</v>
      </c>
      <c r="AW500" s="790">
        <f t="shared" si="295"/>
        <v>0</v>
      </c>
      <c r="AX500" s="790">
        <f t="shared" si="296"/>
        <v>0</v>
      </c>
      <c r="AY500" s="1069">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4">
        <f t="shared" si="292"/>
        <v>0</v>
      </c>
    </row>
    <row r="501" spans="1:72">
      <c r="A501" s="1134"/>
      <c r="B501" s="1142"/>
      <c r="C501" s="1142"/>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7"/>
      <c r="AE501" s="2847"/>
      <c r="AF501" s="2847"/>
      <c r="AG501" s="2847"/>
      <c r="AH501" s="2847"/>
      <c r="AI501" s="2847"/>
      <c r="AJ501" s="2847"/>
      <c r="AK501" s="2847"/>
      <c r="AL501" s="2847"/>
      <c r="AM501" s="2847"/>
      <c r="AN501" s="2847"/>
      <c r="AO501" s="2847"/>
      <c r="AP501" s="2847"/>
      <c r="AQ501" s="2847"/>
      <c r="AR501" s="2847"/>
      <c r="AS501" s="2847"/>
      <c r="AT501" s="2829"/>
      <c r="AU501" s="2856"/>
      <c r="AV501" s="790">
        <f t="shared" si="294"/>
        <v>0</v>
      </c>
      <c r="AW501" s="790">
        <f t="shared" si="295"/>
        <v>0</v>
      </c>
      <c r="AX501" s="790">
        <f t="shared" si="296"/>
        <v>0</v>
      </c>
      <c r="AY501" s="1069">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4">
        <f t="shared" si="292"/>
        <v>0</v>
      </c>
    </row>
    <row r="502" spans="1:72">
      <c r="A502" s="1134"/>
      <c r="B502" s="1142"/>
      <c r="C502" s="1142"/>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7"/>
      <c r="AE502" s="2847"/>
      <c r="AF502" s="2847"/>
      <c r="AG502" s="2847"/>
      <c r="AH502" s="2847"/>
      <c r="AI502" s="2847"/>
      <c r="AJ502" s="2847"/>
      <c r="AK502" s="2847"/>
      <c r="AL502" s="2847"/>
      <c r="AM502" s="2847"/>
      <c r="AN502" s="2847"/>
      <c r="AO502" s="2847"/>
      <c r="AP502" s="2847"/>
      <c r="AQ502" s="2847"/>
      <c r="AR502" s="2847"/>
      <c r="AS502" s="2847"/>
      <c r="AT502" s="2829"/>
      <c r="AU502" s="2856"/>
      <c r="AV502" s="790">
        <f t="shared" si="294"/>
        <v>0</v>
      </c>
      <c r="AW502" s="790">
        <f t="shared" si="295"/>
        <v>0</v>
      </c>
      <c r="AX502" s="790">
        <f t="shared" si="296"/>
        <v>0</v>
      </c>
      <c r="AY502" s="1069">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4">
        <f t="shared" si="292"/>
        <v>0</v>
      </c>
    </row>
    <row r="503" spans="1:72">
      <c r="A503" s="1134"/>
      <c r="B503" s="1142"/>
      <c r="C503" s="1142"/>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7"/>
      <c r="AE503" s="2847"/>
      <c r="AF503" s="2847"/>
      <c r="AG503" s="2847"/>
      <c r="AH503" s="2847"/>
      <c r="AI503" s="2847"/>
      <c r="AJ503" s="2847"/>
      <c r="AK503" s="2847"/>
      <c r="AL503" s="2847"/>
      <c r="AM503" s="2847"/>
      <c r="AN503" s="2847"/>
      <c r="AO503" s="2847"/>
      <c r="AP503" s="2847"/>
      <c r="AQ503" s="2847"/>
      <c r="AR503" s="2847"/>
      <c r="AS503" s="2847"/>
      <c r="AT503" s="2829"/>
      <c r="AU503" s="2856"/>
      <c r="AV503" s="790">
        <f t="shared" si="294"/>
        <v>0</v>
      </c>
      <c r="AW503" s="790">
        <f t="shared" si="295"/>
        <v>0</v>
      </c>
      <c r="AX503" s="790">
        <f t="shared" si="296"/>
        <v>0</v>
      </c>
      <c r="AY503" s="1069">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4">
        <f t="shared" si="292"/>
        <v>0</v>
      </c>
    </row>
    <row r="504" spans="1:72">
      <c r="A504" s="1134"/>
      <c r="B504" s="1142"/>
      <c r="C504" s="1142"/>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7"/>
      <c r="AE504" s="2847"/>
      <c r="AF504" s="2847"/>
      <c r="AG504" s="2847"/>
      <c r="AH504" s="2847"/>
      <c r="AI504" s="2847"/>
      <c r="AJ504" s="2847"/>
      <c r="AK504" s="2847"/>
      <c r="AL504" s="2847"/>
      <c r="AM504" s="2847"/>
      <c r="AN504" s="2847"/>
      <c r="AO504" s="2847"/>
      <c r="AP504" s="2847"/>
      <c r="AQ504" s="2847"/>
      <c r="AR504" s="2847"/>
      <c r="AS504" s="2847"/>
      <c r="AT504" s="2829"/>
      <c r="AU504" s="2856"/>
      <c r="AV504" s="790">
        <f t="shared" si="294"/>
        <v>0</v>
      </c>
      <c r="AW504" s="790">
        <f t="shared" si="295"/>
        <v>0</v>
      </c>
      <c r="AX504" s="790">
        <f t="shared" si="296"/>
        <v>0</v>
      </c>
      <c r="AY504" s="1069">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4">
        <f t="shared" si="292"/>
        <v>0</v>
      </c>
    </row>
    <row r="505" spans="1:72">
      <c r="A505" s="1134"/>
      <c r="B505" s="1142"/>
      <c r="C505" s="1142"/>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7"/>
      <c r="AE505" s="2847"/>
      <c r="AF505" s="2847"/>
      <c r="AG505" s="2847"/>
      <c r="AH505" s="2847"/>
      <c r="AI505" s="2847"/>
      <c r="AJ505" s="2847"/>
      <c r="AK505" s="2847"/>
      <c r="AL505" s="2847"/>
      <c r="AM505" s="2847"/>
      <c r="AN505" s="2847"/>
      <c r="AO505" s="2847"/>
      <c r="AP505" s="2847"/>
      <c r="AQ505" s="2847"/>
      <c r="AR505" s="2847"/>
      <c r="AS505" s="2847"/>
      <c r="AT505" s="2829"/>
      <c r="AU505" s="2856"/>
      <c r="AV505" s="790">
        <f t="shared" si="294"/>
        <v>0</v>
      </c>
      <c r="AW505" s="790">
        <f t="shared" si="295"/>
        <v>0</v>
      </c>
      <c r="AX505" s="790">
        <f t="shared" si="296"/>
        <v>0</v>
      </c>
      <c r="AY505" s="1069">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4">
        <f t="shared" si="292"/>
        <v>0</v>
      </c>
    </row>
    <row r="506" spans="1:72">
      <c r="A506" s="1134"/>
      <c r="B506" s="1142"/>
      <c r="C506" s="1142"/>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7"/>
      <c r="AE506" s="2847"/>
      <c r="AF506" s="2847"/>
      <c r="AG506" s="2847"/>
      <c r="AH506" s="2847"/>
      <c r="AI506" s="2847"/>
      <c r="AJ506" s="2847"/>
      <c r="AK506" s="2847"/>
      <c r="AL506" s="2847"/>
      <c r="AM506" s="2847"/>
      <c r="AN506" s="2847"/>
      <c r="AO506" s="2847"/>
      <c r="AP506" s="2847"/>
      <c r="AQ506" s="2847"/>
      <c r="AR506" s="2847"/>
      <c r="AS506" s="2847"/>
      <c r="AT506" s="2829"/>
      <c r="AU506" s="2856"/>
      <c r="AV506" s="790">
        <f t="shared" si="294"/>
        <v>0</v>
      </c>
      <c r="AW506" s="790">
        <f t="shared" si="295"/>
        <v>0</v>
      </c>
      <c r="AX506" s="790">
        <f t="shared" si="296"/>
        <v>0</v>
      </c>
      <c r="AY506" s="1069">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4">
        <f t="shared" si="292"/>
        <v>0</v>
      </c>
    </row>
    <row r="507" spans="1:72">
      <c r="A507" s="1134"/>
      <c r="B507" s="1142"/>
      <c r="C507" s="1142"/>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7"/>
      <c r="AE507" s="2847"/>
      <c r="AF507" s="2847"/>
      <c r="AG507" s="2847"/>
      <c r="AH507" s="2847"/>
      <c r="AI507" s="2847"/>
      <c r="AJ507" s="2847"/>
      <c r="AK507" s="2847"/>
      <c r="AL507" s="2847"/>
      <c r="AM507" s="2847"/>
      <c r="AN507" s="2847"/>
      <c r="AO507" s="2847"/>
      <c r="AP507" s="2847"/>
      <c r="AQ507" s="2847"/>
      <c r="AR507" s="2847"/>
      <c r="AS507" s="2847"/>
      <c r="AT507" s="2829"/>
      <c r="AU507" s="2856"/>
      <c r="AV507" s="790">
        <f t="shared" si="294"/>
        <v>0</v>
      </c>
      <c r="AW507" s="790">
        <f t="shared" si="295"/>
        <v>0</v>
      </c>
      <c r="AX507" s="790">
        <f t="shared" si="296"/>
        <v>0</v>
      </c>
      <c r="AY507" s="1069">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4">
        <f t="shared" si="292"/>
        <v>0</v>
      </c>
    </row>
    <row r="508" spans="1:72">
      <c r="A508" s="1134"/>
      <c r="B508" s="1142"/>
      <c r="C508" s="1142"/>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7"/>
      <c r="AE508" s="2847"/>
      <c r="AF508" s="2847"/>
      <c r="AG508" s="2847"/>
      <c r="AH508" s="2847"/>
      <c r="AI508" s="2847"/>
      <c r="AJ508" s="2847"/>
      <c r="AK508" s="2847"/>
      <c r="AL508" s="2847"/>
      <c r="AM508" s="2847"/>
      <c r="AN508" s="2847"/>
      <c r="AO508" s="2847"/>
      <c r="AP508" s="2847"/>
      <c r="AQ508" s="2847"/>
      <c r="AR508" s="2847"/>
      <c r="AS508" s="2847"/>
      <c r="AT508" s="2829"/>
      <c r="AU508" s="2856"/>
      <c r="AV508" s="790">
        <f t="shared" si="294"/>
        <v>0</v>
      </c>
      <c r="AW508" s="790">
        <f t="shared" si="295"/>
        <v>0</v>
      </c>
      <c r="AX508" s="790">
        <f t="shared" si="296"/>
        <v>0</v>
      </c>
      <c r="AY508" s="1069">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4">
        <f t="shared" si="292"/>
        <v>0</v>
      </c>
    </row>
    <row r="509" spans="1:72">
      <c r="A509" s="1134"/>
      <c r="B509" s="1142"/>
      <c r="C509" s="1142"/>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7"/>
      <c r="AE509" s="2847"/>
      <c r="AF509" s="2847"/>
      <c r="AG509" s="2847"/>
      <c r="AH509" s="2847"/>
      <c r="AI509" s="2847"/>
      <c r="AJ509" s="2847"/>
      <c r="AK509" s="2847"/>
      <c r="AL509" s="2847"/>
      <c r="AM509" s="2847"/>
      <c r="AN509" s="2847"/>
      <c r="AO509" s="2847"/>
      <c r="AP509" s="2847"/>
      <c r="AQ509" s="2847"/>
      <c r="AR509" s="2847"/>
      <c r="AS509" s="2847"/>
      <c r="AT509" s="2829"/>
      <c r="AU509" s="2856"/>
      <c r="AV509" s="790">
        <f t="shared" si="294"/>
        <v>0</v>
      </c>
      <c r="AW509" s="790">
        <f t="shared" si="295"/>
        <v>0</v>
      </c>
      <c r="AX509" s="790">
        <f t="shared" si="296"/>
        <v>0</v>
      </c>
      <c r="AY509" s="1069">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4">
        <f t="shared" si="292"/>
        <v>0</v>
      </c>
    </row>
    <row r="510" spans="1:72">
      <c r="A510" s="1134"/>
      <c r="B510" s="1142"/>
      <c r="C510" s="1142"/>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7"/>
      <c r="AE510" s="2847"/>
      <c r="AF510" s="2847"/>
      <c r="AG510" s="2847"/>
      <c r="AH510" s="2847"/>
      <c r="AI510" s="2847"/>
      <c r="AJ510" s="2847"/>
      <c r="AK510" s="2847"/>
      <c r="AL510" s="2847"/>
      <c r="AM510" s="2847"/>
      <c r="AN510" s="2847"/>
      <c r="AO510" s="2847"/>
      <c r="AP510" s="2847"/>
      <c r="AQ510" s="2847"/>
      <c r="AR510" s="2847"/>
      <c r="AS510" s="2847"/>
      <c r="AT510" s="2829"/>
      <c r="AU510" s="2856"/>
      <c r="AV510" s="790">
        <f t="shared" si="294"/>
        <v>0</v>
      </c>
      <c r="AW510" s="790">
        <f t="shared" si="295"/>
        <v>0</v>
      </c>
      <c r="AX510" s="790">
        <f t="shared" si="296"/>
        <v>0</v>
      </c>
      <c r="AY510" s="1069">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4">
        <f t="shared" si="292"/>
        <v>0</v>
      </c>
    </row>
    <row r="511" spans="1:72">
      <c r="A511" s="1134"/>
      <c r="B511" s="1142"/>
      <c r="C511" s="1142"/>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7"/>
      <c r="AE511" s="2847"/>
      <c r="AF511" s="2847"/>
      <c r="AG511" s="2847"/>
      <c r="AH511" s="2847"/>
      <c r="AI511" s="2847"/>
      <c r="AJ511" s="2847"/>
      <c r="AK511" s="2847"/>
      <c r="AL511" s="2847"/>
      <c r="AM511" s="2847"/>
      <c r="AN511" s="2847"/>
      <c r="AO511" s="2847"/>
      <c r="AP511" s="2847"/>
      <c r="AQ511" s="2847"/>
      <c r="AR511" s="2847"/>
      <c r="AS511" s="2847"/>
      <c r="AT511" s="2829"/>
      <c r="AU511" s="2856"/>
      <c r="AV511" s="790">
        <f t="shared" si="294"/>
        <v>0</v>
      </c>
      <c r="AW511" s="790">
        <f t="shared" si="295"/>
        <v>0</v>
      </c>
      <c r="AX511" s="790">
        <f t="shared" si="296"/>
        <v>0</v>
      </c>
      <c r="AY511" s="1069">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4">
        <f t="shared" si="292"/>
        <v>0</v>
      </c>
    </row>
    <row r="512" spans="1:72">
      <c r="A512" s="1134"/>
      <c r="B512" s="1142"/>
      <c r="C512" s="1142"/>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7"/>
      <c r="AE512" s="2847"/>
      <c r="AF512" s="2847"/>
      <c r="AG512" s="2847"/>
      <c r="AH512" s="2847"/>
      <c r="AI512" s="2847"/>
      <c r="AJ512" s="2847"/>
      <c r="AK512" s="2847"/>
      <c r="AL512" s="2847"/>
      <c r="AM512" s="2847"/>
      <c r="AN512" s="2847"/>
      <c r="AO512" s="2847"/>
      <c r="AP512" s="2847"/>
      <c r="AQ512" s="2847"/>
      <c r="AR512" s="2847"/>
      <c r="AS512" s="2847"/>
      <c r="AT512" s="2829"/>
      <c r="AU512" s="2856"/>
      <c r="AV512" s="790">
        <f t="shared" si="294"/>
        <v>0</v>
      </c>
      <c r="AW512" s="790">
        <f t="shared" si="295"/>
        <v>0</v>
      </c>
      <c r="AX512" s="790">
        <f t="shared" si="296"/>
        <v>0</v>
      </c>
      <c r="AY512" s="1069">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4">
        <f t="shared" si="292"/>
        <v>0</v>
      </c>
    </row>
    <row r="513" spans="1:72">
      <c r="A513" s="1134"/>
      <c r="B513" s="1142"/>
      <c r="C513" s="1142"/>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7"/>
      <c r="AE513" s="2847"/>
      <c r="AF513" s="2847"/>
      <c r="AG513" s="2847"/>
      <c r="AH513" s="2847"/>
      <c r="AI513" s="2847"/>
      <c r="AJ513" s="2847"/>
      <c r="AK513" s="2847"/>
      <c r="AL513" s="2847"/>
      <c r="AM513" s="2847"/>
      <c r="AN513" s="2847"/>
      <c r="AO513" s="2847"/>
      <c r="AP513" s="2847"/>
      <c r="AQ513" s="2847"/>
      <c r="AR513" s="2847"/>
      <c r="AS513" s="2847"/>
      <c r="AT513" s="2829"/>
      <c r="AU513" s="2856"/>
      <c r="AV513" s="790">
        <f t="shared" si="294"/>
        <v>0</v>
      </c>
      <c r="AW513" s="790">
        <f t="shared" si="295"/>
        <v>0</v>
      </c>
      <c r="AX513" s="790">
        <f t="shared" si="296"/>
        <v>0</v>
      </c>
      <c r="AY513" s="1069">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4">
        <f t="shared" si="292"/>
        <v>0</v>
      </c>
    </row>
    <row r="514" spans="1:72">
      <c r="A514" s="1134"/>
      <c r="B514" s="1142"/>
      <c r="C514" s="1142"/>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7"/>
      <c r="AE514" s="2847"/>
      <c r="AF514" s="2847"/>
      <c r="AG514" s="2847"/>
      <c r="AH514" s="2847"/>
      <c r="AI514" s="2847"/>
      <c r="AJ514" s="2847"/>
      <c r="AK514" s="2847"/>
      <c r="AL514" s="2847"/>
      <c r="AM514" s="2847"/>
      <c r="AN514" s="2847"/>
      <c r="AO514" s="2847"/>
      <c r="AP514" s="2847"/>
      <c r="AQ514" s="2847"/>
      <c r="AR514" s="2847"/>
      <c r="AS514" s="2847"/>
      <c r="AT514" s="2829"/>
      <c r="AU514" s="2856"/>
      <c r="AV514" s="790">
        <f t="shared" si="294"/>
        <v>0</v>
      </c>
      <c r="AW514" s="790">
        <f t="shared" si="295"/>
        <v>0</v>
      </c>
      <c r="AX514" s="790">
        <f t="shared" si="296"/>
        <v>0</v>
      </c>
      <c r="AY514" s="1069">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4">
        <f t="shared" si="292"/>
        <v>0</v>
      </c>
    </row>
    <row r="515" spans="1:72">
      <c r="A515" s="1134"/>
      <c r="B515" s="1142"/>
      <c r="C515" s="1142"/>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7"/>
      <c r="AE515" s="2847"/>
      <c r="AF515" s="2847"/>
      <c r="AG515" s="2847"/>
      <c r="AH515" s="2847"/>
      <c r="AI515" s="2847"/>
      <c r="AJ515" s="2847"/>
      <c r="AK515" s="2847"/>
      <c r="AL515" s="2847"/>
      <c r="AM515" s="2847"/>
      <c r="AN515" s="2847"/>
      <c r="AO515" s="2847"/>
      <c r="AP515" s="2847"/>
      <c r="AQ515" s="2847"/>
      <c r="AR515" s="2847"/>
      <c r="AS515" s="2847"/>
      <c r="AT515" s="2829"/>
      <c r="AU515" s="2856"/>
      <c r="AV515" s="790">
        <f t="shared" si="294"/>
        <v>0</v>
      </c>
      <c r="AW515" s="790">
        <f t="shared" si="295"/>
        <v>0</v>
      </c>
      <c r="AX515" s="790">
        <f t="shared" si="296"/>
        <v>0</v>
      </c>
      <c r="AY515" s="1069">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4">
        <f t="shared" si="292"/>
        <v>0</v>
      </c>
    </row>
    <row r="516" spans="1:72">
      <c r="A516" s="1134"/>
      <c r="B516" s="1142"/>
      <c r="C516" s="1142"/>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7"/>
      <c r="AE516" s="2847"/>
      <c r="AF516" s="2847"/>
      <c r="AG516" s="2847"/>
      <c r="AH516" s="2847"/>
      <c r="AI516" s="2847"/>
      <c r="AJ516" s="2847"/>
      <c r="AK516" s="2847"/>
      <c r="AL516" s="2847"/>
      <c r="AM516" s="2847"/>
      <c r="AN516" s="2847"/>
      <c r="AO516" s="2847"/>
      <c r="AP516" s="2847"/>
      <c r="AQ516" s="2847"/>
      <c r="AR516" s="2847"/>
      <c r="AS516" s="2847"/>
      <c r="AT516" s="2829"/>
      <c r="AU516" s="2856"/>
      <c r="AV516" s="790">
        <f t="shared" si="294"/>
        <v>0</v>
      </c>
      <c r="AW516" s="790">
        <f t="shared" si="295"/>
        <v>0</v>
      </c>
      <c r="AX516" s="790">
        <f t="shared" si="296"/>
        <v>0</v>
      </c>
      <c r="AY516" s="1069">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4">
        <f t="shared" si="292"/>
        <v>0</v>
      </c>
    </row>
    <row r="517" spans="1:72">
      <c r="A517" s="1134"/>
      <c r="B517" s="1142"/>
      <c r="C517" s="1142"/>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7"/>
      <c r="AE517" s="2847"/>
      <c r="AF517" s="2847"/>
      <c r="AG517" s="2847"/>
      <c r="AH517" s="2847"/>
      <c r="AI517" s="2847"/>
      <c r="AJ517" s="2847"/>
      <c r="AK517" s="2847"/>
      <c r="AL517" s="2847"/>
      <c r="AM517" s="2847"/>
      <c r="AN517" s="2847"/>
      <c r="AO517" s="2847"/>
      <c r="AP517" s="2847"/>
      <c r="AQ517" s="2847"/>
      <c r="AR517" s="2847"/>
      <c r="AS517" s="2847"/>
      <c r="AT517" s="2829"/>
      <c r="AU517" s="2856"/>
      <c r="AV517" s="790">
        <f t="shared" si="294"/>
        <v>0</v>
      </c>
      <c r="AW517" s="790">
        <f t="shared" si="295"/>
        <v>0</v>
      </c>
      <c r="AX517" s="790">
        <f t="shared" si="296"/>
        <v>0</v>
      </c>
      <c r="AY517" s="1069">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4">
        <f t="shared" si="292"/>
        <v>0</v>
      </c>
    </row>
    <row r="518" spans="1:72">
      <c r="A518" s="1134"/>
      <c r="B518" s="1142"/>
      <c r="C518" s="1142"/>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7"/>
      <c r="AE518" s="2847"/>
      <c r="AF518" s="2847"/>
      <c r="AG518" s="2847"/>
      <c r="AH518" s="2847"/>
      <c r="AI518" s="2847"/>
      <c r="AJ518" s="2847"/>
      <c r="AK518" s="2847"/>
      <c r="AL518" s="2847"/>
      <c r="AM518" s="2847"/>
      <c r="AN518" s="2847"/>
      <c r="AO518" s="2847"/>
      <c r="AP518" s="2847"/>
      <c r="AQ518" s="2847"/>
      <c r="AR518" s="2847"/>
      <c r="AS518" s="2847"/>
      <c r="AT518" s="2829"/>
      <c r="AU518" s="2856"/>
      <c r="AV518" s="790">
        <f t="shared" si="294"/>
        <v>0</v>
      </c>
      <c r="AW518" s="790">
        <f t="shared" si="295"/>
        <v>0</v>
      </c>
      <c r="AX518" s="790">
        <f t="shared" si="296"/>
        <v>0</v>
      </c>
      <c r="AY518" s="1069">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4">
        <f t="shared" si="292"/>
        <v>0</v>
      </c>
    </row>
    <row r="519" spans="1:72">
      <c r="A519" s="1134"/>
      <c r="B519" s="1142"/>
      <c r="C519" s="1142"/>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7"/>
      <c r="AE519" s="2847"/>
      <c r="AF519" s="2847"/>
      <c r="AG519" s="2847"/>
      <c r="AH519" s="2847"/>
      <c r="AI519" s="2847"/>
      <c r="AJ519" s="2847"/>
      <c r="AK519" s="2847"/>
      <c r="AL519" s="2847"/>
      <c r="AM519" s="2847"/>
      <c r="AN519" s="2847"/>
      <c r="AO519" s="2847"/>
      <c r="AP519" s="2847"/>
      <c r="AQ519" s="2847"/>
      <c r="AR519" s="2847"/>
      <c r="AS519" s="2847"/>
      <c r="AT519" s="2829"/>
      <c r="AU519" s="2856"/>
      <c r="AV519" s="790">
        <f t="shared" si="294"/>
        <v>0</v>
      </c>
      <c r="AW519" s="790">
        <f t="shared" si="295"/>
        <v>0</v>
      </c>
      <c r="AX519" s="790">
        <f t="shared" si="296"/>
        <v>0</v>
      </c>
      <c r="AY519" s="1069">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4">
        <f t="shared" si="292"/>
        <v>0</v>
      </c>
    </row>
    <row r="520" spans="1:72">
      <c r="A520" s="1134"/>
      <c r="B520" s="1142"/>
      <c r="C520" s="1142"/>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7"/>
      <c r="AE520" s="2847"/>
      <c r="AF520" s="2847"/>
      <c r="AG520" s="2847"/>
      <c r="AH520" s="2847"/>
      <c r="AI520" s="2847"/>
      <c r="AJ520" s="2847"/>
      <c r="AK520" s="2847"/>
      <c r="AL520" s="2847"/>
      <c r="AM520" s="2847"/>
      <c r="AN520" s="2847"/>
      <c r="AO520" s="2847"/>
      <c r="AP520" s="2847"/>
      <c r="AQ520" s="2847"/>
      <c r="AR520" s="2847"/>
      <c r="AS520" s="2847"/>
      <c r="AT520" s="2829"/>
      <c r="AU520" s="2856"/>
      <c r="AV520" s="790">
        <f t="shared" si="294"/>
        <v>0</v>
      </c>
      <c r="AW520" s="790">
        <f t="shared" si="295"/>
        <v>0</v>
      </c>
      <c r="AX520" s="790">
        <f t="shared" si="296"/>
        <v>0</v>
      </c>
      <c r="AY520" s="1069">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4">
        <f t="shared" si="292"/>
        <v>0</v>
      </c>
    </row>
    <row r="521" spans="1:72">
      <c r="A521" s="1134"/>
      <c r="B521" s="1142"/>
      <c r="C521" s="1142"/>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7"/>
      <c r="AE521" s="2847"/>
      <c r="AF521" s="2847"/>
      <c r="AG521" s="2847"/>
      <c r="AH521" s="2847"/>
      <c r="AI521" s="2847"/>
      <c r="AJ521" s="2847"/>
      <c r="AK521" s="2847"/>
      <c r="AL521" s="2847"/>
      <c r="AM521" s="2847"/>
      <c r="AN521" s="2847"/>
      <c r="AO521" s="2847"/>
      <c r="AP521" s="2847"/>
      <c r="AQ521" s="2847"/>
      <c r="AR521" s="2847"/>
      <c r="AS521" s="2847"/>
      <c r="AT521" s="2829"/>
      <c r="AU521" s="2856"/>
      <c r="AV521" s="790">
        <f t="shared" ref="AV521:AV552" si="298">A521</f>
        <v>0</v>
      </c>
      <c r="AW521" s="790">
        <f t="shared" ref="AW521:AW552" si="299">B521</f>
        <v>0</v>
      </c>
      <c r="AX521" s="790">
        <f t="shared" ref="AX521:AX552" si="300">C521</f>
        <v>0</v>
      </c>
      <c r="AY521" s="1069">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4">
        <f t="shared" si="292"/>
        <v>0</v>
      </c>
    </row>
    <row r="522" spans="1:72">
      <c r="A522" s="1134"/>
      <c r="B522" s="1142"/>
      <c r="C522" s="1142"/>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7"/>
      <c r="AE522" s="2847"/>
      <c r="AF522" s="2847"/>
      <c r="AG522" s="2847"/>
      <c r="AH522" s="2847"/>
      <c r="AI522" s="2847"/>
      <c r="AJ522" s="2847"/>
      <c r="AK522" s="2847"/>
      <c r="AL522" s="2847"/>
      <c r="AM522" s="2847"/>
      <c r="AN522" s="2847"/>
      <c r="AO522" s="2847"/>
      <c r="AP522" s="2847"/>
      <c r="AQ522" s="2847"/>
      <c r="AR522" s="2847"/>
      <c r="AS522" s="2847"/>
      <c r="AT522" s="2829"/>
      <c r="AU522" s="2856"/>
      <c r="AV522" s="790">
        <f t="shared" si="298"/>
        <v>0</v>
      </c>
      <c r="AW522" s="790">
        <f t="shared" si="299"/>
        <v>0</v>
      </c>
      <c r="AX522" s="790">
        <f t="shared" si="300"/>
        <v>0</v>
      </c>
      <c r="AY522" s="1069">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4">
        <f t="shared" ref="BT522:BT552" si="325">IF($D522="是",AR522-AS522,0)</f>
        <v>0</v>
      </c>
    </row>
    <row r="523" spans="1:72">
      <c r="A523" s="1134"/>
      <c r="B523" s="1142"/>
      <c r="C523" s="1142"/>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7"/>
      <c r="AE523" s="2847"/>
      <c r="AF523" s="2847"/>
      <c r="AG523" s="2847"/>
      <c r="AH523" s="2847"/>
      <c r="AI523" s="2847"/>
      <c r="AJ523" s="2847"/>
      <c r="AK523" s="2847"/>
      <c r="AL523" s="2847"/>
      <c r="AM523" s="2847"/>
      <c r="AN523" s="2847"/>
      <c r="AO523" s="2847"/>
      <c r="AP523" s="2847"/>
      <c r="AQ523" s="2847"/>
      <c r="AR523" s="2847"/>
      <c r="AS523" s="2847"/>
      <c r="AT523" s="2829"/>
      <c r="AU523" s="2856"/>
      <c r="AV523" s="790">
        <f t="shared" si="298"/>
        <v>0</v>
      </c>
      <c r="AW523" s="790">
        <f t="shared" si="299"/>
        <v>0</v>
      </c>
      <c r="AX523" s="790">
        <f t="shared" si="300"/>
        <v>0</v>
      </c>
      <c r="AY523" s="1069">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4">
        <f t="shared" si="325"/>
        <v>0</v>
      </c>
    </row>
    <row r="524" spans="1:72">
      <c r="A524" s="1134"/>
      <c r="B524" s="1142"/>
      <c r="C524" s="1142"/>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7"/>
      <c r="AE524" s="2847"/>
      <c r="AF524" s="2847"/>
      <c r="AG524" s="2847"/>
      <c r="AH524" s="2847"/>
      <c r="AI524" s="2847"/>
      <c r="AJ524" s="2847"/>
      <c r="AK524" s="2847"/>
      <c r="AL524" s="2847"/>
      <c r="AM524" s="2847"/>
      <c r="AN524" s="2847"/>
      <c r="AO524" s="2847"/>
      <c r="AP524" s="2847"/>
      <c r="AQ524" s="2847"/>
      <c r="AR524" s="2847"/>
      <c r="AS524" s="2847"/>
      <c r="AT524" s="2829"/>
      <c r="AU524" s="2856"/>
      <c r="AV524" s="790">
        <f t="shared" si="298"/>
        <v>0</v>
      </c>
      <c r="AW524" s="790">
        <f t="shared" si="299"/>
        <v>0</v>
      </c>
      <c r="AX524" s="790">
        <f t="shared" si="300"/>
        <v>0</v>
      </c>
      <c r="AY524" s="1069">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4">
        <f t="shared" si="325"/>
        <v>0</v>
      </c>
    </row>
    <row r="525" spans="1:72">
      <c r="A525" s="1134"/>
      <c r="B525" s="1142"/>
      <c r="C525" s="1142"/>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7"/>
      <c r="AE525" s="2847"/>
      <c r="AF525" s="2847"/>
      <c r="AG525" s="2847"/>
      <c r="AH525" s="2847"/>
      <c r="AI525" s="2847"/>
      <c r="AJ525" s="2847"/>
      <c r="AK525" s="2847"/>
      <c r="AL525" s="2847"/>
      <c r="AM525" s="2847"/>
      <c r="AN525" s="2847"/>
      <c r="AO525" s="2847"/>
      <c r="AP525" s="2847"/>
      <c r="AQ525" s="2847"/>
      <c r="AR525" s="2847"/>
      <c r="AS525" s="2847"/>
      <c r="AT525" s="2829"/>
      <c r="AU525" s="2856"/>
      <c r="AV525" s="790">
        <f t="shared" si="298"/>
        <v>0</v>
      </c>
      <c r="AW525" s="790">
        <f t="shared" si="299"/>
        <v>0</v>
      </c>
      <c r="AX525" s="790">
        <f t="shared" si="300"/>
        <v>0</v>
      </c>
      <c r="AY525" s="1069">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4">
        <f t="shared" si="325"/>
        <v>0</v>
      </c>
    </row>
    <row r="526" spans="1:72">
      <c r="A526" s="1134"/>
      <c r="B526" s="1142"/>
      <c r="C526" s="1142"/>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7"/>
      <c r="AE526" s="2847"/>
      <c r="AF526" s="2847"/>
      <c r="AG526" s="2847"/>
      <c r="AH526" s="2847"/>
      <c r="AI526" s="2847"/>
      <c r="AJ526" s="2847"/>
      <c r="AK526" s="2847"/>
      <c r="AL526" s="2847"/>
      <c r="AM526" s="2847"/>
      <c r="AN526" s="2847"/>
      <c r="AO526" s="2847"/>
      <c r="AP526" s="2847"/>
      <c r="AQ526" s="2847"/>
      <c r="AR526" s="2847"/>
      <c r="AS526" s="2847"/>
      <c r="AT526" s="2829"/>
      <c r="AU526" s="2856"/>
      <c r="AV526" s="790">
        <f t="shared" si="298"/>
        <v>0</v>
      </c>
      <c r="AW526" s="790">
        <f t="shared" si="299"/>
        <v>0</v>
      </c>
      <c r="AX526" s="790">
        <f t="shared" si="300"/>
        <v>0</v>
      </c>
      <c r="AY526" s="1069">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4">
        <f t="shared" si="325"/>
        <v>0</v>
      </c>
    </row>
    <row r="527" spans="1:72">
      <c r="A527" s="1134"/>
      <c r="B527" s="1142"/>
      <c r="C527" s="1142"/>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7"/>
      <c r="AE527" s="2847"/>
      <c r="AF527" s="2847"/>
      <c r="AG527" s="2847"/>
      <c r="AH527" s="2847"/>
      <c r="AI527" s="2847"/>
      <c r="AJ527" s="2847"/>
      <c r="AK527" s="2847"/>
      <c r="AL527" s="2847"/>
      <c r="AM527" s="2847"/>
      <c r="AN527" s="2847"/>
      <c r="AO527" s="2847"/>
      <c r="AP527" s="2847"/>
      <c r="AQ527" s="2847"/>
      <c r="AR527" s="2847"/>
      <c r="AS527" s="2847"/>
      <c r="AT527" s="2829"/>
      <c r="AU527" s="2856"/>
      <c r="AV527" s="790">
        <f t="shared" si="298"/>
        <v>0</v>
      </c>
      <c r="AW527" s="790">
        <f t="shared" si="299"/>
        <v>0</v>
      </c>
      <c r="AX527" s="790">
        <f t="shared" si="300"/>
        <v>0</v>
      </c>
      <c r="AY527" s="1069">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4">
        <f t="shared" si="325"/>
        <v>0</v>
      </c>
    </row>
    <row r="528" spans="1:72">
      <c r="A528" s="1134"/>
      <c r="B528" s="1142"/>
      <c r="C528" s="1142"/>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7"/>
      <c r="AE528" s="2847"/>
      <c r="AF528" s="2847"/>
      <c r="AG528" s="2847"/>
      <c r="AH528" s="2847"/>
      <c r="AI528" s="2847"/>
      <c r="AJ528" s="2847"/>
      <c r="AK528" s="2847"/>
      <c r="AL528" s="2847"/>
      <c r="AM528" s="2847"/>
      <c r="AN528" s="2847"/>
      <c r="AO528" s="2847"/>
      <c r="AP528" s="2847"/>
      <c r="AQ528" s="2847"/>
      <c r="AR528" s="2847"/>
      <c r="AS528" s="2847"/>
      <c r="AT528" s="2829"/>
      <c r="AU528" s="2856"/>
      <c r="AV528" s="790">
        <f t="shared" si="298"/>
        <v>0</v>
      </c>
      <c r="AW528" s="790">
        <f t="shared" si="299"/>
        <v>0</v>
      </c>
      <c r="AX528" s="790">
        <f t="shared" si="300"/>
        <v>0</v>
      </c>
      <c r="AY528" s="1069">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4">
        <f t="shared" si="325"/>
        <v>0</v>
      </c>
    </row>
    <row r="529" spans="1:72">
      <c r="A529" s="1134"/>
      <c r="B529" s="1142"/>
      <c r="C529" s="1142"/>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7"/>
      <c r="AE529" s="2847"/>
      <c r="AF529" s="2847"/>
      <c r="AG529" s="2847"/>
      <c r="AH529" s="2847"/>
      <c r="AI529" s="2847"/>
      <c r="AJ529" s="2847"/>
      <c r="AK529" s="2847"/>
      <c r="AL529" s="2847"/>
      <c r="AM529" s="2847"/>
      <c r="AN529" s="2847"/>
      <c r="AO529" s="2847"/>
      <c r="AP529" s="2847"/>
      <c r="AQ529" s="2847"/>
      <c r="AR529" s="2847"/>
      <c r="AS529" s="2847"/>
      <c r="AT529" s="2829"/>
      <c r="AU529" s="2856"/>
      <c r="AV529" s="790">
        <f t="shared" si="298"/>
        <v>0</v>
      </c>
      <c r="AW529" s="790">
        <f t="shared" si="299"/>
        <v>0</v>
      </c>
      <c r="AX529" s="790">
        <f t="shared" si="300"/>
        <v>0</v>
      </c>
      <c r="AY529" s="1069">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4">
        <f t="shared" si="325"/>
        <v>0</v>
      </c>
    </row>
    <row r="530" spans="1:72">
      <c r="A530" s="1134"/>
      <c r="B530" s="1142"/>
      <c r="C530" s="1142"/>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7"/>
      <c r="AE530" s="2847"/>
      <c r="AF530" s="2847"/>
      <c r="AG530" s="2847"/>
      <c r="AH530" s="2847"/>
      <c r="AI530" s="2847"/>
      <c r="AJ530" s="2847"/>
      <c r="AK530" s="2847"/>
      <c r="AL530" s="2847"/>
      <c r="AM530" s="2847"/>
      <c r="AN530" s="2847"/>
      <c r="AO530" s="2847"/>
      <c r="AP530" s="2847"/>
      <c r="AQ530" s="2847"/>
      <c r="AR530" s="2847"/>
      <c r="AS530" s="2847"/>
      <c r="AT530" s="2829"/>
      <c r="AU530" s="2856"/>
      <c r="AV530" s="790">
        <f t="shared" si="298"/>
        <v>0</v>
      </c>
      <c r="AW530" s="790">
        <f t="shared" si="299"/>
        <v>0</v>
      </c>
      <c r="AX530" s="790">
        <f t="shared" si="300"/>
        <v>0</v>
      </c>
      <c r="AY530" s="1069">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4">
        <f t="shared" si="325"/>
        <v>0</v>
      </c>
    </row>
    <row r="531" spans="1:72">
      <c r="A531" s="1134"/>
      <c r="B531" s="1142"/>
      <c r="C531" s="1142"/>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7"/>
      <c r="AE531" s="2847"/>
      <c r="AF531" s="2847"/>
      <c r="AG531" s="2847"/>
      <c r="AH531" s="2847"/>
      <c r="AI531" s="2847"/>
      <c r="AJ531" s="2847"/>
      <c r="AK531" s="2847"/>
      <c r="AL531" s="2847"/>
      <c r="AM531" s="2847"/>
      <c r="AN531" s="2847"/>
      <c r="AO531" s="2847"/>
      <c r="AP531" s="2847"/>
      <c r="AQ531" s="2847"/>
      <c r="AR531" s="2847"/>
      <c r="AS531" s="2847"/>
      <c r="AT531" s="2829"/>
      <c r="AU531" s="2856"/>
      <c r="AV531" s="790">
        <f t="shared" si="298"/>
        <v>0</v>
      </c>
      <c r="AW531" s="790">
        <f t="shared" si="299"/>
        <v>0</v>
      </c>
      <c r="AX531" s="790">
        <f t="shared" si="300"/>
        <v>0</v>
      </c>
      <c r="AY531" s="1069">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4">
        <f t="shared" si="325"/>
        <v>0</v>
      </c>
    </row>
    <row r="532" spans="1:72">
      <c r="A532" s="1134"/>
      <c r="B532" s="1142"/>
      <c r="C532" s="1142"/>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7"/>
      <c r="AE532" s="2847"/>
      <c r="AF532" s="2847"/>
      <c r="AG532" s="2847"/>
      <c r="AH532" s="2847"/>
      <c r="AI532" s="2847"/>
      <c r="AJ532" s="2847"/>
      <c r="AK532" s="2847"/>
      <c r="AL532" s="2847"/>
      <c r="AM532" s="2847"/>
      <c r="AN532" s="2847"/>
      <c r="AO532" s="2847"/>
      <c r="AP532" s="2847"/>
      <c r="AQ532" s="2847"/>
      <c r="AR532" s="2847"/>
      <c r="AS532" s="2847"/>
      <c r="AT532" s="2829"/>
      <c r="AU532" s="2856"/>
      <c r="AV532" s="790">
        <f t="shared" si="298"/>
        <v>0</v>
      </c>
      <c r="AW532" s="790">
        <f t="shared" si="299"/>
        <v>0</v>
      </c>
      <c r="AX532" s="790">
        <f t="shared" si="300"/>
        <v>0</v>
      </c>
      <c r="AY532" s="1069">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4">
        <f t="shared" si="325"/>
        <v>0</v>
      </c>
    </row>
    <row r="533" spans="1:72">
      <c r="A533" s="1134"/>
      <c r="B533" s="1142"/>
      <c r="C533" s="1142"/>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7"/>
      <c r="AE533" s="2847"/>
      <c r="AF533" s="2847"/>
      <c r="AG533" s="2847"/>
      <c r="AH533" s="2847"/>
      <c r="AI533" s="2847"/>
      <c r="AJ533" s="2847"/>
      <c r="AK533" s="2847"/>
      <c r="AL533" s="2847"/>
      <c r="AM533" s="2847"/>
      <c r="AN533" s="2847"/>
      <c r="AO533" s="2847"/>
      <c r="AP533" s="2847"/>
      <c r="AQ533" s="2847"/>
      <c r="AR533" s="2847"/>
      <c r="AS533" s="2847"/>
      <c r="AT533" s="2829"/>
      <c r="AU533" s="2856"/>
      <c r="AV533" s="790">
        <f t="shared" si="298"/>
        <v>0</v>
      </c>
      <c r="AW533" s="790">
        <f t="shared" si="299"/>
        <v>0</v>
      </c>
      <c r="AX533" s="790">
        <f t="shared" si="300"/>
        <v>0</v>
      </c>
      <c r="AY533" s="1069">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4">
        <f t="shared" si="325"/>
        <v>0</v>
      </c>
    </row>
    <row r="534" spans="1:72">
      <c r="A534" s="1134"/>
      <c r="B534" s="1142"/>
      <c r="C534" s="1142"/>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7"/>
      <c r="AE534" s="2847"/>
      <c r="AF534" s="2847"/>
      <c r="AG534" s="2847"/>
      <c r="AH534" s="2847"/>
      <c r="AI534" s="2847"/>
      <c r="AJ534" s="2847"/>
      <c r="AK534" s="2847"/>
      <c r="AL534" s="2847"/>
      <c r="AM534" s="2847"/>
      <c r="AN534" s="2847"/>
      <c r="AO534" s="2847"/>
      <c r="AP534" s="2847"/>
      <c r="AQ534" s="2847"/>
      <c r="AR534" s="2847"/>
      <c r="AS534" s="2847"/>
      <c r="AT534" s="2829"/>
      <c r="AU534" s="2856"/>
      <c r="AV534" s="790">
        <f t="shared" si="298"/>
        <v>0</v>
      </c>
      <c r="AW534" s="790">
        <f t="shared" si="299"/>
        <v>0</v>
      </c>
      <c r="AX534" s="790">
        <f t="shared" si="300"/>
        <v>0</v>
      </c>
      <c r="AY534" s="1069">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4">
        <f t="shared" si="325"/>
        <v>0</v>
      </c>
    </row>
    <row r="535" spans="1:72">
      <c r="A535" s="1134"/>
      <c r="B535" s="1142"/>
      <c r="C535" s="1142"/>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7"/>
      <c r="AE535" s="2847"/>
      <c r="AF535" s="2847"/>
      <c r="AG535" s="2847"/>
      <c r="AH535" s="2847"/>
      <c r="AI535" s="2847"/>
      <c r="AJ535" s="2847"/>
      <c r="AK535" s="2847"/>
      <c r="AL535" s="2847"/>
      <c r="AM535" s="2847"/>
      <c r="AN535" s="2847"/>
      <c r="AO535" s="2847"/>
      <c r="AP535" s="2847"/>
      <c r="AQ535" s="2847"/>
      <c r="AR535" s="2847"/>
      <c r="AS535" s="2847"/>
      <c r="AT535" s="2829"/>
      <c r="AU535" s="2856"/>
      <c r="AV535" s="790">
        <f t="shared" si="298"/>
        <v>0</v>
      </c>
      <c r="AW535" s="790">
        <f t="shared" si="299"/>
        <v>0</v>
      </c>
      <c r="AX535" s="790">
        <f t="shared" si="300"/>
        <v>0</v>
      </c>
      <c r="AY535" s="1069">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4">
        <f t="shared" si="325"/>
        <v>0</v>
      </c>
    </row>
    <row r="536" spans="1:72">
      <c r="A536" s="1134"/>
      <c r="B536" s="1142"/>
      <c r="C536" s="1142"/>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7"/>
      <c r="AE536" s="2847"/>
      <c r="AF536" s="2847"/>
      <c r="AG536" s="2847"/>
      <c r="AH536" s="2847"/>
      <c r="AI536" s="2847"/>
      <c r="AJ536" s="2847"/>
      <c r="AK536" s="2847"/>
      <c r="AL536" s="2847"/>
      <c r="AM536" s="2847"/>
      <c r="AN536" s="2847"/>
      <c r="AO536" s="2847"/>
      <c r="AP536" s="2847"/>
      <c r="AQ536" s="2847"/>
      <c r="AR536" s="2847"/>
      <c r="AS536" s="2847"/>
      <c r="AT536" s="2829"/>
      <c r="AU536" s="2856"/>
      <c r="AV536" s="790">
        <f t="shared" si="298"/>
        <v>0</v>
      </c>
      <c r="AW536" s="790">
        <f t="shared" si="299"/>
        <v>0</v>
      </c>
      <c r="AX536" s="790">
        <f t="shared" si="300"/>
        <v>0</v>
      </c>
      <c r="AY536" s="1069">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4">
        <f t="shared" si="325"/>
        <v>0</v>
      </c>
    </row>
    <row r="537" spans="1:72">
      <c r="A537" s="1134"/>
      <c r="B537" s="1142"/>
      <c r="C537" s="1142"/>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7"/>
      <c r="AE537" s="2847"/>
      <c r="AF537" s="2847"/>
      <c r="AG537" s="2847"/>
      <c r="AH537" s="2847"/>
      <c r="AI537" s="2847"/>
      <c r="AJ537" s="2847"/>
      <c r="AK537" s="2847"/>
      <c r="AL537" s="2847"/>
      <c r="AM537" s="2847"/>
      <c r="AN537" s="2847"/>
      <c r="AO537" s="2847"/>
      <c r="AP537" s="2847"/>
      <c r="AQ537" s="2847"/>
      <c r="AR537" s="2847"/>
      <c r="AS537" s="2847"/>
      <c r="AT537" s="2829"/>
      <c r="AU537" s="2856"/>
      <c r="AV537" s="790">
        <f t="shared" si="298"/>
        <v>0</v>
      </c>
      <c r="AW537" s="790">
        <f t="shared" si="299"/>
        <v>0</v>
      </c>
      <c r="AX537" s="790">
        <f t="shared" si="300"/>
        <v>0</v>
      </c>
      <c r="AY537" s="1069">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4">
        <f t="shared" si="325"/>
        <v>0</v>
      </c>
    </row>
    <row r="538" spans="1:72">
      <c r="A538" s="1134"/>
      <c r="B538" s="1142"/>
      <c r="C538" s="1142"/>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7"/>
      <c r="AE538" s="2847"/>
      <c r="AF538" s="2847"/>
      <c r="AG538" s="2847"/>
      <c r="AH538" s="2847"/>
      <c r="AI538" s="2847"/>
      <c r="AJ538" s="2847"/>
      <c r="AK538" s="2847"/>
      <c r="AL538" s="2847"/>
      <c r="AM538" s="2847"/>
      <c r="AN538" s="2847"/>
      <c r="AO538" s="2847"/>
      <c r="AP538" s="2847"/>
      <c r="AQ538" s="2847"/>
      <c r="AR538" s="2847"/>
      <c r="AS538" s="2847"/>
      <c r="AT538" s="2829"/>
      <c r="AU538" s="2856"/>
      <c r="AV538" s="790">
        <f t="shared" si="298"/>
        <v>0</v>
      </c>
      <c r="AW538" s="790">
        <f t="shared" si="299"/>
        <v>0</v>
      </c>
      <c r="AX538" s="790">
        <f t="shared" si="300"/>
        <v>0</v>
      </c>
      <c r="AY538" s="1069">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4">
        <f t="shared" si="325"/>
        <v>0</v>
      </c>
    </row>
    <row r="539" spans="1:72">
      <c r="A539" s="1134"/>
      <c r="B539" s="1142"/>
      <c r="C539" s="1142"/>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7"/>
      <c r="AE539" s="2847"/>
      <c r="AF539" s="2847"/>
      <c r="AG539" s="2847"/>
      <c r="AH539" s="2847"/>
      <c r="AI539" s="2847"/>
      <c r="AJ539" s="2847"/>
      <c r="AK539" s="2847"/>
      <c r="AL539" s="2847"/>
      <c r="AM539" s="2847"/>
      <c r="AN539" s="2847"/>
      <c r="AO539" s="2847"/>
      <c r="AP539" s="2847"/>
      <c r="AQ539" s="2847"/>
      <c r="AR539" s="2847"/>
      <c r="AS539" s="2847"/>
      <c r="AT539" s="2829"/>
      <c r="AU539" s="2856"/>
      <c r="AV539" s="790">
        <f t="shared" si="298"/>
        <v>0</v>
      </c>
      <c r="AW539" s="790">
        <f t="shared" si="299"/>
        <v>0</v>
      </c>
      <c r="AX539" s="790">
        <f t="shared" si="300"/>
        <v>0</v>
      </c>
      <c r="AY539" s="1069">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4">
        <f t="shared" si="325"/>
        <v>0</v>
      </c>
    </row>
    <row r="540" spans="1:72">
      <c r="A540" s="1134"/>
      <c r="B540" s="1142"/>
      <c r="C540" s="1142"/>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7"/>
      <c r="AE540" s="2847"/>
      <c r="AF540" s="2847"/>
      <c r="AG540" s="2847"/>
      <c r="AH540" s="2847"/>
      <c r="AI540" s="2847"/>
      <c r="AJ540" s="2847"/>
      <c r="AK540" s="2847"/>
      <c r="AL540" s="2847"/>
      <c r="AM540" s="2847"/>
      <c r="AN540" s="2847"/>
      <c r="AO540" s="2847"/>
      <c r="AP540" s="2847"/>
      <c r="AQ540" s="2847"/>
      <c r="AR540" s="2847"/>
      <c r="AS540" s="2847"/>
      <c r="AT540" s="2829"/>
      <c r="AU540" s="2856"/>
      <c r="AV540" s="790">
        <f t="shared" si="298"/>
        <v>0</v>
      </c>
      <c r="AW540" s="790">
        <f t="shared" si="299"/>
        <v>0</v>
      </c>
      <c r="AX540" s="790">
        <f t="shared" si="300"/>
        <v>0</v>
      </c>
      <c r="AY540" s="1069">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4">
        <f t="shared" si="325"/>
        <v>0</v>
      </c>
    </row>
    <row r="541" spans="1:72">
      <c r="A541" s="1134"/>
      <c r="B541" s="1142"/>
      <c r="C541" s="1142"/>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7"/>
      <c r="AE541" s="2847"/>
      <c r="AF541" s="2847"/>
      <c r="AG541" s="2847"/>
      <c r="AH541" s="2847"/>
      <c r="AI541" s="2847"/>
      <c r="AJ541" s="2847"/>
      <c r="AK541" s="2847"/>
      <c r="AL541" s="2847"/>
      <c r="AM541" s="2847"/>
      <c r="AN541" s="2847"/>
      <c r="AO541" s="2847"/>
      <c r="AP541" s="2847"/>
      <c r="AQ541" s="2847"/>
      <c r="AR541" s="2847"/>
      <c r="AS541" s="2847"/>
      <c r="AT541" s="2829"/>
      <c r="AU541" s="2856"/>
      <c r="AV541" s="790">
        <f t="shared" si="298"/>
        <v>0</v>
      </c>
      <c r="AW541" s="790">
        <f t="shared" si="299"/>
        <v>0</v>
      </c>
      <c r="AX541" s="790">
        <f t="shared" si="300"/>
        <v>0</v>
      </c>
      <c r="AY541" s="1069">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4">
        <f t="shared" si="325"/>
        <v>0</v>
      </c>
    </row>
    <row r="542" spans="1:72">
      <c r="A542" s="1134"/>
      <c r="B542" s="1142"/>
      <c r="C542" s="1142"/>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7"/>
      <c r="AE542" s="2847"/>
      <c r="AF542" s="2847"/>
      <c r="AG542" s="2847"/>
      <c r="AH542" s="2847"/>
      <c r="AI542" s="2847"/>
      <c r="AJ542" s="2847"/>
      <c r="AK542" s="2847"/>
      <c r="AL542" s="2847"/>
      <c r="AM542" s="2847"/>
      <c r="AN542" s="2847"/>
      <c r="AO542" s="2847"/>
      <c r="AP542" s="2847"/>
      <c r="AQ542" s="2847"/>
      <c r="AR542" s="2847"/>
      <c r="AS542" s="2847"/>
      <c r="AT542" s="2829"/>
      <c r="AU542" s="2856"/>
      <c r="AV542" s="790">
        <f t="shared" si="298"/>
        <v>0</v>
      </c>
      <c r="AW542" s="790">
        <f t="shared" si="299"/>
        <v>0</v>
      </c>
      <c r="AX542" s="790">
        <f t="shared" si="300"/>
        <v>0</v>
      </c>
      <c r="AY542" s="1069">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4">
        <f t="shared" si="325"/>
        <v>0</v>
      </c>
    </row>
    <row r="543" spans="1:72">
      <c r="A543" s="1134"/>
      <c r="B543" s="1142"/>
      <c r="C543" s="1142"/>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7"/>
      <c r="AE543" s="2847"/>
      <c r="AF543" s="2847"/>
      <c r="AG543" s="2847"/>
      <c r="AH543" s="2847"/>
      <c r="AI543" s="2847"/>
      <c r="AJ543" s="2847"/>
      <c r="AK543" s="2847"/>
      <c r="AL543" s="2847"/>
      <c r="AM543" s="2847"/>
      <c r="AN543" s="2847"/>
      <c r="AO543" s="2847"/>
      <c r="AP543" s="2847"/>
      <c r="AQ543" s="2847"/>
      <c r="AR543" s="2847"/>
      <c r="AS543" s="2847"/>
      <c r="AT543" s="2829"/>
      <c r="AU543" s="2856"/>
      <c r="AV543" s="790">
        <f t="shared" si="298"/>
        <v>0</v>
      </c>
      <c r="AW543" s="790">
        <f t="shared" si="299"/>
        <v>0</v>
      </c>
      <c r="AX543" s="790">
        <f t="shared" si="300"/>
        <v>0</v>
      </c>
      <c r="AY543" s="1069">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4">
        <f t="shared" si="325"/>
        <v>0</v>
      </c>
    </row>
    <row r="544" spans="1:72">
      <c r="A544" s="1134"/>
      <c r="B544" s="1142"/>
      <c r="C544" s="1142"/>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7"/>
      <c r="AE544" s="2847"/>
      <c r="AF544" s="2847"/>
      <c r="AG544" s="2847"/>
      <c r="AH544" s="2847"/>
      <c r="AI544" s="2847"/>
      <c r="AJ544" s="2847"/>
      <c r="AK544" s="2847"/>
      <c r="AL544" s="2847"/>
      <c r="AM544" s="2847"/>
      <c r="AN544" s="2847"/>
      <c r="AO544" s="2847"/>
      <c r="AP544" s="2847"/>
      <c r="AQ544" s="2847"/>
      <c r="AR544" s="2847"/>
      <c r="AS544" s="2847"/>
      <c r="AT544" s="2829"/>
      <c r="AU544" s="2856"/>
      <c r="AV544" s="790">
        <f t="shared" si="298"/>
        <v>0</v>
      </c>
      <c r="AW544" s="790">
        <f t="shared" si="299"/>
        <v>0</v>
      </c>
      <c r="AX544" s="790">
        <f t="shared" si="300"/>
        <v>0</v>
      </c>
      <c r="AY544" s="1069">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4">
        <f t="shared" si="325"/>
        <v>0</v>
      </c>
    </row>
    <row r="545" spans="1:72">
      <c r="A545" s="1134"/>
      <c r="B545" s="1142"/>
      <c r="C545" s="1142"/>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7"/>
      <c r="AE545" s="2847"/>
      <c r="AF545" s="2847"/>
      <c r="AG545" s="2847"/>
      <c r="AH545" s="2847"/>
      <c r="AI545" s="2847"/>
      <c r="AJ545" s="2847"/>
      <c r="AK545" s="2847"/>
      <c r="AL545" s="2847"/>
      <c r="AM545" s="2847"/>
      <c r="AN545" s="2847"/>
      <c r="AO545" s="2847"/>
      <c r="AP545" s="2847"/>
      <c r="AQ545" s="2847"/>
      <c r="AR545" s="2847"/>
      <c r="AS545" s="2847"/>
      <c r="AT545" s="2829"/>
      <c r="AU545" s="2856"/>
      <c r="AV545" s="790">
        <f t="shared" si="298"/>
        <v>0</v>
      </c>
      <c r="AW545" s="790">
        <f t="shared" si="299"/>
        <v>0</v>
      </c>
      <c r="AX545" s="790">
        <f t="shared" si="300"/>
        <v>0</v>
      </c>
      <c r="AY545" s="1069">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4">
        <f t="shared" si="325"/>
        <v>0</v>
      </c>
    </row>
    <row r="546" spans="1:72">
      <c r="A546" s="1134"/>
      <c r="B546" s="1142"/>
      <c r="C546" s="1142"/>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7"/>
      <c r="AE546" s="2847"/>
      <c r="AF546" s="2847"/>
      <c r="AG546" s="2847"/>
      <c r="AH546" s="2847"/>
      <c r="AI546" s="2847"/>
      <c r="AJ546" s="2847"/>
      <c r="AK546" s="2847"/>
      <c r="AL546" s="2847"/>
      <c r="AM546" s="2847"/>
      <c r="AN546" s="2847"/>
      <c r="AO546" s="2847"/>
      <c r="AP546" s="2847"/>
      <c r="AQ546" s="2847"/>
      <c r="AR546" s="2847"/>
      <c r="AS546" s="2847"/>
      <c r="AT546" s="2829"/>
      <c r="AU546" s="2856"/>
      <c r="AV546" s="790">
        <f t="shared" si="298"/>
        <v>0</v>
      </c>
      <c r="AW546" s="790">
        <f t="shared" si="299"/>
        <v>0</v>
      </c>
      <c r="AX546" s="790">
        <f t="shared" si="300"/>
        <v>0</v>
      </c>
      <c r="AY546" s="1069">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4">
        <f t="shared" si="325"/>
        <v>0</v>
      </c>
    </row>
    <row r="547" spans="1:72">
      <c r="A547" s="1134"/>
      <c r="B547" s="1142"/>
      <c r="C547" s="1142"/>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7"/>
      <c r="AE547" s="2847"/>
      <c r="AF547" s="2847"/>
      <c r="AG547" s="2847"/>
      <c r="AH547" s="2847"/>
      <c r="AI547" s="2847"/>
      <c r="AJ547" s="2847"/>
      <c r="AK547" s="2847"/>
      <c r="AL547" s="2847"/>
      <c r="AM547" s="2847"/>
      <c r="AN547" s="2847"/>
      <c r="AO547" s="2847"/>
      <c r="AP547" s="2847"/>
      <c r="AQ547" s="2847"/>
      <c r="AR547" s="2847"/>
      <c r="AS547" s="2847"/>
      <c r="AT547" s="2829"/>
      <c r="AU547" s="2856"/>
      <c r="AV547" s="790">
        <f t="shared" si="298"/>
        <v>0</v>
      </c>
      <c r="AW547" s="790">
        <f t="shared" si="299"/>
        <v>0</v>
      </c>
      <c r="AX547" s="790">
        <f t="shared" si="300"/>
        <v>0</v>
      </c>
      <c r="AY547" s="1069">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4">
        <f t="shared" si="325"/>
        <v>0</v>
      </c>
    </row>
    <row r="548" spans="1:72">
      <c r="A548" s="1134"/>
      <c r="B548" s="1142"/>
      <c r="C548" s="1142"/>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7"/>
      <c r="AE548" s="2847"/>
      <c r="AF548" s="2847"/>
      <c r="AG548" s="2847"/>
      <c r="AH548" s="2847"/>
      <c r="AI548" s="2847"/>
      <c r="AJ548" s="2847"/>
      <c r="AK548" s="2847"/>
      <c r="AL548" s="2847"/>
      <c r="AM548" s="2847"/>
      <c r="AN548" s="2847"/>
      <c r="AO548" s="2847"/>
      <c r="AP548" s="2847"/>
      <c r="AQ548" s="2847"/>
      <c r="AR548" s="2847"/>
      <c r="AS548" s="2847"/>
      <c r="AT548" s="2829"/>
      <c r="AU548" s="2856"/>
      <c r="AV548" s="790">
        <f t="shared" si="298"/>
        <v>0</v>
      </c>
      <c r="AW548" s="790">
        <f t="shared" si="299"/>
        <v>0</v>
      </c>
      <c r="AX548" s="790">
        <f t="shared" si="300"/>
        <v>0</v>
      </c>
      <c r="AY548" s="1069">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4">
        <f t="shared" si="325"/>
        <v>0</v>
      </c>
    </row>
    <row r="549" spans="1:72">
      <c r="A549" s="1134"/>
      <c r="B549" s="1142"/>
      <c r="C549" s="1142"/>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7"/>
      <c r="AE549" s="2847"/>
      <c r="AF549" s="2847"/>
      <c r="AG549" s="2847"/>
      <c r="AH549" s="2847"/>
      <c r="AI549" s="2847"/>
      <c r="AJ549" s="2847"/>
      <c r="AK549" s="2847"/>
      <c r="AL549" s="2847"/>
      <c r="AM549" s="2847"/>
      <c r="AN549" s="2847"/>
      <c r="AO549" s="2847"/>
      <c r="AP549" s="2847"/>
      <c r="AQ549" s="2847"/>
      <c r="AR549" s="2847"/>
      <c r="AS549" s="2847"/>
      <c r="AT549" s="2829"/>
      <c r="AU549" s="2856"/>
      <c r="AV549" s="790">
        <f t="shared" si="298"/>
        <v>0</v>
      </c>
      <c r="AW549" s="790">
        <f t="shared" si="299"/>
        <v>0</v>
      </c>
      <c r="AX549" s="790">
        <f t="shared" si="300"/>
        <v>0</v>
      </c>
      <c r="AY549" s="1069">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4">
        <f t="shared" si="325"/>
        <v>0</v>
      </c>
    </row>
    <row r="550" spans="1:72">
      <c r="A550" s="1134"/>
      <c r="B550" s="1142"/>
      <c r="C550" s="1142"/>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7"/>
      <c r="AE550" s="2847"/>
      <c r="AF550" s="2847"/>
      <c r="AG550" s="2847"/>
      <c r="AH550" s="2847"/>
      <c r="AI550" s="2847"/>
      <c r="AJ550" s="2847"/>
      <c r="AK550" s="2847"/>
      <c r="AL550" s="2847"/>
      <c r="AM550" s="2847"/>
      <c r="AN550" s="2847"/>
      <c r="AO550" s="2847"/>
      <c r="AP550" s="2847"/>
      <c r="AQ550" s="2847"/>
      <c r="AR550" s="2847"/>
      <c r="AS550" s="2847"/>
      <c r="AT550" s="2829"/>
      <c r="AU550" s="2856"/>
      <c r="AV550" s="790">
        <f t="shared" si="298"/>
        <v>0</v>
      </c>
      <c r="AW550" s="790">
        <f t="shared" si="299"/>
        <v>0</v>
      </c>
      <c r="AX550" s="790">
        <f t="shared" si="300"/>
        <v>0</v>
      </c>
      <c r="AY550" s="1069">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4">
        <f t="shared" si="325"/>
        <v>0</v>
      </c>
    </row>
    <row r="551" spans="1:72">
      <c r="A551" s="1134"/>
      <c r="B551" s="1142"/>
      <c r="C551" s="1142"/>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7"/>
      <c r="AE551" s="2847"/>
      <c r="AF551" s="2847"/>
      <c r="AG551" s="2847"/>
      <c r="AH551" s="2847"/>
      <c r="AI551" s="2847"/>
      <c r="AJ551" s="2847"/>
      <c r="AK551" s="2847"/>
      <c r="AL551" s="2847"/>
      <c r="AM551" s="2847"/>
      <c r="AN551" s="2847"/>
      <c r="AO551" s="2847"/>
      <c r="AP551" s="2847"/>
      <c r="AQ551" s="2847"/>
      <c r="AR551" s="2847"/>
      <c r="AS551" s="2847"/>
      <c r="AT551" s="2829"/>
      <c r="AU551" s="2856"/>
      <c r="AV551" s="790">
        <f t="shared" si="298"/>
        <v>0</v>
      </c>
      <c r="AW551" s="790">
        <f t="shared" si="299"/>
        <v>0</v>
      </c>
      <c r="AX551" s="790">
        <f t="shared" si="300"/>
        <v>0</v>
      </c>
      <c r="AY551" s="1069">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4">
        <f t="shared" si="325"/>
        <v>0</v>
      </c>
    </row>
    <row r="552" spans="1:72">
      <c r="A552" s="1134"/>
      <c r="B552" s="1142"/>
      <c r="C552" s="1142"/>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7"/>
      <c r="AE552" s="2847"/>
      <c r="AF552" s="2847"/>
      <c r="AG552" s="2847"/>
      <c r="AH552" s="2847"/>
      <c r="AI552" s="2847"/>
      <c r="AJ552" s="2847"/>
      <c r="AK552" s="2847"/>
      <c r="AL552" s="2847"/>
      <c r="AM552" s="2847"/>
      <c r="AN552" s="2847"/>
      <c r="AO552" s="2847"/>
      <c r="AP552" s="2847"/>
      <c r="AQ552" s="2847"/>
      <c r="AR552" s="2847"/>
      <c r="AS552" s="2847"/>
      <c r="AT552" s="2829"/>
      <c r="AU552" s="2856"/>
      <c r="AV552" s="790">
        <f t="shared" si="298"/>
        <v>0</v>
      </c>
      <c r="AW552" s="790">
        <f t="shared" si="299"/>
        <v>0</v>
      </c>
      <c r="AX552" s="790">
        <f t="shared" si="300"/>
        <v>0</v>
      </c>
      <c r="AY552" s="1069">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4">
        <f t="shared" si="325"/>
        <v>0</v>
      </c>
    </row>
    <row r="553" spans="1:72">
      <c r="A553" s="1134"/>
      <c r="B553" s="1142"/>
      <c r="C553" s="1142"/>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7"/>
      <c r="AE553" s="2847"/>
      <c r="AF553" s="2847"/>
      <c r="AG553" s="2847"/>
      <c r="AH553" s="2847"/>
      <c r="AI553" s="2847"/>
      <c r="AJ553" s="2847"/>
      <c r="AK553" s="2847"/>
      <c r="AL553" s="2847"/>
      <c r="AM553" s="2847"/>
      <c r="AN553" s="2847"/>
      <c r="AO553" s="2847"/>
      <c r="AP553" s="2847"/>
      <c r="AQ553" s="2847"/>
      <c r="AR553" s="2847"/>
      <c r="AS553" s="2847"/>
      <c r="AT553" s="2829"/>
      <c r="AU553" s="2856"/>
      <c r="AV553" s="790">
        <f t="shared" ref="AV553:AV587" si="330">A553</f>
        <v>0</v>
      </c>
      <c r="AW553" s="790">
        <f t="shared" ref="AW553:AW587" si="331">B553</f>
        <v>0</v>
      </c>
      <c r="AX553" s="790">
        <f t="shared" ref="AX553:AX587" si="332">C553</f>
        <v>0</v>
      </c>
      <c r="AY553" s="1069">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4">
        <f t="shared" ref="BT553:BT587" si="354">IF($D553="是",AR553-AS553,0)</f>
        <v>0</v>
      </c>
    </row>
    <row r="554" spans="1:72">
      <c r="A554" s="1134"/>
      <c r="B554" s="1142"/>
      <c r="C554" s="1142"/>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7"/>
      <c r="AE554" s="2847"/>
      <c r="AF554" s="2847"/>
      <c r="AG554" s="2847"/>
      <c r="AH554" s="2847"/>
      <c r="AI554" s="2847"/>
      <c r="AJ554" s="2847"/>
      <c r="AK554" s="2847"/>
      <c r="AL554" s="2847"/>
      <c r="AM554" s="2847"/>
      <c r="AN554" s="2847"/>
      <c r="AO554" s="2847"/>
      <c r="AP554" s="2847"/>
      <c r="AQ554" s="2847"/>
      <c r="AR554" s="2847"/>
      <c r="AS554" s="2847"/>
      <c r="AT554" s="2829"/>
      <c r="AU554" s="2856"/>
      <c r="AV554" s="790">
        <f t="shared" si="330"/>
        <v>0</v>
      </c>
      <c r="AW554" s="790">
        <f t="shared" si="331"/>
        <v>0</v>
      </c>
      <c r="AX554" s="790">
        <f t="shared" si="332"/>
        <v>0</v>
      </c>
      <c r="AY554" s="1069">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4">
        <f t="shared" si="354"/>
        <v>0</v>
      </c>
    </row>
    <row r="555" spans="1:72">
      <c r="A555" s="1134"/>
      <c r="B555" s="1142"/>
      <c r="C555" s="1142"/>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7"/>
      <c r="AE555" s="2847"/>
      <c r="AF555" s="2847"/>
      <c r="AG555" s="2847"/>
      <c r="AH555" s="2847"/>
      <c r="AI555" s="2847"/>
      <c r="AJ555" s="2847"/>
      <c r="AK555" s="2847"/>
      <c r="AL555" s="2847"/>
      <c r="AM555" s="2847"/>
      <c r="AN555" s="2847"/>
      <c r="AO555" s="2847"/>
      <c r="AP555" s="2847"/>
      <c r="AQ555" s="2847"/>
      <c r="AR555" s="2847"/>
      <c r="AS555" s="2847"/>
      <c r="AT555" s="2829"/>
      <c r="AU555" s="2856"/>
      <c r="AV555" s="790">
        <f t="shared" si="330"/>
        <v>0</v>
      </c>
      <c r="AW555" s="790">
        <f t="shared" si="331"/>
        <v>0</v>
      </c>
      <c r="AX555" s="790">
        <f t="shared" si="332"/>
        <v>0</v>
      </c>
      <c r="AY555" s="1069">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4">
        <f t="shared" si="354"/>
        <v>0</v>
      </c>
    </row>
    <row r="556" spans="1:72">
      <c r="A556" s="1134"/>
      <c r="B556" s="1142"/>
      <c r="C556" s="1142"/>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7"/>
      <c r="AE556" s="2847"/>
      <c r="AF556" s="2847"/>
      <c r="AG556" s="2847"/>
      <c r="AH556" s="2847"/>
      <c r="AI556" s="2847"/>
      <c r="AJ556" s="2847"/>
      <c r="AK556" s="2847"/>
      <c r="AL556" s="2847"/>
      <c r="AM556" s="2847"/>
      <c r="AN556" s="2847"/>
      <c r="AO556" s="2847"/>
      <c r="AP556" s="2847"/>
      <c r="AQ556" s="2847"/>
      <c r="AR556" s="2847"/>
      <c r="AS556" s="2847"/>
      <c r="AT556" s="2829"/>
      <c r="AU556" s="2856"/>
      <c r="AV556" s="790">
        <f t="shared" si="330"/>
        <v>0</v>
      </c>
      <c r="AW556" s="790">
        <f t="shared" si="331"/>
        <v>0</v>
      </c>
      <c r="AX556" s="790">
        <f t="shared" si="332"/>
        <v>0</v>
      </c>
      <c r="AY556" s="1069">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4">
        <f t="shared" si="354"/>
        <v>0</v>
      </c>
    </row>
    <row r="557" spans="1:72">
      <c r="A557" s="1134"/>
      <c r="B557" s="1142"/>
      <c r="C557" s="1142"/>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7"/>
      <c r="AE557" s="2847"/>
      <c r="AF557" s="2847"/>
      <c r="AG557" s="2847"/>
      <c r="AH557" s="2847"/>
      <c r="AI557" s="2847"/>
      <c r="AJ557" s="2847"/>
      <c r="AK557" s="2847"/>
      <c r="AL557" s="2847"/>
      <c r="AM557" s="2847"/>
      <c r="AN557" s="2847"/>
      <c r="AO557" s="2847"/>
      <c r="AP557" s="2847"/>
      <c r="AQ557" s="2847"/>
      <c r="AR557" s="2847"/>
      <c r="AS557" s="2847"/>
      <c r="AT557" s="2829"/>
      <c r="AU557" s="2856"/>
      <c r="AV557" s="790">
        <f t="shared" si="330"/>
        <v>0</v>
      </c>
      <c r="AW557" s="790">
        <f t="shared" si="331"/>
        <v>0</v>
      </c>
      <c r="AX557" s="790">
        <f t="shared" si="332"/>
        <v>0</v>
      </c>
      <c r="AY557" s="1069">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4">
        <f t="shared" si="354"/>
        <v>0</v>
      </c>
    </row>
    <row r="558" spans="1:72">
      <c r="A558" s="1134"/>
      <c r="B558" s="1142"/>
      <c r="C558" s="1142"/>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7"/>
      <c r="AE558" s="2847"/>
      <c r="AF558" s="2847"/>
      <c r="AG558" s="2847"/>
      <c r="AH558" s="2847"/>
      <c r="AI558" s="2847"/>
      <c r="AJ558" s="2847"/>
      <c r="AK558" s="2847"/>
      <c r="AL558" s="2847"/>
      <c r="AM558" s="2847"/>
      <c r="AN558" s="2847"/>
      <c r="AO558" s="2847"/>
      <c r="AP558" s="2847"/>
      <c r="AQ558" s="2847"/>
      <c r="AR558" s="2847"/>
      <c r="AS558" s="2847"/>
      <c r="AT558" s="2829"/>
      <c r="AU558" s="2856"/>
      <c r="AV558" s="790">
        <f t="shared" si="330"/>
        <v>0</v>
      </c>
      <c r="AW558" s="790">
        <f t="shared" si="331"/>
        <v>0</v>
      </c>
      <c r="AX558" s="790">
        <f t="shared" si="332"/>
        <v>0</v>
      </c>
      <c r="AY558" s="1069">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4">
        <f t="shared" si="354"/>
        <v>0</v>
      </c>
    </row>
    <row r="559" spans="1:72">
      <c r="A559" s="1134"/>
      <c r="B559" s="1142"/>
      <c r="C559" s="1142"/>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7"/>
      <c r="AE559" s="2847"/>
      <c r="AF559" s="2847"/>
      <c r="AG559" s="2847"/>
      <c r="AH559" s="2847"/>
      <c r="AI559" s="2847"/>
      <c r="AJ559" s="2847"/>
      <c r="AK559" s="2847"/>
      <c r="AL559" s="2847"/>
      <c r="AM559" s="2847"/>
      <c r="AN559" s="2847"/>
      <c r="AO559" s="2847"/>
      <c r="AP559" s="2847"/>
      <c r="AQ559" s="2847"/>
      <c r="AR559" s="2847"/>
      <c r="AS559" s="2847"/>
      <c r="AT559" s="2829"/>
      <c r="AU559" s="2856"/>
      <c r="AV559" s="790">
        <f t="shared" si="330"/>
        <v>0</v>
      </c>
      <c r="AW559" s="790">
        <f t="shared" si="331"/>
        <v>0</v>
      </c>
      <c r="AX559" s="790">
        <f t="shared" si="332"/>
        <v>0</v>
      </c>
      <c r="AY559" s="1069">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4">
        <f t="shared" si="354"/>
        <v>0</v>
      </c>
    </row>
    <row r="560" spans="1:72">
      <c r="A560" s="1134"/>
      <c r="B560" s="1142"/>
      <c r="C560" s="1142"/>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7"/>
      <c r="AE560" s="2847"/>
      <c r="AF560" s="2847"/>
      <c r="AG560" s="2847"/>
      <c r="AH560" s="2847"/>
      <c r="AI560" s="2847"/>
      <c r="AJ560" s="2847"/>
      <c r="AK560" s="2847"/>
      <c r="AL560" s="2847"/>
      <c r="AM560" s="2847"/>
      <c r="AN560" s="2847"/>
      <c r="AO560" s="2847"/>
      <c r="AP560" s="2847"/>
      <c r="AQ560" s="2847"/>
      <c r="AR560" s="2847"/>
      <c r="AS560" s="2847"/>
      <c r="AT560" s="2829"/>
      <c r="AU560" s="2856"/>
      <c r="AV560" s="790">
        <f t="shared" si="330"/>
        <v>0</v>
      </c>
      <c r="AW560" s="790">
        <f t="shared" si="331"/>
        <v>0</v>
      </c>
      <c r="AX560" s="790">
        <f t="shared" si="332"/>
        <v>0</v>
      </c>
      <c r="AY560" s="1069">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4">
        <f t="shared" si="354"/>
        <v>0</v>
      </c>
    </row>
    <row r="561" spans="1:72">
      <c r="A561" s="1134"/>
      <c r="B561" s="1142"/>
      <c r="C561" s="1142"/>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7"/>
      <c r="AE561" s="2847"/>
      <c r="AF561" s="2847"/>
      <c r="AG561" s="2847"/>
      <c r="AH561" s="2847"/>
      <c r="AI561" s="2847"/>
      <c r="AJ561" s="2847"/>
      <c r="AK561" s="2847"/>
      <c r="AL561" s="2847"/>
      <c r="AM561" s="2847"/>
      <c r="AN561" s="2847"/>
      <c r="AO561" s="2847"/>
      <c r="AP561" s="2847"/>
      <c r="AQ561" s="2847"/>
      <c r="AR561" s="2847"/>
      <c r="AS561" s="2847"/>
      <c r="AT561" s="2829"/>
      <c r="AU561" s="2856"/>
      <c r="AV561" s="790">
        <f t="shared" si="330"/>
        <v>0</v>
      </c>
      <c r="AW561" s="790">
        <f t="shared" si="331"/>
        <v>0</v>
      </c>
      <c r="AX561" s="790">
        <f t="shared" si="332"/>
        <v>0</v>
      </c>
      <c r="AY561" s="1069">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4">
        <f t="shared" si="354"/>
        <v>0</v>
      </c>
    </row>
    <row r="562" spans="1:72">
      <c r="A562" s="1134"/>
      <c r="B562" s="1142"/>
      <c r="C562" s="1142"/>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7"/>
      <c r="AE562" s="2847"/>
      <c r="AF562" s="2847"/>
      <c r="AG562" s="2847"/>
      <c r="AH562" s="2847"/>
      <c r="AI562" s="2847"/>
      <c r="AJ562" s="2847"/>
      <c r="AK562" s="2847"/>
      <c r="AL562" s="2847"/>
      <c r="AM562" s="2847"/>
      <c r="AN562" s="2847"/>
      <c r="AO562" s="2847"/>
      <c r="AP562" s="2847"/>
      <c r="AQ562" s="2847"/>
      <c r="AR562" s="2847"/>
      <c r="AS562" s="2847"/>
      <c r="AT562" s="2829"/>
      <c r="AU562" s="2856"/>
      <c r="AV562" s="790">
        <f t="shared" si="330"/>
        <v>0</v>
      </c>
      <c r="AW562" s="790">
        <f t="shared" si="331"/>
        <v>0</v>
      </c>
      <c r="AX562" s="790">
        <f t="shared" si="332"/>
        <v>0</v>
      </c>
      <c r="AY562" s="1069">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4">
        <f t="shared" si="354"/>
        <v>0</v>
      </c>
    </row>
    <row r="563" spans="1:72">
      <c r="A563" s="1134"/>
      <c r="B563" s="1142"/>
      <c r="C563" s="1142"/>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7"/>
      <c r="AE563" s="2847"/>
      <c r="AF563" s="2847"/>
      <c r="AG563" s="2847"/>
      <c r="AH563" s="2847"/>
      <c r="AI563" s="2847"/>
      <c r="AJ563" s="2847"/>
      <c r="AK563" s="2847"/>
      <c r="AL563" s="2847"/>
      <c r="AM563" s="2847"/>
      <c r="AN563" s="2847"/>
      <c r="AO563" s="2847"/>
      <c r="AP563" s="2847"/>
      <c r="AQ563" s="2847"/>
      <c r="AR563" s="2847"/>
      <c r="AS563" s="2847"/>
      <c r="AT563" s="2829"/>
      <c r="AU563" s="2856"/>
      <c r="AV563" s="790">
        <f t="shared" si="330"/>
        <v>0</v>
      </c>
      <c r="AW563" s="790">
        <f t="shared" si="331"/>
        <v>0</v>
      </c>
      <c r="AX563" s="790">
        <f t="shared" si="332"/>
        <v>0</v>
      </c>
      <c r="AY563" s="1069">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4">
        <f t="shared" si="354"/>
        <v>0</v>
      </c>
    </row>
    <row r="564" spans="1:72">
      <c r="A564" s="1134"/>
      <c r="B564" s="1142"/>
      <c r="C564" s="1142"/>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7"/>
      <c r="AE564" s="2847"/>
      <c r="AF564" s="2847"/>
      <c r="AG564" s="2847"/>
      <c r="AH564" s="2847"/>
      <c r="AI564" s="2847"/>
      <c r="AJ564" s="2847"/>
      <c r="AK564" s="2847"/>
      <c r="AL564" s="2847"/>
      <c r="AM564" s="2847"/>
      <c r="AN564" s="2847"/>
      <c r="AO564" s="2847"/>
      <c r="AP564" s="2847"/>
      <c r="AQ564" s="2847"/>
      <c r="AR564" s="2847"/>
      <c r="AS564" s="2847"/>
      <c r="AT564" s="2829"/>
      <c r="AU564" s="2856"/>
      <c r="AV564" s="790">
        <f t="shared" si="330"/>
        <v>0</v>
      </c>
      <c r="AW564" s="790">
        <f t="shared" si="331"/>
        <v>0</v>
      </c>
      <c r="AX564" s="790">
        <f t="shared" si="332"/>
        <v>0</v>
      </c>
      <c r="AY564" s="1069">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4">
        <f t="shared" si="354"/>
        <v>0</v>
      </c>
    </row>
    <row r="565" spans="1:72">
      <c r="A565" s="1134"/>
      <c r="B565" s="1142"/>
      <c r="C565" s="1142"/>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7"/>
      <c r="AE565" s="2847"/>
      <c r="AF565" s="2847"/>
      <c r="AG565" s="2847"/>
      <c r="AH565" s="2847"/>
      <c r="AI565" s="2847"/>
      <c r="AJ565" s="2847"/>
      <c r="AK565" s="2847"/>
      <c r="AL565" s="2847"/>
      <c r="AM565" s="2847"/>
      <c r="AN565" s="2847"/>
      <c r="AO565" s="2847"/>
      <c r="AP565" s="2847"/>
      <c r="AQ565" s="2847"/>
      <c r="AR565" s="2847"/>
      <c r="AS565" s="2847"/>
      <c r="AT565" s="2829"/>
      <c r="AU565" s="2856"/>
      <c r="AV565" s="790">
        <f t="shared" si="330"/>
        <v>0</v>
      </c>
      <c r="AW565" s="790">
        <f t="shared" si="331"/>
        <v>0</v>
      </c>
      <c r="AX565" s="790">
        <f t="shared" si="332"/>
        <v>0</v>
      </c>
      <c r="AY565" s="1069">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4">
        <f t="shared" si="354"/>
        <v>0</v>
      </c>
    </row>
    <row r="566" spans="1:72">
      <c r="A566" s="1134"/>
      <c r="B566" s="1142"/>
      <c r="C566" s="1142"/>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7"/>
      <c r="AE566" s="2847"/>
      <c r="AF566" s="2847"/>
      <c r="AG566" s="2847"/>
      <c r="AH566" s="2847"/>
      <c r="AI566" s="2847"/>
      <c r="AJ566" s="2847"/>
      <c r="AK566" s="2847"/>
      <c r="AL566" s="2847"/>
      <c r="AM566" s="2847"/>
      <c r="AN566" s="2847"/>
      <c r="AO566" s="2847"/>
      <c r="AP566" s="2847"/>
      <c r="AQ566" s="2847"/>
      <c r="AR566" s="2847"/>
      <c r="AS566" s="2847"/>
      <c r="AT566" s="2829"/>
      <c r="AU566" s="2856"/>
      <c r="AV566" s="790">
        <f t="shared" si="330"/>
        <v>0</v>
      </c>
      <c r="AW566" s="790">
        <f t="shared" si="331"/>
        <v>0</v>
      </c>
      <c r="AX566" s="790">
        <f t="shared" si="332"/>
        <v>0</v>
      </c>
      <c r="AY566" s="1069">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4">
        <f t="shared" si="354"/>
        <v>0</v>
      </c>
    </row>
    <row r="567" spans="1:72">
      <c r="A567" s="1134"/>
      <c r="B567" s="1142"/>
      <c r="C567" s="1142"/>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7"/>
      <c r="AE567" s="2847"/>
      <c r="AF567" s="2847"/>
      <c r="AG567" s="2847"/>
      <c r="AH567" s="2847"/>
      <c r="AI567" s="2847"/>
      <c r="AJ567" s="2847"/>
      <c r="AK567" s="2847"/>
      <c r="AL567" s="2847"/>
      <c r="AM567" s="2847"/>
      <c r="AN567" s="2847"/>
      <c r="AO567" s="2847"/>
      <c r="AP567" s="2847"/>
      <c r="AQ567" s="2847"/>
      <c r="AR567" s="2847"/>
      <c r="AS567" s="2847"/>
      <c r="AT567" s="2829"/>
      <c r="AU567" s="2856"/>
      <c r="AV567" s="790">
        <f t="shared" si="330"/>
        <v>0</v>
      </c>
      <c r="AW567" s="790">
        <f t="shared" si="331"/>
        <v>0</v>
      </c>
      <c r="AX567" s="790">
        <f t="shared" si="332"/>
        <v>0</v>
      </c>
      <c r="AY567" s="1069">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4">
        <f t="shared" si="354"/>
        <v>0</v>
      </c>
    </row>
    <row r="568" spans="1:72">
      <c r="A568" s="1134"/>
      <c r="B568" s="1142"/>
      <c r="C568" s="1142"/>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7"/>
      <c r="AE568" s="2847"/>
      <c r="AF568" s="2847"/>
      <c r="AG568" s="2847"/>
      <c r="AH568" s="2847"/>
      <c r="AI568" s="2847"/>
      <c r="AJ568" s="2847"/>
      <c r="AK568" s="2847"/>
      <c r="AL568" s="2847"/>
      <c r="AM568" s="2847"/>
      <c r="AN568" s="2847"/>
      <c r="AO568" s="2847"/>
      <c r="AP568" s="2847"/>
      <c r="AQ568" s="2847"/>
      <c r="AR568" s="2847"/>
      <c r="AS568" s="2847"/>
      <c r="AT568" s="2829"/>
      <c r="AU568" s="2856"/>
      <c r="AV568" s="790">
        <f t="shared" si="330"/>
        <v>0</v>
      </c>
      <c r="AW568" s="790">
        <f t="shared" si="331"/>
        <v>0</v>
      </c>
      <c r="AX568" s="790">
        <f t="shared" si="332"/>
        <v>0</v>
      </c>
      <c r="AY568" s="1069">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4">
        <f t="shared" si="354"/>
        <v>0</v>
      </c>
    </row>
    <row r="569" spans="1:72">
      <c r="A569" s="1134"/>
      <c r="B569" s="1142"/>
      <c r="C569" s="1142"/>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7"/>
      <c r="AE569" s="2847"/>
      <c r="AF569" s="2847"/>
      <c r="AG569" s="2847"/>
      <c r="AH569" s="2847"/>
      <c r="AI569" s="2847"/>
      <c r="AJ569" s="2847"/>
      <c r="AK569" s="2847"/>
      <c r="AL569" s="2847"/>
      <c r="AM569" s="2847"/>
      <c r="AN569" s="2847"/>
      <c r="AO569" s="2847"/>
      <c r="AP569" s="2847"/>
      <c r="AQ569" s="2847"/>
      <c r="AR569" s="2847"/>
      <c r="AS569" s="2847"/>
      <c r="AT569" s="2829"/>
      <c r="AU569" s="2856"/>
      <c r="AV569" s="790">
        <f t="shared" si="330"/>
        <v>0</v>
      </c>
      <c r="AW569" s="790">
        <f t="shared" si="331"/>
        <v>0</v>
      </c>
      <c r="AX569" s="790">
        <f t="shared" si="332"/>
        <v>0</v>
      </c>
      <c r="AY569" s="1069">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4">
        <f t="shared" si="354"/>
        <v>0</v>
      </c>
    </row>
    <row r="570" spans="1:72">
      <c r="A570" s="1134"/>
      <c r="B570" s="1142"/>
      <c r="C570" s="1142"/>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7"/>
      <c r="AE570" s="2847"/>
      <c r="AF570" s="2847"/>
      <c r="AG570" s="2847"/>
      <c r="AH570" s="2847"/>
      <c r="AI570" s="2847"/>
      <c r="AJ570" s="2847"/>
      <c r="AK570" s="2847"/>
      <c r="AL570" s="2847"/>
      <c r="AM570" s="2847"/>
      <c r="AN570" s="2847"/>
      <c r="AO570" s="2847"/>
      <c r="AP570" s="2847"/>
      <c r="AQ570" s="2847"/>
      <c r="AR570" s="2847"/>
      <c r="AS570" s="2847"/>
      <c r="AT570" s="2829"/>
      <c r="AU570" s="2856"/>
      <c r="AV570" s="790">
        <f t="shared" si="330"/>
        <v>0</v>
      </c>
      <c r="AW570" s="790">
        <f t="shared" si="331"/>
        <v>0</v>
      </c>
      <c r="AX570" s="790">
        <f t="shared" si="332"/>
        <v>0</v>
      </c>
      <c r="AY570" s="1069">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4">
        <f t="shared" si="354"/>
        <v>0</v>
      </c>
    </row>
    <row r="571" spans="1:72">
      <c r="A571" s="1134"/>
      <c r="B571" s="1142"/>
      <c r="C571" s="1142"/>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7"/>
      <c r="AE571" s="2847"/>
      <c r="AF571" s="2847"/>
      <c r="AG571" s="2847"/>
      <c r="AH571" s="2847"/>
      <c r="AI571" s="2847"/>
      <c r="AJ571" s="2847"/>
      <c r="AK571" s="2847"/>
      <c r="AL571" s="2847"/>
      <c r="AM571" s="2847"/>
      <c r="AN571" s="2847"/>
      <c r="AO571" s="2847"/>
      <c r="AP571" s="2847"/>
      <c r="AQ571" s="2847"/>
      <c r="AR571" s="2847"/>
      <c r="AS571" s="2847"/>
      <c r="AT571" s="2829"/>
      <c r="AU571" s="2856"/>
      <c r="AV571" s="790">
        <f t="shared" si="330"/>
        <v>0</v>
      </c>
      <c r="AW571" s="790">
        <f t="shared" si="331"/>
        <v>0</v>
      </c>
      <c r="AX571" s="790">
        <f t="shared" si="332"/>
        <v>0</v>
      </c>
      <c r="AY571" s="1069">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4">
        <f t="shared" si="354"/>
        <v>0</v>
      </c>
    </row>
    <row r="572" spans="1:72">
      <c r="A572" s="1134"/>
      <c r="B572" s="1142"/>
      <c r="C572" s="1142"/>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7"/>
      <c r="AE572" s="2847"/>
      <c r="AF572" s="2847"/>
      <c r="AG572" s="2847"/>
      <c r="AH572" s="2847"/>
      <c r="AI572" s="2847"/>
      <c r="AJ572" s="2847"/>
      <c r="AK572" s="2847"/>
      <c r="AL572" s="2847"/>
      <c r="AM572" s="2847"/>
      <c r="AN572" s="2847"/>
      <c r="AO572" s="2847"/>
      <c r="AP572" s="2847"/>
      <c r="AQ572" s="2847"/>
      <c r="AR572" s="2847"/>
      <c r="AS572" s="2847"/>
      <c r="AT572" s="2829"/>
      <c r="AU572" s="2856"/>
      <c r="AV572" s="790">
        <f t="shared" si="330"/>
        <v>0</v>
      </c>
      <c r="AW572" s="790">
        <f t="shared" si="331"/>
        <v>0</v>
      </c>
      <c r="AX572" s="790">
        <f t="shared" si="332"/>
        <v>0</v>
      </c>
      <c r="AY572" s="1069">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4">
        <f t="shared" si="354"/>
        <v>0</v>
      </c>
    </row>
    <row r="573" spans="1:72">
      <c r="A573" s="1134"/>
      <c r="B573" s="1142"/>
      <c r="C573" s="1142"/>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7"/>
      <c r="AE573" s="2847"/>
      <c r="AF573" s="2847"/>
      <c r="AG573" s="2847"/>
      <c r="AH573" s="2847"/>
      <c r="AI573" s="2847"/>
      <c r="AJ573" s="2847"/>
      <c r="AK573" s="2847"/>
      <c r="AL573" s="2847"/>
      <c r="AM573" s="2847"/>
      <c r="AN573" s="2847"/>
      <c r="AO573" s="2847"/>
      <c r="AP573" s="2847"/>
      <c r="AQ573" s="2847"/>
      <c r="AR573" s="2847"/>
      <c r="AS573" s="2847"/>
      <c r="AT573" s="2829"/>
      <c r="AU573" s="2856"/>
      <c r="AV573" s="790">
        <f t="shared" si="330"/>
        <v>0</v>
      </c>
      <c r="AW573" s="790">
        <f t="shared" si="331"/>
        <v>0</v>
      </c>
      <c r="AX573" s="790">
        <f t="shared" si="332"/>
        <v>0</v>
      </c>
      <c r="AY573" s="1069">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4">
        <f t="shared" si="354"/>
        <v>0</v>
      </c>
    </row>
    <row r="574" spans="1:72">
      <c r="A574" s="1134"/>
      <c r="B574" s="1142"/>
      <c r="C574" s="1142"/>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7"/>
      <c r="AE574" s="2847"/>
      <c r="AF574" s="2847"/>
      <c r="AG574" s="2847"/>
      <c r="AH574" s="2847"/>
      <c r="AI574" s="2847"/>
      <c r="AJ574" s="2847"/>
      <c r="AK574" s="2847"/>
      <c r="AL574" s="2847"/>
      <c r="AM574" s="2847"/>
      <c r="AN574" s="2847"/>
      <c r="AO574" s="2847"/>
      <c r="AP574" s="2847"/>
      <c r="AQ574" s="2847"/>
      <c r="AR574" s="2847"/>
      <c r="AS574" s="2847"/>
      <c r="AT574" s="2829"/>
      <c r="AU574" s="2856"/>
      <c r="AV574" s="790">
        <f t="shared" si="330"/>
        <v>0</v>
      </c>
      <c r="AW574" s="790">
        <f t="shared" si="331"/>
        <v>0</v>
      </c>
      <c r="AX574" s="790">
        <f t="shared" si="332"/>
        <v>0</v>
      </c>
      <c r="AY574" s="1069">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4">
        <f t="shared" si="354"/>
        <v>0</v>
      </c>
    </row>
    <row r="575" spans="1:72">
      <c r="A575" s="1134"/>
      <c r="B575" s="1142"/>
      <c r="C575" s="1142"/>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7"/>
      <c r="AE575" s="2847"/>
      <c r="AF575" s="2847"/>
      <c r="AG575" s="2847"/>
      <c r="AH575" s="2847"/>
      <c r="AI575" s="2847"/>
      <c r="AJ575" s="2847"/>
      <c r="AK575" s="2847"/>
      <c r="AL575" s="2847"/>
      <c r="AM575" s="2847"/>
      <c r="AN575" s="2847"/>
      <c r="AO575" s="2847"/>
      <c r="AP575" s="2847"/>
      <c r="AQ575" s="2847"/>
      <c r="AR575" s="2847"/>
      <c r="AS575" s="2847"/>
      <c r="AT575" s="2829"/>
      <c r="AU575" s="2856"/>
      <c r="AV575" s="790">
        <f t="shared" si="330"/>
        <v>0</v>
      </c>
      <c r="AW575" s="790">
        <f t="shared" si="331"/>
        <v>0</v>
      </c>
      <c r="AX575" s="790">
        <f t="shared" si="332"/>
        <v>0</v>
      </c>
      <c r="AY575" s="1069">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4">
        <f t="shared" si="354"/>
        <v>0</v>
      </c>
    </row>
    <row r="576" spans="1:72">
      <c r="A576" s="1134"/>
      <c r="B576" s="1142"/>
      <c r="C576" s="1142"/>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7"/>
      <c r="AE576" s="2847"/>
      <c r="AF576" s="2847"/>
      <c r="AG576" s="2847"/>
      <c r="AH576" s="2847"/>
      <c r="AI576" s="2847"/>
      <c r="AJ576" s="2847"/>
      <c r="AK576" s="2847"/>
      <c r="AL576" s="2847"/>
      <c r="AM576" s="2847"/>
      <c r="AN576" s="2847"/>
      <c r="AO576" s="2847"/>
      <c r="AP576" s="2847"/>
      <c r="AQ576" s="2847"/>
      <c r="AR576" s="2847"/>
      <c r="AS576" s="2847"/>
      <c r="AT576" s="2829"/>
      <c r="AU576" s="2856"/>
      <c r="AV576" s="790">
        <f t="shared" si="330"/>
        <v>0</v>
      </c>
      <c r="AW576" s="790">
        <f t="shared" si="331"/>
        <v>0</v>
      </c>
      <c r="AX576" s="790">
        <f t="shared" si="332"/>
        <v>0</v>
      </c>
      <c r="AY576" s="1069">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4">
        <f t="shared" si="354"/>
        <v>0</v>
      </c>
    </row>
    <row r="577" spans="1:72">
      <c r="A577" s="1134"/>
      <c r="B577" s="1142"/>
      <c r="C577" s="1142"/>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7"/>
      <c r="AE577" s="2847"/>
      <c r="AF577" s="2847"/>
      <c r="AG577" s="2847"/>
      <c r="AH577" s="2847"/>
      <c r="AI577" s="2847"/>
      <c r="AJ577" s="2847"/>
      <c r="AK577" s="2847"/>
      <c r="AL577" s="2847"/>
      <c r="AM577" s="2847"/>
      <c r="AN577" s="2847"/>
      <c r="AO577" s="2847"/>
      <c r="AP577" s="2847"/>
      <c r="AQ577" s="2847"/>
      <c r="AR577" s="2847"/>
      <c r="AS577" s="2847"/>
      <c r="AT577" s="2829"/>
      <c r="AU577" s="2856"/>
      <c r="AV577" s="790">
        <f t="shared" si="330"/>
        <v>0</v>
      </c>
      <c r="AW577" s="790">
        <f t="shared" si="331"/>
        <v>0</v>
      </c>
      <c r="AX577" s="790">
        <f t="shared" si="332"/>
        <v>0</v>
      </c>
      <c r="AY577" s="1069">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4">
        <f t="shared" si="354"/>
        <v>0</v>
      </c>
    </row>
    <row r="578" spans="1:72">
      <c r="A578" s="1134"/>
      <c r="B578" s="1142"/>
      <c r="C578" s="1142"/>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7"/>
      <c r="AE578" s="2847"/>
      <c r="AF578" s="2847"/>
      <c r="AG578" s="2847"/>
      <c r="AH578" s="2847"/>
      <c r="AI578" s="2847"/>
      <c r="AJ578" s="2847"/>
      <c r="AK578" s="2847"/>
      <c r="AL578" s="2847"/>
      <c r="AM578" s="2847"/>
      <c r="AN578" s="2847"/>
      <c r="AO578" s="2847"/>
      <c r="AP578" s="2847"/>
      <c r="AQ578" s="2847"/>
      <c r="AR578" s="2847"/>
      <c r="AS578" s="2847"/>
      <c r="AT578" s="2829"/>
      <c r="AU578" s="2856"/>
      <c r="AV578" s="790">
        <f t="shared" si="330"/>
        <v>0</v>
      </c>
      <c r="AW578" s="790">
        <f t="shared" si="331"/>
        <v>0</v>
      </c>
      <c r="AX578" s="790">
        <f t="shared" si="332"/>
        <v>0</v>
      </c>
      <c r="AY578" s="1069">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4">
        <f t="shared" si="354"/>
        <v>0</v>
      </c>
    </row>
    <row r="579" spans="1:72">
      <c r="A579" s="1134"/>
      <c r="B579" s="1142"/>
      <c r="C579" s="1142"/>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7"/>
      <c r="AE579" s="2847"/>
      <c r="AF579" s="2847"/>
      <c r="AG579" s="2847"/>
      <c r="AH579" s="2847"/>
      <c r="AI579" s="2847"/>
      <c r="AJ579" s="2847"/>
      <c r="AK579" s="2847"/>
      <c r="AL579" s="2847"/>
      <c r="AM579" s="2847"/>
      <c r="AN579" s="2847"/>
      <c r="AO579" s="2847"/>
      <c r="AP579" s="2847"/>
      <c r="AQ579" s="2847"/>
      <c r="AR579" s="2847"/>
      <c r="AS579" s="2847"/>
      <c r="AT579" s="2829"/>
      <c r="AU579" s="2856"/>
      <c r="AV579" s="790">
        <f t="shared" si="330"/>
        <v>0</v>
      </c>
      <c r="AW579" s="790">
        <f t="shared" si="331"/>
        <v>0</v>
      </c>
      <c r="AX579" s="790">
        <f t="shared" si="332"/>
        <v>0</v>
      </c>
      <c r="AY579" s="1069">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4">
        <f t="shared" si="354"/>
        <v>0</v>
      </c>
    </row>
    <row r="580" spans="1:72">
      <c r="A580" s="1134"/>
      <c r="B580" s="1142"/>
      <c r="C580" s="1142"/>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7"/>
      <c r="AE580" s="2847"/>
      <c r="AF580" s="2847"/>
      <c r="AG580" s="2847"/>
      <c r="AH580" s="2847"/>
      <c r="AI580" s="2847"/>
      <c r="AJ580" s="2847"/>
      <c r="AK580" s="2847"/>
      <c r="AL580" s="2847"/>
      <c r="AM580" s="2847"/>
      <c r="AN580" s="2847"/>
      <c r="AO580" s="2847"/>
      <c r="AP580" s="2847"/>
      <c r="AQ580" s="2847"/>
      <c r="AR580" s="2847"/>
      <c r="AS580" s="2847"/>
      <c r="AT580" s="2829"/>
      <c r="AU580" s="2856"/>
      <c r="AV580" s="790">
        <f t="shared" si="330"/>
        <v>0</v>
      </c>
      <c r="AW580" s="790">
        <f t="shared" si="331"/>
        <v>0</v>
      </c>
      <c r="AX580" s="790">
        <f t="shared" si="332"/>
        <v>0</v>
      </c>
      <c r="AY580" s="1069">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4">
        <f t="shared" si="354"/>
        <v>0</v>
      </c>
    </row>
    <row r="581" spans="1:72">
      <c r="A581" s="1134"/>
      <c r="B581" s="1142"/>
      <c r="C581" s="1142"/>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7"/>
      <c r="AE581" s="2847"/>
      <c r="AF581" s="2847"/>
      <c r="AG581" s="2847"/>
      <c r="AH581" s="2847"/>
      <c r="AI581" s="2847"/>
      <c r="AJ581" s="2847"/>
      <c r="AK581" s="2847"/>
      <c r="AL581" s="2847"/>
      <c r="AM581" s="2847"/>
      <c r="AN581" s="2847"/>
      <c r="AO581" s="2847"/>
      <c r="AP581" s="2847"/>
      <c r="AQ581" s="2847"/>
      <c r="AR581" s="2847"/>
      <c r="AS581" s="2847"/>
      <c r="AT581" s="2829"/>
      <c r="AU581" s="2856"/>
      <c r="AV581" s="790">
        <f t="shared" si="330"/>
        <v>0</v>
      </c>
      <c r="AW581" s="790">
        <f t="shared" si="331"/>
        <v>0</v>
      </c>
      <c r="AX581" s="790">
        <f t="shared" si="332"/>
        <v>0</v>
      </c>
      <c r="AY581" s="1069">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4">
        <f t="shared" si="354"/>
        <v>0</v>
      </c>
    </row>
    <row r="582" spans="1:72">
      <c r="A582" s="1134"/>
      <c r="B582" s="1142"/>
      <c r="C582" s="1142"/>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7"/>
      <c r="AE582" s="2847"/>
      <c r="AF582" s="2847"/>
      <c r="AG582" s="2847"/>
      <c r="AH582" s="2847"/>
      <c r="AI582" s="2847"/>
      <c r="AJ582" s="2847"/>
      <c r="AK582" s="2847"/>
      <c r="AL582" s="2847"/>
      <c r="AM582" s="2847"/>
      <c r="AN582" s="2847"/>
      <c r="AO582" s="2847"/>
      <c r="AP582" s="2847"/>
      <c r="AQ582" s="2847"/>
      <c r="AR582" s="2847"/>
      <c r="AS582" s="2847"/>
      <c r="AT582" s="2829"/>
      <c r="AU582" s="2856"/>
      <c r="AV582" s="790">
        <f t="shared" si="330"/>
        <v>0</v>
      </c>
      <c r="AW582" s="790">
        <f t="shared" si="331"/>
        <v>0</v>
      </c>
      <c r="AX582" s="790">
        <f t="shared" si="332"/>
        <v>0</v>
      </c>
      <c r="AY582" s="1069">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4">
        <f t="shared" si="354"/>
        <v>0</v>
      </c>
    </row>
    <row r="583" spans="1:72">
      <c r="A583" s="1134"/>
      <c r="B583" s="1142"/>
      <c r="C583" s="1142"/>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7"/>
      <c r="AE583" s="2847"/>
      <c r="AF583" s="2847"/>
      <c r="AG583" s="2847"/>
      <c r="AH583" s="2847"/>
      <c r="AI583" s="2847"/>
      <c r="AJ583" s="2847"/>
      <c r="AK583" s="2847"/>
      <c r="AL583" s="2847"/>
      <c r="AM583" s="2847"/>
      <c r="AN583" s="2847"/>
      <c r="AO583" s="2847"/>
      <c r="AP583" s="2847"/>
      <c r="AQ583" s="2847"/>
      <c r="AR583" s="2847"/>
      <c r="AS583" s="2847"/>
      <c r="AT583" s="2829"/>
      <c r="AU583" s="2856"/>
      <c r="AV583" s="790">
        <f t="shared" si="330"/>
        <v>0</v>
      </c>
      <c r="AW583" s="790">
        <f t="shared" si="331"/>
        <v>0</v>
      </c>
      <c r="AX583" s="790">
        <f t="shared" si="332"/>
        <v>0</v>
      </c>
      <c r="AY583" s="1069">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4">
        <f t="shared" si="354"/>
        <v>0</v>
      </c>
    </row>
    <row r="584" spans="1:72">
      <c r="A584" s="1134"/>
      <c r="B584" s="1142"/>
      <c r="C584" s="1142"/>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7"/>
      <c r="AE584" s="2847"/>
      <c r="AF584" s="2847"/>
      <c r="AG584" s="2847"/>
      <c r="AH584" s="2847"/>
      <c r="AI584" s="2847"/>
      <c r="AJ584" s="2847"/>
      <c r="AK584" s="2847"/>
      <c r="AL584" s="2847"/>
      <c r="AM584" s="2847"/>
      <c r="AN584" s="2847"/>
      <c r="AO584" s="2847"/>
      <c r="AP584" s="2847"/>
      <c r="AQ584" s="2847"/>
      <c r="AR584" s="2847"/>
      <c r="AS584" s="2847"/>
      <c r="AT584" s="2829"/>
      <c r="AU584" s="2856"/>
      <c r="AV584" s="790">
        <f t="shared" si="330"/>
        <v>0</v>
      </c>
      <c r="AW584" s="790">
        <f t="shared" si="331"/>
        <v>0</v>
      </c>
      <c r="AX584" s="790">
        <f t="shared" si="332"/>
        <v>0</v>
      </c>
      <c r="AY584" s="1069">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4">
        <f t="shared" si="354"/>
        <v>0</v>
      </c>
    </row>
    <row r="585" spans="1:72">
      <c r="A585" s="1134"/>
      <c r="B585" s="1134"/>
      <c r="C585" s="1134"/>
      <c r="D585" s="2827"/>
      <c r="E585" s="2828">
        <f t="shared" si="326"/>
        <v>0</v>
      </c>
      <c r="F585" s="2847"/>
      <c r="G585" s="2830">
        <f t="shared" si="327"/>
        <v>0</v>
      </c>
      <c r="H585" s="2831">
        <f t="shared" si="328"/>
        <v>0</v>
      </c>
      <c r="I585" s="2875"/>
      <c r="J585" s="2875"/>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7"/>
      <c r="AE585" s="2847"/>
      <c r="AF585" s="2847"/>
      <c r="AG585" s="2847"/>
      <c r="AH585" s="2847"/>
      <c r="AI585" s="2847"/>
      <c r="AJ585" s="2847"/>
      <c r="AK585" s="2847"/>
      <c r="AL585" s="2847"/>
      <c r="AM585" s="2847"/>
      <c r="AN585" s="2847"/>
      <c r="AO585" s="2847"/>
      <c r="AP585" s="2847"/>
      <c r="AQ585" s="2847"/>
      <c r="AR585" s="2847"/>
      <c r="AS585" s="2847"/>
      <c r="AT585" s="2847"/>
      <c r="AU585" s="1177"/>
      <c r="AV585" s="790">
        <f t="shared" si="330"/>
        <v>0</v>
      </c>
      <c r="AW585" s="790">
        <f t="shared" si="331"/>
        <v>0</v>
      </c>
      <c r="AX585" s="790">
        <f t="shared" si="332"/>
        <v>0</v>
      </c>
      <c r="AY585" s="1069">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4">
        <f t="shared" si="354"/>
        <v>0</v>
      </c>
    </row>
    <row r="586" spans="1:72">
      <c r="A586" s="1134"/>
      <c r="B586" s="1134"/>
      <c r="C586" s="1134"/>
      <c r="D586" s="2827"/>
      <c r="E586" s="2828">
        <f t="shared" si="326"/>
        <v>0</v>
      </c>
      <c r="F586" s="2847"/>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7"/>
      <c r="AE586" s="2847"/>
      <c r="AF586" s="2847"/>
      <c r="AG586" s="2847"/>
      <c r="AH586" s="2847"/>
      <c r="AI586" s="2847"/>
      <c r="AJ586" s="2847"/>
      <c r="AK586" s="2847"/>
      <c r="AL586" s="2847"/>
      <c r="AM586" s="2847"/>
      <c r="AN586" s="2847"/>
      <c r="AO586" s="2847"/>
      <c r="AP586" s="2847"/>
      <c r="AQ586" s="2847"/>
      <c r="AR586" s="2847"/>
      <c r="AS586" s="2847"/>
      <c r="AT586" s="2847"/>
      <c r="AU586" s="1177"/>
      <c r="AV586" s="790">
        <f t="shared" si="330"/>
        <v>0</v>
      </c>
      <c r="AW586" s="790">
        <f t="shared" si="331"/>
        <v>0</v>
      </c>
      <c r="AX586" s="790">
        <f t="shared" si="332"/>
        <v>0</v>
      </c>
      <c r="AY586" s="1069">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4">
        <f t="shared" si="354"/>
        <v>0</v>
      </c>
    </row>
    <row r="587" spans="1:72">
      <c r="A587" s="1134"/>
      <c r="B587" s="1134"/>
      <c r="C587" s="1134"/>
      <c r="D587" s="2827"/>
      <c r="E587" s="2828">
        <f t="shared" si="326"/>
        <v>0</v>
      </c>
      <c r="F587" s="2847"/>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7"/>
      <c r="AE587" s="2847"/>
      <c r="AF587" s="2847"/>
      <c r="AG587" s="2847"/>
      <c r="AH587" s="2847"/>
      <c r="AI587" s="2847"/>
      <c r="AJ587" s="2847"/>
      <c r="AK587" s="2847"/>
      <c r="AL587" s="2847"/>
      <c r="AM587" s="2847"/>
      <c r="AN587" s="2847"/>
      <c r="AO587" s="2847"/>
      <c r="AP587" s="2847"/>
      <c r="AQ587" s="2847"/>
      <c r="AR587" s="2847"/>
      <c r="AS587" s="2847"/>
      <c r="AT587" s="2847"/>
      <c r="AU587" s="1177"/>
      <c r="AV587" s="790">
        <f t="shared" si="330"/>
        <v>0</v>
      </c>
      <c r="AW587" s="790">
        <f t="shared" si="331"/>
        <v>0</v>
      </c>
      <c r="AX587" s="790">
        <f t="shared" si="332"/>
        <v>0</v>
      </c>
      <c r="AY587" s="1069">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4">
        <f t="shared" si="354"/>
        <v>0</v>
      </c>
    </row>
    <row r="588" spans="1:72">
      <c r="E588" s="2876"/>
      <c r="F588" s="2876"/>
      <c r="H588" s="2876"/>
      <c r="I588" s="2876"/>
      <c r="J588" s="2876"/>
      <c r="K588" s="2876"/>
      <c r="L588" s="2876"/>
      <c r="M588" s="2876"/>
      <c r="N588" s="2876"/>
      <c r="O588" s="2876"/>
      <c r="P588" s="2876"/>
      <c r="Q588" s="2876"/>
      <c r="R588" s="2876"/>
      <c r="S588" s="2876"/>
      <c r="T588" s="2876"/>
      <c r="U588" s="2876"/>
      <c r="V588" s="2876"/>
      <c r="W588" s="2876"/>
      <c r="X588" s="2876"/>
      <c r="Y588" s="2876"/>
      <c r="Z588" s="2876"/>
      <c r="AA588" s="2876"/>
      <c r="AB588" s="2876"/>
      <c r="AC588" s="2876"/>
      <c r="AD588" s="2876"/>
      <c r="AE588" s="2876"/>
      <c r="AF588" s="2876"/>
      <c r="AG588" s="2876"/>
      <c r="AH588" s="2876"/>
      <c r="AI588" s="2876"/>
      <c r="AJ588" s="2876"/>
      <c r="AK588" s="2876"/>
      <c r="AL588" s="2876"/>
      <c r="AM588" s="2876"/>
      <c r="AN588" s="2876"/>
      <c r="AO588" s="2876"/>
      <c r="AP588" s="2876"/>
      <c r="AQ588" s="2876"/>
      <c r="AR588" s="2876"/>
      <c r="AS588" s="2876"/>
      <c r="AT588" s="2876"/>
    </row>
    <row r="589" spans="1:72" s="2799" customFormat="1">
      <c r="C589" s="2877"/>
      <c r="D589" s="2877"/>
    </row>
    <row r="590" spans="1:72" s="2799" customFormat="1">
      <c r="C590" s="2877"/>
      <c r="D590" s="2877"/>
    </row>
    <row r="593" spans="2:2">
      <c r="B593" s="2877"/>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G40" sqref="G40"/>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115" t="s">
        <v>571</v>
      </c>
      <c r="B1" s="2185"/>
      <c r="C1" s="2185"/>
      <c r="D1" s="2185"/>
      <c r="E1" s="2185"/>
      <c r="F1" s="2185"/>
      <c r="G1" s="2185"/>
      <c r="H1" s="2185"/>
      <c r="I1" s="2185"/>
      <c r="J1" s="2185"/>
      <c r="K1" s="2185"/>
      <c r="L1" s="2185"/>
      <c r="M1" s="2185"/>
      <c r="N1" s="2185"/>
      <c r="O1" s="2185"/>
      <c r="P1" s="2185"/>
    </row>
    <row r="2" spans="1:16" ht="14.4">
      <c r="A2" s="3278" t="s">
        <v>572</v>
      </c>
      <c r="B2" s="3278"/>
      <c r="C2" s="3278"/>
      <c r="D2" s="2424" t="s">
        <v>573</v>
      </c>
      <c r="E2" s="2734" t="s">
        <v>574</v>
      </c>
      <c r="F2" s="2597"/>
      <c r="G2" s="2735"/>
      <c r="H2" s="2736"/>
      <c r="I2" s="2333" t="s">
        <v>575</v>
      </c>
      <c r="J2" s="2597"/>
      <c r="K2" s="2597"/>
      <c r="L2" s="2597"/>
      <c r="M2" s="2597"/>
      <c r="N2" s="1071"/>
      <c r="O2" s="2597"/>
      <c r="P2" s="2597"/>
    </row>
    <row r="3" spans="1:16" ht="14.4">
      <c r="A3" s="3279" t="s">
        <v>576</v>
      </c>
      <c r="B3" s="3279"/>
      <c r="C3" s="3279"/>
      <c r="D3" s="2737">
        <f>'数据-基础表'!AY6</f>
        <v>0</v>
      </c>
      <c r="E3" s="2737">
        <f>'数据-基础表'!AZ5</f>
        <v>885.63</v>
      </c>
      <c r="F3" s="2597"/>
      <c r="G3" s="2738"/>
      <c r="H3" s="2137" t="s">
        <v>577</v>
      </c>
      <c r="I3" s="2103" t="e">
        <f>ROUND('数据-基础表'!B3/'数据-基础表'!A3,2)</f>
        <v>#DIV/0!</v>
      </c>
      <c r="J3" s="2597"/>
      <c r="K3" s="2597"/>
      <c r="L3" s="2597"/>
      <c r="M3" s="2597"/>
      <c r="N3" s="1071"/>
      <c r="O3" s="2597"/>
      <c r="P3" s="2597"/>
    </row>
    <row r="4" spans="1:16" ht="14.4">
      <c r="A4" s="3280"/>
      <c r="B4" s="3281"/>
      <c r="C4" s="3282"/>
      <c r="D4" s="2739" t="s">
        <v>573</v>
      </c>
      <c r="E4" s="2740" t="s">
        <v>574</v>
      </c>
      <c r="F4" s="2597"/>
      <c r="G4" s="2741" t="s">
        <v>578</v>
      </c>
      <c r="H4" s="2137" t="s">
        <v>579</v>
      </c>
      <c r="I4" s="2103" t="e">
        <f>ROUND(SUMIF('数据-基础表'!I9:AS9,"地上",'数据-基础表'!I5:AS5)/'数据-基础表'!A3,2)</f>
        <v>#DIV/0!</v>
      </c>
      <c r="J4" s="2597"/>
      <c r="K4" s="2597"/>
      <c r="L4" s="2597"/>
      <c r="M4" s="2597"/>
      <c r="N4" s="1071"/>
      <c r="O4" s="2597"/>
      <c r="P4" s="2597"/>
    </row>
    <row r="5" spans="1:16" ht="14.4">
      <c r="A5" s="2738" t="s">
        <v>580</v>
      </c>
      <c r="B5" s="3283" t="s">
        <v>581</v>
      </c>
      <c r="C5" s="3283"/>
      <c r="D5" s="2137">
        <f>ROUND($D$3*E5/$E$3,2)</f>
        <v>0</v>
      </c>
      <c r="E5" s="2742">
        <f>SUMIF('数据-基础表'!$11:$11,"住宅",'数据-基础表'!$5:$5)</f>
        <v>0</v>
      </c>
      <c r="F5" s="2597"/>
      <c r="G5" s="2738"/>
      <c r="H5" s="2137" t="s">
        <v>577</v>
      </c>
      <c r="I5" s="2103" t="e">
        <f>ROUND(E31/D31,2)</f>
        <v>#DIV/0!</v>
      </c>
      <c r="J5" s="2597"/>
      <c r="K5" s="2597"/>
      <c r="L5" s="2597"/>
      <c r="M5" s="2597"/>
      <c r="N5" s="2597"/>
      <c r="O5" s="2597"/>
      <c r="P5" s="2597"/>
    </row>
    <row r="6" spans="1:16" ht="14.4">
      <c r="A6" s="2743"/>
      <c r="B6" s="3283" t="s">
        <v>582</v>
      </c>
      <c r="C6" s="3283"/>
      <c r="D6" s="2137">
        <f>ROUND($D$3*E6/$E$3,2)</f>
        <v>0</v>
      </c>
      <c r="E6" s="2742">
        <f>E3-E5</f>
        <v>885.63</v>
      </c>
      <c r="F6" s="2597"/>
      <c r="G6" s="2744" t="s">
        <v>583</v>
      </c>
      <c r="H6" s="2745" t="s">
        <v>579</v>
      </c>
      <c r="I6" s="2784" t="e">
        <f>ROUND(F31/D31,2)</f>
        <v>#DIV/0!</v>
      </c>
      <c r="J6" s="2597"/>
      <c r="K6" s="2597"/>
      <c r="L6" s="2597"/>
      <c r="M6" s="2597"/>
      <c r="N6" s="2597"/>
      <c r="O6" s="2597"/>
      <c r="P6" s="2597"/>
    </row>
    <row r="7" spans="1:16" ht="14.4">
      <c r="A7" s="3269"/>
      <c r="B7" s="3270"/>
      <c r="C7" s="3271"/>
      <c r="D7" s="2739" t="s">
        <v>573</v>
      </c>
      <c r="E7" s="2746" t="s">
        <v>584</v>
      </c>
      <c r="F7" s="2597"/>
      <c r="G7" s="2747" t="s">
        <v>585</v>
      </c>
      <c r="H7" s="2714"/>
      <c r="I7" s="2785"/>
      <c r="J7" s="2786"/>
      <c r="K7" s="2597"/>
      <c r="L7" s="2597"/>
      <c r="M7" s="2597"/>
      <c r="N7" s="2597"/>
      <c r="O7" s="2597"/>
      <c r="P7" s="2597"/>
    </row>
    <row r="8" spans="1:16" ht="14.4">
      <c r="A8" s="2738" t="s">
        <v>586</v>
      </c>
      <c r="B8" s="2745" t="s">
        <v>587</v>
      </c>
      <c r="C8" s="2137" t="s">
        <v>588</v>
      </c>
      <c r="D8" s="2137">
        <f t="shared" ref="D8:D15" si="0">ROUND($D$3*E8/$E$3,2)</f>
        <v>0</v>
      </c>
      <c r="E8" s="2748">
        <f>SUMIF('数据-基础表'!BB10:BK10,"地上",'数据-基础表'!BB5:BK5)</f>
        <v>885.63</v>
      </c>
      <c r="F8" s="2597"/>
      <c r="G8" s="2597"/>
      <c r="H8" s="2597"/>
      <c r="I8" s="2597"/>
      <c r="J8" s="2597"/>
      <c r="K8" s="2597"/>
      <c r="L8" s="2597"/>
      <c r="M8" s="2597"/>
      <c r="N8" s="2597"/>
      <c r="O8" s="2597"/>
      <c r="P8" s="2597"/>
    </row>
    <row r="9" spans="1:16" ht="14.4">
      <c r="A9" s="2744"/>
      <c r="B9" s="2749"/>
      <c r="C9" s="2137" t="s">
        <v>589</v>
      </c>
      <c r="D9" s="2137">
        <f t="shared" si="0"/>
        <v>0</v>
      </c>
      <c r="E9" s="2750">
        <v>0</v>
      </c>
      <c r="F9" s="2597"/>
      <c r="G9" s="2597"/>
      <c r="H9" s="2597"/>
      <c r="I9" s="2597"/>
      <c r="J9" s="2597"/>
      <c r="K9" s="2597"/>
      <c r="L9" s="2597"/>
      <c r="M9" s="2597"/>
      <c r="N9" s="2597"/>
      <c r="O9" s="2597"/>
      <c r="P9" s="2597"/>
    </row>
    <row r="10" spans="1:16" ht="14.4">
      <c r="A10" s="2744"/>
      <c r="B10" s="2749"/>
      <c r="C10" s="2137" t="s">
        <v>590</v>
      </c>
      <c r="D10" s="2137">
        <f t="shared" si="0"/>
        <v>0</v>
      </c>
      <c r="E10" s="2748">
        <f>SUMPRODUCT(('数据-基础表'!BB10:BK10="地下")*('数据-基础表'!BB11:BK11="商业")*('数据-基础表'!BB5:BK5))</f>
        <v>0</v>
      </c>
      <c r="F10" s="2597"/>
      <c r="G10" s="2597"/>
      <c r="H10" s="2597"/>
      <c r="I10" s="2597"/>
      <c r="J10" s="2597"/>
      <c r="K10" s="2597"/>
      <c r="L10" s="2597"/>
      <c r="M10" s="2597"/>
      <c r="N10" s="2597"/>
      <c r="O10" s="2597"/>
      <c r="P10" s="2597"/>
    </row>
    <row r="11" spans="1:16" ht="14.4">
      <c r="A11" s="2744"/>
      <c r="B11" s="2749"/>
      <c r="C11" s="2137" t="s">
        <v>591</v>
      </c>
      <c r="D11" s="2137">
        <f t="shared" si="0"/>
        <v>0</v>
      </c>
      <c r="E11" s="274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44"/>
      <c r="B12" s="2749"/>
      <c r="C12" s="2137" t="s">
        <v>592</v>
      </c>
      <c r="D12" s="2137">
        <f t="shared" si="0"/>
        <v>0</v>
      </c>
      <c r="E12" s="2748">
        <f>SUMPRODUCT(('数据-基础表'!BB10:BK10="地下")*('数据-基础表'!BB11:BK11="仓储")*('数据-基础表'!BB5:BK5))</f>
        <v>0</v>
      </c>
      <c r="F12" s="2597"/>
      <c r="G12" s="2597"/>
      <c r="H12" s="2597"/>
      <c r="I12" s="2597"/>
      <c r="J12" s="2597"/>
      <c r="K12" s="2597"/>
      <c r="L12" s="2597"/>
      <c r="M12" s="2597"/>
      <c r="N12" s="2597"/>
      <c r="O12" s="2597"/>
      <c r="P12" s="2597"/>
    </row>
    <row r="13" spans="1:16" ht="14.4">
      <c r="A13" s="2744"/>
      <c r="B13" s="2749"/>
      <c r="C13" s="2137" t="s">
        <v>593</v>
      </c>
      <c r="D13" s="2137">
        <f t="shared" si="0"/>
        <v>0</v>
      </c>
      <c r="E13" s="2748">
        <f>SUMPRODUCT(('数据-基础表'!BB10:BK10="地下")*('数据-基础表'!BB11:BK11="车库")*('数据-基础表'!BB5:BK5))</f>
        <v>0</v>
      </c>
      <c r="F13" s="2597"/>
      <c r="G13" s="2597"/>
      <c r="H13" s="2597"/>
      <c r="I13" s="2597"/>
      <c r="J13" s="2597"/>
      <c r="K13" s="2597"/>
      <c r="L13" s="2597"/>
      <c r="M13" s="2597"/>
      <c r="N13" s="2597"/>
      <c r="O13" s="2597"/>
      <c r="P13" s="2597"/>
    </row>
    <row r="14" spans="1:16" ht="14.4">
      <c r="A14" s="2744"/>
      <c r="B14" s="2749"/>
      <c r="C14" s="2137" t="s">
        <v>594</v>
      </c>
      <c r="D14" s="2137">
        <f t="shared" si="0"/>
        <v>0</v>
      </c>
      <c r="E14" s="2748">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44"/>
      <c r="B15" s="2749"/>
      <c r="C15" s="2137" t="s">
        <v>595</v>
      </c>
      <c r="D15" s="2137">
        <f t="shared" si="0"/>
        <v>0</v>
      </c>
      <c r="E15" s="2748">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43"/>
      <c r="B16" s="2749"/>
      <c r="C16" s="2745" t="s">
        <v>596</v>
      </c>
      <c r="D16" s="2745">
        <f>SUM(D8:D15)</f>
        <v>0</v>
      </c>
      <c r="E16" s="2751">
        <f>SUM(E8:E15)</f>
        <v>885.63</v>
      </c>
      <c r="F16" s="2597"/>
      <c r="G16" s="2597"/>
      <c r="H16" s="2752" t="s">
        <v>597</v>
      </c>
      <c r="I16" s="2787"/>
      <c r="J16" s="2185"/>
      <c r="K16" s="3272" t="s">
        <v>597</v>
      </c>
      <c r="L16" s="3273"/>
      <c r="M16" s="3273"/>
      <c r="N16" s="3273"/>
      <c r="O16" s="3273"/>
      <c r="P16" s="3274"/>
    </row>
    <row r="17" spans="1:19" ht="14.4">
      <c r="A17" s="2705" t="s">
        <v>598</v>
      </c>
      <c r="B17" s="2753" t="s">
        <v>599</v>
      </c>
      <c r="C17" s="2158" t="s">
        <v>600</v>
      </c>
      <c r="D17" s="2754" t="s">
        <v>573</v>
      </c>
      <c r="E17" s="2755" t="s">
        <v>574</v>
      </c>
      <c r="F17" s="2756"/>
      <c r="G17" s="2757"/>
      <c r="H17" s="2758" t="s">
        <v>601</v>
      </c>
      <c r="I17" s="2788" t="s">
        <v>602</v>
      </c>
      <c r="J17" s="2185"/>
      <c r="K17" s="3275" t="s">
        <v>603</v>
      </c>
      <c r="L17" s="3276"/>
      <c r="M17" s="3277"/>
      <c r="N17" s="3275" t="s">
        <v>604</v>
      </c>
      <c r="O17" s="3276"/>
      <c r="P17" s="3277"/>
      <c r="R17" s="2458" t="s">
        <v>605</v>
      </c>
      <c r="S17" s="2127"/>
    </row>
    <row r="18" spans="1:19" ht="14.4">
      <c r="A18" s="2744"/>
      <c r="B18" s="2759"/>
      <c r="C18" s="2130"/>
      <c r="D18" s="2760"/>
      <c r="E18" s="2761" t="s">
        <v>606</v>
      </c>
      <c r="F18" s="2762" t="s">
        <v>579</v>
      </c>
      <c r="G18" s="2763" t="s">
        <v>607</v>
      </c>
      <c r="H18" s="2709" t="s">
        <v>608</v>
      </c>
      <c r="I18" s="2789" t="s">
        <v>609</v>
      </c>
      <c r="J18" s="2185"/>
      <c r="K18" s="2709" t="s">
        <v>610</v>
      </c>
      <c r="L18" s="2346" t="s">
        <v>611</v>
      </c>
      <c r="M18" s="2103" t="s">
        <v>612</v>
      </c>
      <c r="N18" s="2709" t="s">
        <v>610</v>
      </c>
      <c r="O18" s="2346" t="s">
        <v>611</v>
      </c>
      <c r="P18" s="2103" t="s">
        <v>612</v>
      </c>
      <c r="R18" s="2137" t="s">
        <v>608</v>
      </c>
      <c r="S18" s="2137" t="s">
        <v>609</v>
      </c>
    </row>
    <row r="19" spans="1:19" ht="14.4">
      <c r="A19" s="2764"/>
      <c r="B19" s="2745" t="s">
        <v>613</v>
      </c>
      <c r="C19" s="2767">
        <v>110</v>
      </c>
      <c r="D19" s="2137">
        <f>ROUND($D$3*E19/$E$3,2)</f>
        <v>0</v>
      </c>
      <c r="E19" s="2766">
        <f t="shared" ref="E19:E26" si="1">SUM(F19:G19)</f>
        <v>355.32</v>
      </c>
      <c r="F19" s="2767">
        <f>'数据-基础表'!I13</f>
        <v>355.32</v>
      </c>
      <c r="G19" s="2171">
        <f>'数据-基础表'!K13</f>
        <v>0</v>
      </c>
      <c r="H19" s="2696">
        <f>ROUND($D$3*I19/$E$3,2)</f>
        <v>0</v>
      </c>
      <c r="I19" s="2748">
        <f t="shared" ref="I19:I26" si="2">IF($I$17="自定义",P19,M19)</f>
        <v>0</v>
      </c>
      <c r="J19" s="2185"/>
      <c r="K19" s="2696">
        <f t="shared" ref="K19:K26" si="3">ROUND(E$28*E19/E$27,2)</f>
        <v>0</v>
      </c>
      <c r="L19" s="2137">
        <f t="shared" ref="L19:L26" si="4">ROUND(IF(COUNTIF(C19,"*住宅*")&gt;0,E$29*E19/E$32,0),2)</f>
        <v>0</v>
      </c>
      <c r="M19" s="2748">
        <f>K19+L19</f>
        <v>0</v>
      </c>
      <c r="N19" s="2790"/>
      <c r="O19" s="2791"/>
      <c r="P19" s="2748">
        <f>N19+O19</f>
        <v>0</v>
      </c>
      <c r="R19" s="2137">
        <f t="shared" ref="R19:S26" si="5">D19+H19</f>
        <v>0</v>
      </c>
      <c r="S19" s="2766">
        <f t="shared" si="5"/>
        <v>355.32</v>
      </c>
    </row>
    <row r="20" spans="1:19" ht="14.4">
      <c r="A20" s="2764"/>
      <c r="B20" s="2745" t="s">
        <v>613</v>
      </c>
      <c r="C20" s="2765">
        <v>111</v>
      </c>
      <c r="D20" s="2137">
        <f t="shared" ref="D20:D26" si="6">ROUND($D$3*E20/$E$3,2)</f>
        <v>0</v>
      </c>
      <c r="E20" s="2766">
        <f t="shared" si="1"/>
        <v>374.94</v>
      </c>
      <c r="F20" s="2767">
        <f>'数据-基础表'!I14</f>
        <v>374.94</v>
      </c>
      <c r="G20" s="2171"/>
      <c r="H20" s="2696">
        <f t="shared" ref="H20:H26" si="7">ROUND($D$3*I20/$E$3,2)</f>
        <v>0</v>
      </c>
      <c r="I20" s="2748">
        <f t="shared" si="2"/>
        <v>0</v>
      </c>
      <c r="J20" s="2185"/>
      <c r="K20" s="2696">
        <f t="shared" si="3"/>
        <v>0</v>
      </c>
      <c r="L20" s="2137">
        <f t="shared" si="4"/>
        <v>0</v>
      </c>
      <c r="M20" s="2748">
        <f t="shared" ref="M20:M26" si="8">K20+L20</f>
        <v>0</v>
      </c>
      <c r="N20" s="2790"/>
      <c r="O20" s="2791"/>
      <c r="P20" s="2748">
        <f t="shared" ref="P20:P26" si="9">N20+O20</f>
        <v>0</v>
      </c>
      <c r="R20" s="2137">
        <f t="shared" si="5"/>
        <v>0</v>
      </c>
      <c r="S20" s="2766">
        <f t="shared" si="5"/>
        <v>374.94</v>
      </c>
    </row>
    <row r="21" spans="1:19" ht="14.4">
      <c r="A21" s="2764"/>
      <c r="B21" s="2745" t="s">
        <v>613</v>
      </c>
      <c r="C21" s="2765">
        <v>112</v>
      </c>
      <c r="D21" s="2137">
        <f t="shared" si="6"/>
        <v>0</v>
      </c>
      <c r="E21" s="2766">
        <f t="shared" si="1"/>
        <v>155.37</v>
      </c>
      <c r="F21" s="2767">
        <f>'数据-基础表'!I15</f>
        <v>155.37</v>
      </c>
      <c r="G21" s="2171"/>
      <c r="H21" s="2696">
        <f t="shared" si="7"/>
        <v>0</v>
      </c>
      <c r="I21" s="2748">
        <f t="shared" si="2"/>
        <v>0</v>
      </c>
      <c r="J21" s="2185"/>
      <c r="K21" s="2696">
        <f t="shared" si="3"/>
        <v>0</v>
      </c>
      <c r="L21" s="2137">
        <f t="shared" si="4"/>
        <v>0</v>
      </c>
      <c r="M21" s="2748">
        <f t="shared" si="8"/>
        <v>0</v>
      </c>
      <c r="N21" s="2790"/>
      <c r="O21" s="2791"/>
      <c r="P21" s="2748">
        <f t="shared" si="9"/>
        <v>0</v>
      </c>
      <c r="R21" s="2137">
        <f t="shared" si="5"/>
        <v>0</v>
      </c>
      <c r="S21" s="2766">
        <f t="shared" si="5"/>
        <v>155.37</v>
      </c>
    </row>
    <row r="22" spans="1:19" ht="14.4">
      <c r="A22" s="2764"/>
      <c r="B22" s="2745" t="s">
        <v>613</v>
      </c>
      <c r="C22" s="2768"/>
      <c r="D22" s="2137">
        <f t="shared" si="6"/>
        <v>0</v>
      </c>
      <c r="E22" s="2766">
        <f t="shared" si="1"/>
        <v>0</v>
      </c>
      <c r="F22" s="2769"/>
      <c r="G22" s="2770"/>
      <c r="H22" s="2696">
        <f t="shared" si="7"/>
        <v>0</v>
      </c>
      <c r="I22" s="2748">
        <f t="shared" si="2"/>
        <v>0</v>
      </c>
      <c r="J22" s="2185"/>
      <c r="K22" s="2696">
        <f t="shared" si="3"/>
        <v>0</v>
      </c>
      <c r="L22" s="2137">
        <f t="shared" si="4"/>
        <v>0</v>
      </c>
      <c r="M22" s="2748">
        <f t="shared" si="8"/>
        <v>0</v>
      </c>
      <c r="N22" s="2790"/>
      <c r="O22" s="2791"/>
      <c r="P22" s="2748">
        <f t="shared" si="9"/>
        <v>0</v>
      </c>
      <c r="R22" s="2137">
        <f t="shared" si="5"/>
        <v>0</v>
      </c>
      <c r="S22" s="2766">
        <f t="shared" si="5"/>
        <v>0</v>
      </c>
    </row>
    <row r="23" spans="1:19" ht="14.4">
      <c r="A23" s="2764"/>
      <c r="B23" s="2745" t="s">
        <v>613</v>
      </c>
      <c r="C23" s="2768"/>
      <c r="D23" s="2137">
        <f t="shared" si="6"/>
        <v>0</v>
      </c>
      <c r="E23" s="2766">
        <f t="shared" si="1"/>
        <v>0</v>
      </c>
      <c r="F23" s="2769"/>
      <c r="G23" s="2770"/>
      <c r="H23" s="2696">
        <f t="shared" si="7"/>
        <v>0</v>
      </c>
      <c r="I23" s="2748">
        <f t="shared" si="2"/>
        <v>0</v>
      </c>
      <c r="J23" s="2185"/>
      <c r="K23" s="2696">
        <f t="shared" si="3"/>
        <v>0</v>
      </c>
      <c r="L23" s="2137">
        <f t="shared" si="4"/>
        <v>0</v>
      </c>
      <c r="M23" s="2748">
        <f t="shared" si="8"/>
        <v>0</v>
      </c>
      <c r="N23" s="2790"/>
      <c r="O23" s="2791"/>
      <c r="P23" s="2748">
        <f t="shared" si="9"/>
        <v>0</v>
      </c>
      <c r="R23" s="2137">
        <f t="shared" si="5"/>
        <v>0</v>
      </c>
      <c r="S23" s="2766">
        <f t="shared" si="5"/>
        <v>0</v>
      </c>
    </row>
    <row r="24" spans="1:19" ht="14.4">
      <c r="A24" s="2764"/>
      <c r="B24" s="2745" t="s">
        <v>613</v>
      </c>
      <c r="C24" s="2768"/>
      <c r="D24" s="2137">
        <f t="shared" si="6"/>
        <v>0</v>
      </c>
      <c r="E24" s="2766">
        <f t="shared" si="1"/>
        <v>0</v>
      </c>
      <c r="F24" s="2769"/>
      <c r="G24" s="2770"/>
      <c r="H24" s="2696">
        <f t="shared" si="7"/>
        <v>0</v>
      </c>
      <c r="I24" s="2748">
        <f t="shared" si="2"/>
        <v>0</v>
      </c>
      <c r="J24" s="2185"/>
      <c r="K24" s="2696">
        <f t="shared" si="3"/>
        <v>0</v>
      </c>
      <c r="L24" s="2137">
        <f t="shared" si="4"/>
        <v>0</v>
      </c>
      <c r="M24" s="2748">
        <f t="shared" si="8"/>
        <v>0</v>
      </c>
      <c r="N24" s="2790"/>
      <c r="O24" s="2791"/>
      <c r="P24" s="2748">
        <f t="shared" si="9"/>
        <v>0</v>
      </c>
      <c r="R24" s="2137">
        <f t="shared" si="5"/>
        <v>0</v>
      </c>
      <c r="S24" s="2766">
        <f t="shared" si="5"/>
        <v>0</v>
      </c>
    </row>
    <row r="25" spans="1:19" ht="14.4">
      <c r="A25" s="2764"/>
      <c r="B25" s="2745" t="s">
        <v>613</v>
      </c>
      <c r="C25" s="2768"/>
      <c r="D25" s="2137">
        <f t="shared" si="6"/>
        <v>0</v>
      </c>
      <c r="E25" s="2766">
        <f t="shared" si="1"/>
        <v>0</v>
      </c>
      <c r="F25" s="2769"/>
      <c r="G25" s="2770"/>
      <c r="H25" s="2738">
        <f t="shared" si="7"/>
        <v>0</v>
      </c>
      <c r="I25" s="2748">
        <f t="shared" si="2"/>
        <v>0</v>
      </c>
      <c r="J25" s="2185"/>
      <c r="K25" s="2696">
        <f t="shared" si="3"/>
        <v>0</v>
      </c>
      <c r="L25" s="2137">
        <f t="shared" si="4"/>
        <v>0</v>
      </c>
      <c r="M25" s="2748">
        <f t="shared" si="8"/>
        <v>0</v>
      </c>
      <c r="N25" s="2790"/>
      <c r="O25" s="2791"/>
      <c r="P25" s="2748">
        <f t="shared" si="9"/>
        <v>0</v>
      </c>
      <c r="R25" s="2137">
        <f t="shared" si="5"/>
        <v>0</v>
      </c>
      <c r="S25" s="2766">
        <f t="shared" si="5"/>
        <v>0</v>
      </c>
    </row>
    <row r="26" spans="1:19" ht="14.4">
      <c r="A26" s="2764"/>
      <c r="B26" s="2745" t="s">
        <v>613</v>
      </c>
      <c r="C26" s="2771"/>
      <c r="D26" s="2137">
        <f t="shared" si="6"/>
        <v>0</v>
      </c>
      <c r="E26" s="2766">
        <f t="shared" si="1"/>
        <v>0</v>
      </c>
      <c r="F26" s="2769"/>
      <c r="G26" s="2770"/>
      <c r="H26" s="2738">
        <f t="shared" si="7"/>
        <v>0</v>
      </c>
      <c r="I26" s="2748">
        <f t="shared" si="2"/>
        <v>0</v>
      </c>
      <c r="J26" s="2185"/>
      <c r="K26" s="2738">
        <f t="shared" si="3"/>
        <v>0</v>
      </c>
      <c r="L26" s="2745">
        <f t="shared" si="4"/>
        <v>0</v>
      </c>
      <c r="M26" s="2751">
        <f t="shared" si="8"/>
        <v>0</v>
      </c>
      <c r="N26" s="2792"/>
      <c r="O26" s="2793"/>
      <c r="P26" s="2751">
        <f t="shared" si="9"/>
        <v>0</v>
      </c>
      <c r="R26" s="2137">
        <f t="shared" si="5"/>
        <v>0</v>
      </c>
      <c r="S26" s="2766">
        <f t="shared" si="5"/>
        <v>0</v>
      </c>
    </row>
    <row r="27" spans="1:19" ht="14.4">
      <c r="A27" s="2764"/>
      <c r="B27" s="2137"/>
      <c r="C27" s="2336" t="s">
        <v>614</v>
      </c>
      <c r="D27" s="2772">
        <f>SUM(D19:D26)</f>
        <v>0</v>
      </c>
      <c r="E27" s="2773">
        <f>IF(SUM(E19:E26)='数据-基础表'!BA5,SUM(E19:E26),IF(F27="地上面积有误","面积有误","地下面积有误"))</f>
        <v>885.63</v>
      </c>
      <c r="F27" s="2772">
        <f>IF(SUM(F19:F26)=E8,SUM(F19:F26),"地上面积有误")</f>
        <v>885.63</v>
      </c>
      <c r="G27" s="2774">
        <f>SUM(G19:G26)</f>
        <v>0</v>
      </c>
      <c r="H27" s="2775">
        <f>SUM(H19:H26)</f>
        <v>0</v>
      </c>
      <c r="I27" s="2794">
        <f>SUM(I19:I26)</f>
        <v>0</v>
      </c>
      <c r="J27" s="2185"/>
      <c r="K27" s="2795">
        <f>SUM(K19:K26)</f>
        <v>0</v>
      </c>
      <c r="L27" s="2465">
        <f>SUM(L19:L26)</f>
        <v>0</v>
      </c>
      <c r="M27" s="2796">
        <f>SUM(M19:M26)</f>
        <v>0</v>
      </c>
      <c r="N27" s="2795">
        <f t="shared" ref="N27:P27" si="10">SUM(N19:N26)</f>
        <v>0</v>
      </c>
      <c r="O27" s="2465">
        <f t="shared" si="10"/>
        <v>0</v>
      </c>
      <c r="P27" s="2713">
        <f t="shared" si="10"/>
        <v>0</v>
      </c>
      <c r="R27" s="2728">
        <f>IF(SUM(R19:R26)=$D$3,SUM(R19:R26),SUM(R19:R26)&amp;"误差"&amp;ROUND(SUM(R19:R26)-$D$3,2))</f>
        <v>0</v>
      </c>
      <c r="S27" s="2137">
        <f>IF(SUM(S19:S26)=$E$3,SUM(S19:S26),SUM(S19:S26)&amp;"误差"&amp;ROUND(SUM(S19:S26)-E3,2))</f>
        <v>885.63</v>
      </c>
    </row>
    <row r="28" spans="1:19" ht="14.4">
      <c r="A28" s="2764"/>
      <c r="B28" s="2745" t="s">
        <v>615</v>
      </c>
      <c r="C28" s="2127" t="s">
        <v>616</v>
      </c>
      <c r="D28" s="2137">
        <f>ROUND($D$3*E28/$E$3,2)</f>
        <v>0</v>
      </c>
      <c r="E28" s="2766">
        <f>SUM(F28:G28)</f>
        <v>0</v>
      </c>
      <c r="F28" s="2127">
        <f>'数据-基础表'!BQ5+'数据-基础表'!BS5</f>
        <v>0</v>
      </c>
      <c r="G28" s="2482">
        <f>'数据-基础表'!BR5+'数据-基础表'!BT5</f>
        <v>0</v>
      </c>
      <c r="H28" s="2597"/>
      <c r="I28" s="2597"/>
      <c r="J28" s="2597"/>
      <c r="K28" s="2597"/>
      <c r="L28" s="2597"/>
      <c r="M28" s="2597"/>
      <c r="N28" s="2597"/>
      <c r="O28" s="2597"/>
      <c r="P28" s="2597"/>
    </row>
    <row r="29" spans="1:19" ht="14.4">
      <c r="A29" s="2764"/>
      <c r="B29" s="2745" t="s">
        <v>615</v>
      </c>
      <c r="C29" s="2183" t="s">
        <v>617</v>
      </c>
      <c r="D29" s="2137">
        <f>ROUND($D$3*E29/$E$3,2)</f>
        <v>0</v>
      </c>
      <c r="E29" s="2766">
        <f>SUM(F29:G29)</f>
        <v>0</v>
      </c>
      <c r="F29" s="2776">
        <f>'数据-基础表'!BM5+'数据-基础表'!BO5</f>
        <v>0</v>
      </c>
      <c r="G29" s="2751">
        <f>'数据-基础表'!BN5+'数据-基础表'!BP5</f>
        <v>0</v>
      </c>
      <c r="H29" s="2597"/>
      <c r="I29" s="2597"/>
      <c r="J29" s="2597"/>
      <c r="K29" s="2597"/>
      <c r="L29" s="2597"/>
      <c r="M29" s="2597"/>
      <c r="N29" s="2597"/>
      <c r="O29" s="2597"/>
      <c r="P29" s="2597"/>
    </row>
    <row r="30" spans="1:19" ht="14.4">
      <c r="A30" s="2764"/>
      <c r="B30" s="2745"/>
      <c r="C30" s="2777" t="s">
        <v>614</v>
      </c>
      <c r="D30" s="2772">
        <f>SUM(D28:D29)</f>
        <v>0</v>
      </c>
      <c r="E30" s="2772">
        <f>SUM(E28:E29)</f>
        <v>0</v>
      </c>
      <c r="F30" s="2772">
        <f>SUM(F28:F29)</f>
        <v>0</v>
      </c>
      <c r="G30" s="2774">
        <f>SUM(G28:G29)</f>
        <v>0</v>
      </c>
      <c r="H30" s="2597"/>
      <c r="I30" s="2597"/>
      <c r="J30" s="2597"/>
      <c r="K30" s="2597"/>
      <c r="L30" s="2597"/>
      <c r="M30" s="2597"/>
      <c r="N30" s="2597"/>
      <c r="O30" s="2597"/>
      <c r="P30" s="2597"/>
    </row>
    <row r="31" spans="1:19" ht="14.4">
      <c r="A31" s="2778"/>
      <c r="B31" s="2704"/>
      <c r="C31" s="2465" t="s">
        <v>618</v>
      </c>
      <c r="D31" s="2779">
        <f>D27+D30</f>
        <v>0</v>
      </c>
      <c r="E31" s="2779">
        <f>E27+E30</f>
        <v>885.63</v>
      </c>
      <c r="F31" s="2780">
        <f>F27+F30</f>
        <v>885.63</v>
      </c>
      <c r="G31" s="2781">
        <f>G27+G30</f>
        <v>0</v>
      </c>
      <c r="H31" s="2597"/>
      <c r="I31" s="2597"/>
      <c r="J31" s="2597"/>
      <c r="K31" s="2597"/>
      <c r="L31" s="2597"/>
      <c r="M31" s="2597"/>
      <c r="N31" s="2597"/>
      <c r="O31" s="2597"/>
      <c r="P31" s="2597"/>
    </row>
    <row r="32" spans="1:19" ht="14.4">
      <c r="A32" s="2759"/>
      <c r="B32" s="2759" t="s">
        <v>619</v>
      </c>
      <c r="C32" s="2759"/>
      <c r="D32" s="2759"/>
      <c r="E32" s="2782">
        <f>SUMIF(C19:C26,"*住宅*",E19:E26)</f>
        <v>0</v>
      </c>
      <c r="F32" s="2759"/>
      <c r="G32" s="2759"/>
      <c r="H32" s="2597"/>
      <c r="I32" s="2597"/>
      <c r="J32" s="2597"/>
      <c r="K32" s="2597"/>
      <c r="L32" s="2597"/>
      <c r="M32" s="2597"/>
      <c r="N32" s="2597"/>
      <c r="O32" s="2597"/>
      <c r="P32" s="2597"/>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U12" sqref="U12"/>
    </sheetView>
  </sheetViews>
  <sheetFormatPr defaultColWidth="13.77734375" defaultRowHeight="13.2"/>
  <cols>
    <col min="1" max="1" width="20.88671875" style="2561" customWidth="1"/>
    <col min="2" max="2" width="12" style="2114" customWidth="1"/>
    <col min="3" max="3" width="12.77734375" style="2114" customWidth="1"/>
    <col min="4" max="4" width="9.109375" style="2562" customWidth="1"/>
    <col min="5" max="5" width="15" style="2114" customWidth="1"/>
    <col min="6" max="10" width="8.88671875" style="2114" customWidth="1"/>
    <col min="11" max="12" width="12.33203125" style="2563" customWidth="1"/>
    <col min="13" max="13" width="8.6640625" style="2114" customWidth="1"/>
    <col min="14" max="14" width="11.88671875" style="2114" customWidth="1"/>
    <col min="15" max="15" width="8.44140625" style="2114" customWidth="1"/>
    <col min="16" max="17" width="10.88671875" style="2114" customWidth="1"/>
    <col min="18" max="19" width="12.44140625" style="2114" customWidth="1"/>
    <col min="20" max="20" width="12.109375" style="2114" customWidth="1"/>
    <col min="21" max="21" width="7.44140625" style="2114" customWidth="1"/>
    <col min="22" max="22" width="6.33203125" style="2114" customWidth="1"/>
    <col min="23" max="23" width="9.44140625" style="2114" customWidth="1"/>
    <col min="24" max="30" width="6.77734375" style="2114" customWidth="1"/>
    <col min="31" max="31" width="8" style="2114" customWidth="1"/>
    <col min="32" max="34" width="7.21875" style="2114" customWidth="1"/>
    <col min="35" max="39" width="8" style="2114" customWidth="1"/>
    <col min="40" max="40" width="13.77734375" style="1416"/>
    <col min="41" max="41" width="11.6640625" style="1416" customWidth="1"/>
    <col min="42" max="42" width="9.77734375" style="1416" customWidth="1"/>
    <col min="43" max="67" width="13.77734375" style="1416"/>
    <col min="68" max="16384" width="13.77734375" style="2114"/>
  </cols>
  <sheetData>
    <row r="1" spans="1:67" ht="17.399999999999999">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4.4">
      <c r="A2" s="2566" t="s">
        <v>621</v>
      </c>
      <c r="B2" s="2567">
        <f>项目基本情况!D3</f>
        <v>45839</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324" t="s">
        <v>622</v>
      </c>
      <c r="B4" s="2144"/>
      <c r="C4" s="2570"/>
      <c r="D4" s="2571"/>
      <c r="E4" s="2570" t="s">
        <v>623</v>
      </c>
      <c r="F4" s="2570"/>
      <c r="G4" s="2570"/>
      <c r="H4" s="2570"/>
      <c r="I4" s="2570"/>
      <c r="J4" s="2181"/>
      <c r="K4" s="2659"/>
      <c r="L4" s="2660"/>
      <c r="M4" s="2570"/>
      <c r="N4" s="2570" t="s">
        <v>624</v>
      </c>
      <c r="O4" s="2570"/>
      <c r="P4" s="2570"/>
      <c r="Q4" s="2570"/>
      <c r="R4" s="2570"/>
      <c r="S4" s="2181"/>
      <c r="T4" s="2681" t="str">
        <f>'数据-汇总表'!I17</f>
        <v>按面积比例</v>
      </c>
      <c r="U4" s="2144" t="s">
        <v>625</v>
      </c>
      <c r="V4" s="2570"/>
      <c r="W4" s="2570"/>
      <c r="X4" s="2570"/>
      <c r="Y4" s="2181"/>
      <c r="Z4" s="2158" t="s">
        <v>626</v>
      </c>
      <c r="AA4" s="2158"/>
      <c r="AB4" s="2158"/>
      <c r="AC4" s="2158"/>
      <c r="AD4" s="2158"/>
      <c r="AE4" s="2705" t="s">
        <v>627</v>
      </c>
      <c r="AF4" s="2158"/>
      <c r="AG4" s="2715"/>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600</v>
      </c>
      <c r="B5" s="2573" t="s">
        <v>599</v>
      </c>
      <c r="C5" s="2574" t="s">
        <v>628</v>
      </c>
      <c r="D5" s="2575" t="s">
        <v>629</v>
      </c>
      <c r="E5" s="1165" t="s">
        <v>630</v>
      </c>
      <c r="F5" s="2576" t="s">
        <v>631</v>
      </c>
      <c r="G5" s="1165" t="s">
        <v>632</v>
      </c>
      <c r="H5" s="1165" t="s">
        <v>633</v>
      </c>
      <c r="I5" s="1165" t="s">
        <v>634</v>
      </c>
      <c r="J5" s="1226" t="s">
        <v>635</v>
      </c>
      <c r="K5" s="2661" t="s">
        <v>609</v>
      </c>
      <c r="L5" s="2662" t="s">
        <v>636</v>
      </c>
      <c r="M5" s="2663" t="s">
        <v>637</v>
      </c>
      <c r="N5" s="2664" t="s">
        <v>638</v>
      </c>
      <c r="O5" s="2662" t="s">
        <v>639</v>
      </c>
      <c r="P5" s="2665" t="s">
        <v>640</v>
      </c>
      <c r="Q5" s="1232" t="s">
        <v>641</v>
      </c>
      <c r="R5" s="2682" t="s">
        <v>642</v>
      </c>
      <c r="S5" s="2683" t="s">
        <v>643</v>
      </c>
      <c r="T5" s="2684" t="s">
        <v>644</v>
      </c>
      <c r="U5" s="2685" t="s">
        <v>645</v>
      </c>
      <c r="V5" s="1165" t="s">
        <v>646</v>
      </c>
      <c r="W5" s="1165" t="s">
        <v>647</v>
      </c>
      <c r="X5" s="936"/>
      <c r="Y5" s="938" t="s">
        <v>648</v>
      </c>
      <c r="Z5" s="1131" t="s">
        <v>645</v>
      </c>
      <c r="AA5" s="1165" t="s">
        <v>646</v>
      </c>
      <c r="AB5" s="1165" t="s">
        <v>647</v>
      </c>
      <c r="AC5" s="936"/>
      <c r="AD5" s="936" t="s">
        <v>648</v>
      </c>
      <c r="AE5" s="2685" t="s">
        <v>649</v>
      </c>
      <c r="AF5" s="1165" t="s">
        <v>650</v>
      </c>
      <c r="AG5" s="938" t="s">
        <v>651</v>
      </c>
      <c r="AH5" s="2685" t="s">
        <v>652</v>
      </c>
      <c r="AI5" s="1131" t="s">
        <v>653</v>
      </c>
      <c r="AJ5" s="1131" t="s">
        <v>654</v>
      </c>
      <c r="AK5" s="1165" t="s">
        <v>655</v>
      </c>
      <c r="AL5" s="1165" t="s">
        <v>656</v>
      </c>
      <c r="AM5" s="938" t="s">
        <v>657</v>
      </c>
      <c r="AN5" s="2716" t="s">
        <v>658</v>
      </c>
      <c r="AO5" s="2727" t="s">
        <v>659</v>
      </c>
      <c r="AP5" s="2728" t="s">
        <v>660</v>
      </c>
      <c r="AQ5" s="2729" t="s">
        <v>661</v>
      </c>
      <c r="AR5" s="2729"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3.8">
      <c r="A6" s="2577">
        <f>'数据-汇总表'!C19</f>
        <v>110</v>
      </c>
      <c r="B6" s="2578" t="str">
        <f>IF(A6=0,"","经营性")</f>
        <v>经营性</v>
      </c>
      <c r="C6" s="2579" t="s">
        <v>1923</v>
      </c>
      <c r="D6" s="2580">
        <f>SUMIF(项目基本情况!C$12:I$12,C6,项目基本情况!C$14:I$14)</f>
        <v>40</v>
      </c>
      <c r="E6" s="2581">
        <f>IF(B6="","",SUMIF(项目基本情况!C$12:I$12,C6,项目基本情况!C$13:I$13))</f>
        <v>55985</v>
      </c>
      <c r="F6" s="2582">
        <f>SUMIF(项目基本情况!C$12:I$12,C6,项目基本情况!C$15:I$15)</f>
        <v>27.79</v>
      </c>
      <c r="G6" s="2583">
        <f>IF(ISERROR(ROUND(POWER(1+H6,D6-F6)*(POWER(1+H6,F6)-1)/(POWER(1+H6,D6)-1),3)),0,ROUND(POWER(1+H6,D6-F6)*(POWER(1+H6,F6)-1)/(POWER(1+H6,D6)-1),3))</f>
        <v>0.86499999999999999</v>
      </c>
      <c r="H6" s="2584">
        <v>0.05</v>
      </c>
      <c r="I6" s="2584">
        <v>5.5E-2</v>
      </c>
      <c r="J6" s="2585">
        <v>7.0000000000000007E-2</v>
      </c>
      <c r="K6" s="2666">
        <f>SUMIF('数据-汇总表'!C$19:C$33,A6,'数据-汇总表'!E$19:E$33)</f>
        <v>355.32</v>
      </c>
      <c r="L6" s="2667">
        <v>4000</v>
      </c>
      <c r="M6" s="2668">
        <f t="shared" ref="M6:M14" si="0">ROUND(K6*L6/10000,0)</f>
        <v>142</v>
      </c>
      <c r="N6" s="2669">
        <f>N18</f>
        <v>0.83</v>
      </c>
      <c r="O6" s="2668" t="str">
        <f>IF($N$5="成新度","——",ROUND(M6*N6,0))</f>
        <v>——</v>
      </c>
      <c r="P6" s="1072" t="str">
        <f>IF($N$5="成新度","——",M6-O6)</f>
        <v>——</v>
      </c>
      <c r="Q6" s="2686">
        <v>0.15</v>
      </c>
      <c r="R6" s="2687">
        <f ca="1">SUMIF('数据-汇总表'!C$19:C$33,A6,'数据-汇总表'!R$19:R$27)</f>
        <v>0</v>
      </c>
      <c r="S6" s="2688">
        <f>IF('数据-汇总表'!$I$17="按面积比例",SUMIF('数据-汇总表'!C$19:C$33,A6,'数据-汇总表'!K$19:K$33),SUMIF('数据-汇总表'!C$19:C$33,A6,'数据-汇总表'!N$19:N$33))</f>
        <v>0</v>
      </c>
      <c r="T6" s="2689">
        <f>ROUND($L$14*S6/10000,0)</f>
        <v>0</v>
      </c>
      <c r="U6" s="2690">
        <v>4.55</v>
      </c>
      <c r="V6" s="2691">
        <v>0.02</v>
      </c>
      <c r="W6" s="2691">
        <v>0.1</v>
      </c>
      <c r="X6" s="2692"/>
      <c r="Y6" s="2706">
        <f>N6</f>
        <v>0.83</v>
      </c>
      <c r="Z6" s="2707"/>
      <c r="AA6" s="2585"/>
      <c r="AB6" s="2585"/>
      <c r="AC6" s="2692"/>
      <c r="AD6" s="2708"/>
      <c r="AE6" s="2709">
        <f ca="1">IF(AN6="",0,SUMIF(INDIRECT("'"&amp;AN6&amp;"'"&amp;"!E:E"),$AE$5,INDIRECT("'"&amp;AN6&amp;"'"&amp;"!F:F")))</f>
        <v>27.79</v>
      </c>
      <c r="AF6" s="2124"/>
      <c r="AG6" s="1602">
        <f>IF(AF6="",0,AE6-AF6)</f>
        <v>0</v>
      </c>
      <c r="AH6" s="2717"/>
      <c r="AI6" s="2718">
        <v>365</v>
      </c>
      <c r="AJ6" s="2124"/>
      <c r="AK6" s="2719">
        <v>2E-3</v>
      </c>
      <c r="AL6" s="2720">
        <v>1E-3</v>
      </c>
      <c r="AM6" s="2721">
        <v>5.0000000000000001E-3</v>
      </c>
      <c r="AN6" s="2722" t="s">
        <v>266</v>
      </c>
      <c r="AO6" s="1126">
        <f ca="1">SUMIF(INDIRECT("'"&amp;AN6&amp;"'"&amp;"!A:A"),"总价",INDIRECT("'"&amp;AN6&amp;"'"&amp;"!B:B"))</f>
        <v>766.7989</v>
      </c>
      <c r="AP6" s="2730">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111</v>
      </c>
      <c r="B7" s="2578" t="str">
        <f t="shared" ref="B7:B13" si="1">IF(A7=0,"","经营性")</f>
        <v>经营性</v>
      </c>
      <c r="C7" s="2579" t="s">
        <v>1923</v>
      </c>
      <c r="D7" s="2580">
        <f>SUMIF(项目基本情况!C$12:I$12,C7,项目基本情况!C$14:I$14)</f>
        <v>40</v>
      </c>
      <c r="E7" s="2581">
        <f>IF(B7="","",SUMIF(项目基本情况!C$12:I$12,C7,项目基本情况!C$13:I$13))</f>
        <v>55985</v>
      </c>
      <c r="F7" s="2582">
        <f>SUMIF(项目基本情况!C$12:I$12,C7,项目基本情况!C$15:I$15)</f>
        <v>27.79</v>
      </c>
      <c r="G7" s="2583">
        <f t="shared" ref="G7:G13" si="2">IF(ISERROR(ROUND(POWER(1+H7,D7-F7)*(POWER(1+H7,F7)-1)/(POWER(1+H7,D7)-1),3)),0,ROUND(POWER(1+H7,D7-F7)*(POWER(1+H7,F7)-1)/(POWER(1+H7,D7)-1),3))</f>
        <v>0.86499999999999999</v>
      </c>
      <c r="H7" s="2584">
        <v>0.05</v>
      </c>
      <c r="I7" s="2584">
        <v>5.5E-2</v>
      </c>
      <c r="J7" s="2585">
        <v>7.0000000000000007E-2</v>
      </c>
      <c r="K7" s="2666">
        <f>SUMIF('数据-汇总表'!C$19:C$33,A7,'数据-汇总表'!E$19:E$33)</f>
        <v>374.94</v>
      </c>
      <c r="L7" s="2667">
        <f>L6</f>
        <v>4000</v>
      </c>
      <c r="M7" s="2668">
        <f t="shared" si="0"/>
        <v>150</v>
      </c>
      <c r="N7" s="2669">
        <f>N6</f>
        <v>0.83</v>
      </c>
      <c r="O7" s="2668" t="str">
        <f t="shared" ref="O7:O14" si="3">IF($N$5="成新度","——",ROUND(M7*N7,0))</f>
        <v>——</v>
      </c>
      <c r="P7" s="1072" t="str">
        <f t="shared" ref="P7:P14" si="4">IF($N$5="成新度","——",M7-O7)</f>
        <v>——</v>
      </c>
      <c r="Q7" s="2686">
        <f>Q6</f>
        <v>0.15</v>
      </c>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f>U6</f>
        <v>4.55</v>
      </c>
      <c r="V7" s="2691">
        <v>0.02</v>
      </c>
      <c r="W7" s="2691">
        <v>0.1</v>
      </c>
      <c r="X7" s="2692"/>
      <c r="Y7" s="2706">
        <f t="shared" ref="Y7:Y8" si="6">N7</f>
        <v>0.83</v>
      </c>
      <c r="Z7" s="2707"/>
      <c r="AA7" s="2585"/>
      <c r="AB7" s="2585"/>
      <c r="AC7" s="2692"/>
      <c r="AD7" s="2708"/>
      <c r="AE7" s="2709">
        <f t="shared" ref="AE7:AE13" ca="1" si="7">IF(AN7="",0,SUMIF(INDIRECT("'"&amp;AN7&amp;"'"&amp;"!E:E"),$AE$5,INDIRECT("'"&amp;AN7&amp;"'"&amp;"!F:F")))</f>
        <v>27.79</v>
      </c>
      <c r="AF7" s="2124"/>
      <c r="AG7" s="1602">
        <f t="shared" ref="AG7:AG13" si="8">IF(AF7="",0,AE7-AF7)</f>
        <v>0</v>
      </c>
      <c r="AH7" s="2717"/>
      <c r="AI7" s="2718">
        <v>365</v>
      </c>
      <c r="AJ7" s="2124"/>
      <c r="AK7" s="2719">
        <f>AK6</f>
        <v>2E-3</v>
      </c>
      <c r="AL7" s="2720">
        <v>1E-3</v>
      </c>
      <c r="AM7" s="2721">
        <f>AM6</f>
        <v>5.0000000000000001E-3</v>
      </c>
      <c r="AN7" s="2722" t="s">
        <v>2856</v>
      </c>
      <c r="AO7" s="1126">
        <f t="shared" ref="AO7:AO13" ca="1" si="9">SUMIF(INDIRECT("'"&amp;AN7&amp;"'"&amp;"!A:A"),"总价",INDIRECT("'"&amp;AN7&amp;"'"&amp;"!B:B"))</f>
        <v>809.1404</v>
      </c>
      <c r="AP7" s="2730">
        <f t="shared" ref="AP7:AP13" si="10">IF(C7="住宅",K7*L7,0)</f>
        <v>0</v>
      </c>
      <c r="AQ7" s="1126">
        <f t="shared" ref="AQ7:AQ13" si="11">ROUND($L$14*$N$14*S7/10000,0)</f>
        <v>0</v>
      </c>
      <c r="AR7" s="1126">
        <f t="shared" ref="AR7:AR13" si="12">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112</v>
      </c>
      <c r="B8" s="2578" t="str">
        <f t="shared" si="1"/>
        <v>经营性</v>
      </c>
      <c r="C8" s="2579" t="s">
        <v>1923</v>
      </c>
      <c r="D8" s="2580">
        <f>SUMIF(项目基本情况!C$12:I$12,C8,项目基本情况!C$14:I$14)</f>
        <v>40</v>
      </c>
      <c r="E8" s="2581">
        <f>IF(B8="","",SUMIF(项目基本情况!C$12:I$12,C8,项目基本情况!C$13:I$13))</f>
        <v>55985</v>
      </c>
      <c r="F8" s="2582">
        <f>SUMIF(项目基本情况!C$12:I$12,C8,项目基本情况!C$15:I$15)</f>
        <v>27.79</v>
      </c>
      <c r="G8" s="2583">
        <f t="shared" si="2"/>
        <v>0.86499999999999999</v>
      </c>
      <c r="H8" s="2584">
        <v>0.05</v>
      </c>
      <c r="I8" s="2584">
        <v>5.5E-2</v>
      </c>
      <c r="J8" s="2585">
        <v>7.0000000000000007E-2</v>
      </c>
      <c r="K8" s="2666">
        <f>SUMIF('数据-汇总表'!C$19:C$33,A8,'数据-汇总表'!E$19:E$33)</f>
        <v>155.37</v>
      </c>
      <c r="L8" s="2667">
        <f>L6</f>
        <v>4000</v>
      </c>
      <c r="M8" s="2668">
        <f t="shared" si="0"/>
        <v>62</v>
      </c>
      <c r="N8" s="2669">
        <f>N6</f>
        <v>0.83</v>
      </c>
      <c r="O8" s="2668" t="str">
        <f t="shared" si="3"/>
        <v>——</v>
      </c>
      <c r="P8" s="1072" t="str">
        <f t="shared" si="4"/>
        <v>——</v>
      </c>
      <c r="Q8" s="2686">
        <f>Q7</f>
        <v>0.15</v>
      </c>
      <c r="R8" s="2687">
        <f ca="1">SUMIF('数据-汇总表'!C$19:C$33,A8,'数据-汇总表'!R$19:R$27)</f>
        <v>0</v>
      </c>
      <c r="S8" s="2688">
        <f>IF('数据-汇总表'!$I$17="按面积比例",SUMIF('数据-汇总表'!C$19:C$33,A8,'数据-汇总表'!K$19:K$33),SUMIF('数据-汇总表'!C$19:C$33,A8,'数据-汇总表'!N$19:N$33))</f>
        <v>0</v>
      </c>
      <c r="T8" s="2689">
        <f t="shared" si="5"/>
        <v>0</v>
      </c>
      <c r="U8" s="2690">
        <f>U7</f>
        <v>4.55</v>
      </c>
      <c r="V8" s="2691">
        <v>0.02</v>
      </c>
      <c r="W8" s="2691">
        <v>0.1</v>
      </c>
      <c r="X8" s="2692"/>
      <c r="Y8" s="2706">
        <f t="shared" si="6"/>
        <v>0.83</v>
      </c>
      <c r="Z8" s="2707"/>
      <c r="AA8" s="2585"/>
      <c r="AB8" s="2585"/>
      <c r="AC8" s="2692"/>
      <c r="AD8" s="2708"/>
      <c r="AE8" s="2709">
        <f t="shared" ca="1" si="7"/>
        <v>27.79</v>
      </c>
      <c r="AF8" s="2124"/>
      <c r="AG8" s="1602">
        <f t="shared" si="8"/>
        <v>0</v>
      </c>
      <c r="AH8" s="2723"/>
      <c r="AI8" s="2718">
        <v>365</v>
      </c>
      <c r="AJ8" s="2124"/>
      <c r="AK8" s="2719">
        <f>AK7</f>
        <v>2E-3</v>
      </c>
      <c r="AL8" s="2720">
        <v>1E-3</v>
      </c>
      <c r="AM8" s="2721">
        <f>AM6</f>
        <v>5.0000000000000001E-3</v>
      </c>
      <c r="AN8" s="2722" t="s">
        <v>2858</v>
      </c>
      <c r="AO8" s="1126">
        <f t="shared" ca="1" si="9"/>
        <v>335.29700000000003</v>
      </c>
      <c r="AP8" s="2730">
        <f t="shared" si="10"/>
        <v>0</v>
      </c>
      <c r="AQ8" s="1126">
        <f t="shared" si="11"/>
        <v>0</v>
      </c>
      <c r="AR8" s="1126">
        <f t="shared" si="12"/>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6">
        <f>SUMIF('数据-汇总表'!C$19:C$33,A9,'数据-汇总表'!E$19:E$33)</f>
        <v>0</v>
      </c>
      <c r="L9" s="2667"/>
      <c r="M9" s="2668">
        <f t="shared" si="0"/>
        <v>0</v>
      </c>
      <c r="N9" s="2669"/>
      <c r="O9" s="2668" t="str">
        <f t="shared" si="3"/>
        <v>——</v>
      </c>
      <c r="P9" s="1072" t="str">
        <f t="shared" si="4"/>
        <v>——</v>
      </c>
      <c r="Q9" s="2693"/>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6"/>
      <c r="Z9" s="2707"/>
      <c r="AA9" s="2585"/>
      <c r="AB9" s="2585"/>
      <c r="AC9" s="2692"/>
      <c r="AD9" s="2708"/>
      <c r="AE9" s="2709">
        <f t="shared" ca="1" si="7"/>
        <v>0</v>
      </c>
      <c r="AF9" s="2124"/>
      <c r="AG9" s="1602">
        <f t="shared" si="8"/>
        <v>0</v>
      </c>
      <c r="AH9" s="2717"/>
      <c r="AI9" s="2718"/>
      <c r="AJ9" s="2124"/>
      <c r="AK9" s="2719"/>
      <c r="AL9" s="2720"/>
      <c r="AM9" s="2721"/>
      <c r="AN9" s="2722"/>
      <c r="AO9" s="1126" t="e">
        <f t="shared" ca="1" si="9"/>
        <v>#REF!</v>
      </c>
      <c r="AP9" s="2730">
        <f t="shared" si="10"/>
        <v>0</v>
      </c>
      <c r="AQ9" s="1126">
        <f t="shared" si="11"/>
        <v>0</v>
      </c>
      <c r="AR9" s="1126">
        <f t="shared" si="12"/>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6">
        <f>SUMIF('数据-汇总表'!C$19:C$33,A10,'数据-汇总表'!E$19:E$33)</f>
        <v>0</v>
      </c>
      <c r="L10" s="2667"/>
      <c r="M10" s="2668">
        <f t="shared" si="0"/>
        <v>0</v>
      </c>
      <c r="N10" s="2669"/>
      <c r="O10" s="2668" t="str">
        <f t="shared" si="3"/>
        <v>——</v>
      </c>
      <c r="P10" s="1072" t="str">
        <f t="shared" si="4"/>
        <v>——</v>
      </c>
      <c r="Q10" s="2693"/>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6"/>
      <c r="Z10" s="2707"/>
      <c r="AA10" s="2585"/>
      <c r="AB10" s="2585"/>
      <c r="AC10" s="2692"/>
      <c r="AD10" s="2708"/>
      <c r="AE10" s="2709">
        <f t="shared" ca="1" si="7"/>
        <v>0</v>
      </c>
      <c r="AF10" s="2124"/>
      <c r="AG10" s="1602">
        <f t="shared" si="8"/>
        <v>0</v>
      </c>
      <c r="AH10" s="2717"/>
      <c r="AI10" s="2718"/>
      <c r="AJ10" s="2124"/>
      <c r="AK10" s="2719"/>
      <c r="AL10" s="2720"/>
      <c r="AM10" s="2721"/>
      <c r="AN10" s="2722"/>
      <c r="AO10" s="1126" t="e">
        <f t="shared" ca="1" si="9"/>
        <v>#REF!</v>
      </c>
      <c r="AP10" s="2730">
        <f t="shared" si="10"/>
        <v>0</v>
      </c>
      <c r="AQ10" s="1126">
        <f t="shared" si="11"/>
        <v>0</v>
      </c>
      <c r="AR10" s="1126">
        <f t="shared" si="12"/>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6">
        <f>SUMIF('数据-汇总表'!C$19:C$33,A11,'数据-汇总表'!E$19:E$33)</f>
        <v>0</v>
      </c>
      <c r="L11" s="2670"/>
      <c r="M11" s="2668">
        <f t="shared" si="0"/>
        <v>0</v>
      </c>
      <c r="N11" s="2669"/>
      <c r="O11" s="2668" t="str">
        <f t="shared" si="3"/>
        <v>——</v>
      </c>
      <c r="P11" s="1072" t="str">
        <f t="shared" si="4"/>
        <v>——</v>
      </c>
      <c r="Q11" s="2693"/>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6"/>
      <c r="Z11" s="2710"/>
      <c r="AA11" s="2585"/>
      <c r="AB11" s="2585"/>
      <c r="AC11" s="2692"/>
      <c r="AD11" s="2708"/>
      <c r="AE11" s="2709">
        <f t="shared" ca="1" si="7"/>
        <v>0</v>
      </c>
      <c r="AF11" s="2124"/>
      <c r="AG11" s="1602">
        <f t="shared" si="8"/>
        <v>0</v>
      </c>
      <c r="AH11" s="2717"/>
      <c r="AI11" s="2718"/>
      <c r="AJ11" s="2124"/>
      <c r="AK11" s="2719"/>
      <c r="AL11" s="2720"/>
      <c r="AM11" s="2721"/>
      <c r="AN11" s="2722"/>
      <c r="AO11" s="1126" t="e">
        <f t="shared" ca="1" si="9"/>
        <v>#REF!</v>
      </c>
      <c r="AP11" s="2730">
        <f t="shared" si="10"/>
        <v>0</v>
      </c>
      <c r="AQ11" s="1126">
        <f t="shared" si="11"/>
        <v>0</v>
      </c>
      <c r="AR11" s="1126">
        <f t="shared" si="12"/>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6">
        <f>SUMIF('数据-汇总表'!C$19:C$33,A12,'数据-汇总表'!E$19:E$33)</f>
        <v>0</v>
      </c>
      <c r="L12" s="2670"/>
      <c r="M12" s="2668">
        <f t="shared" si="0"/>
        <v>0</v>
      </c>
      <c r="N12" s="2669"/>
      <c r="O12" s="2668" t="str">
        <f t="shared" si="3"/>
        <v>——</v>
      </c>
      <c r="P12" s="1072" t="str">
        <f t="shared" si="4"/>
        <v>——</v>
      </c>
      <c r="Q12" s="2693"/>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6"/>
      <c r="Z12" s="2710"/>
      <c r="AA12" s="2585"/>
      <c r="AB12" s="2585"/>
      <c r="AC12" s="2692"/>
      <c r="AD12" s="2708"/>
      <c r="AE12" s="2709">
        <f t="shared" ca="1" si="7"/>
        <v>0</v>
      </c>
      <c r="AF12" s="2124"/>
      <c r="AG12" s="1602">
        <f t="shared" si="8"/>
        <v>0</v>
      </c>
      <c r="AH12" s="2717"/>
      <c r="AI12" s="2718"/>
      <c r="AJ12" s="2124"/>
      <c r="AK12" s="2719"/>
      <c r="AL12" s="2720"/>
      <c r="AM12" s="2721"/>
      <c r="AN12" s="2722"/>
      <c r="AO12" s="1126" t="e">
        <f t="shared" ca="1" si="9"/>
        <v>#REF!</v>
      </c>
      <c r="AP12" s="2730">
        <f t="shared" si="10"/>
        <v>0</v>
      </c>
      <c r="AQ12" s="1126">
        <f t="shared" si="11"/>
        <v>0</v>
      </c>
      <c r="AR12" s="1126">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6">
        <f>SUMIF('数据-汇总表'!C$19:C$33,A13,'数据-汇总表'!E$19:E$33)</f>
        <v>0</v>
      </c>
      <c r="L13" s="2670"/>
      <c r="M13" s="2668">
        <f t="shared" si="0"/>
        <v>0</v>
      </c>
      <c r="N13" s="2671"/>
      <c r="O13" s="2668" t="str">
        <f t="shared" si="3"/>
        <v>——</v>
      </c>
      <c r="P13" s="1072" t="str">
        <f t="shared" si="4"/>
        <v>——</v>
      </c>
      <c r="Q13" s="2693"/>
      <c r="R13" s="2687">
        <f ca="1">SUMIF('数据-汇总表'!C$19:C$33,A13,'数据-汇总表'!R$19:R$27)</f>
        <v>0</v>
      </c>
      <c r="S13" s="2688">
        <f>IF('数据-汇总表'!$I$17="按面积比例",SUMIF('数据-汇总表'!C$19:C$33,A13,'数据-汇总表'!K$19:K$33),SUMIF('数据-汇总表'!C$19:C$33,A13,'数据-汇总表'!N$19:N$33))</f>
        <v>0</v>
      </c>
      <c r="T13" s="2689">
        <f t="shared" si="5"/>
        <v>0</v>
      </c>
      <c r="U13" s="2694"/>
      <c r="V13" s="2691"/>
      <c r="W13" s="2691"/>
      <c r="X13" s="2692"/>
      <c r="Y13" s="2706"/>
      <c r="Z13" s="2707"/>
      <c r="AA13" s="2585"/>
      <c r="AB13" s="2585"/>
      <c r="AC13" s="2692"/>
      <c r="AD13" s="2708"/>
      <c r="AE13" s="2709">
        <f t="shared" ca="1" si="7"/>
        <v>0</v>
      </c>
      <c r="AF13" s="2124"/>
      <c r="AG13" s="1602">
        <f t="shared" si="8"/>
        <v>0</v>
      </c>
      <c r="AH13" s="2717"/>
      <c r="AI13" s="2718"/>
      <c r="AJ13" s="2124"/>
      <c r="AK13" s="2719"/>
      <c r="AL13" s="2720"/>
      <c r="AM13" s="2721"/>
      <c r="AN13" s="2722"/>
      <c r="AO13" s="1126" t="e">
        <f t="shared" ca="1" si="9"/>
        <v>#REF!</v>
      </c>
      <c r="AP13" s="2730">
        <f t="shared" si="10"/>
        <v>0</v>
      </c>
      <c r="AQ13" s="1126">
        <f t="shared" si="11"/>
        <v>0</v>
      </c>
      <c r="AR13" s="1126">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616</v>
      </c>
      <c r="B14" s="2578" t="s">
        <v>615</v>
      </c>
      <c r="C14" s="2587" t="s">
        <v>616</v>
      </c>
      <c r="D14" s="2580"/>
      <c r="E14" s="2581"/>
      <c r="F14" s="2582"/>
      <c r="G14" s="2583"/>
      <c r="H14" s="2588"/>
      <c r="I14" s="2588"/>
      <c r="J14" s="2588"/>
      <c r="K14" s="2666">
        <f>SUMIF('数据-汇总表'!C$19:C$33,A14,'数据-汇总表'!E$19:E$33)</f>
        <v>0</v>
      </c>
      <c r="L14" s="2670"/>
      <c r="M14" s="2668">
        <f t="shared" si="0"/>
        <v>0</v>
      </c>
      <c r="N14" s="2671"/>
      <c r="O14" s="2668" t="str">
        <f t="shared" si="3"/>
        <v>——</v>
      </c>
      <c r="P14" s="1072" t="str">
        <f t="shared" si="4"/>
        <v>——</v>
      </c>
      <c r="Q14" s="2695"/>
      <c r="R14" s="2687"/>
      <c r="S14" s="2688"/>
      <c r="T14" s="2689"/>
      <c r="U14" s="2696"/>
      <c r="V14" s="2697"/>
      <c r="W14" s="2697"/>
      <c r="X14" s="2698"/>
      <c r="Y14" s="2711"/>
      <c r="Z14" s="2127"/>
      <c r="AA14" s="2712"/>
      <c r="AB14" s="2712"/>
      <c r="AC14" s="2692"/>
      <c r="AD14" s="2698"/>
      <c r="AE14" s="2709"/>
      <c r="AF14" s="1126"/>
      <c r="AG14" s="1602"/>
      <c r="AH14" s="2709"/>
      <c r="AI14" s="1117"/>
      <c r="AJ14" s="1126"/>
      <c r="AK14" s="2724"/>
      <c r="AL14" s="2725"/>
      <c r="AM14" s="2726"/>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617</v>
      </c>
      <c r="B15" s="2578" t="s">
        <v>615</v>
      </c>
      <c r="C15" s="2587" t="s">
        <v>663</v>
      </c>
      <c r="D15" s="2580"/>
      <c r="E15" s="2581"/>
      <c r="F15" s="2582"/>
      <c r="G15" s="2583"/>
      <c r="H15" s="2588"/>
      <c r="I15" s="2588"/>
      <c r="J15" s="2588"/>
      <c r="K15" s="2666">
        <f>SUMIF('数据-汇总表'!C$19:C$33,A15,'数据-汇总表'!E$19:E$33)</f>
        <v>0</v>
      </c>
      <c r="L15" s="2672"/>
      <c r="M15" s="2668"/>
      <c r="N15" s="2673"/>
      <c r="O15" s="2668"/>
      <c r="P15" s="1072"/>
      <c r="Q15" s="2695"/>
      <c r="R15" s="2687"/>
      <c r="S15" s="2688"/>
      <c r="T15" s="2689"/>
      <c r="U15" s="2696"/>
      <c r="V15" s="2697"/>
      <c r="W15" s="2697"/>
      <c r="X15" s="2698"/>
      <c r="Y15" s="2711"/>
      <c r="Z15" s="2127"/>
      <c r="AA15" s="2712"/>
      <c r="AB15" s="2712"/>
      <c r="AC15" s="2692"/>
      <c r="AD15" s="2698"/>
      <c r="AE15" s="2709"/>
      <c r="AF15" s="1126"/>
      <c r="AG15" s="1602"/>
      <c r="AH15" s="2709"/>
      <c r="AI15" s="1117"/>
      <c r="AJ15" s="1126"/>
      <c r="AK15" s="2724"/>
      <c r="AL15" s="2725"/>
      <c r="AM15" s="2726"/>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618</v>
      </c>
      <c r="B16" s="2590"/>
      <c r="C16" s="2463"/>
      <c r="D16" s="2591"/>
      <c r="E16" s="2590"/>
      <c r="F16" s="2590"/>
      <c r="G16" s="2592">
        <f>ROUND(SUMPRODUCT(G6:G13,K6:K13)/SUMPRODUCT((G6:G13&gt;0)*(K6:K13)),3)</f>
        <v>0.86499999999999999</v>
      </c>
      <c r="H16" s="2593">
        <f>ROUND(SUMPRODUCT(H6:H13,K6:K13)/SUMPRODUCT((H6:H13&gt;0)*(K6:K13)),3)</f>
        <v>0.05</v>
      </c>
      <c r="I16" s="2674"/>
      <c r="J16" s="2674"/>
      <c r="K16" s="2675">
        <f>SUM(K6:K15)</f>
        <v>885.63</v>
      </c>
      <c r="L16" s="2676">
        <f>ROUND(M16*10000/SUM(K6:K14),0)</f>
        <v>3997</v>
      </c>
      <c r="M16" s="2676">
        <f>SUM(M6:M14)</f>
        <v>354</v>
      </c>
      <c r="N16" s="2677">
        <f>ROUND(SUMPRODUCT(M6:M14,N6:N14)/M16,3)</f>
        <v>0.83</v>
      </c>
      <c r="O16" s="2676">
        <f>SUM(O6:O14)</f>
        <v>0</v>
      </c>
      <c r="P16" s="2676">
        <f>SUM(P6:P14)</f>
        <v>0</v>
      </c>
      <c r="Q16" s="2699">
        <f>ROUND(SUMPRODUCT(Q6:Q13,K6:K13)/SUMPRODUCT((Q6:Q13&gt;0)*(K6:K13)),2)</f>
        <v>0.15</v>
      </c>
      <c r="R16" s="2700">
        <f ca="1">SUM(R6:R13)</f>
        <v>0</v>
      </c>
      <c r="S16" s="2701">
        <f>SUM(S6:S13)</f>
        <v>0</v>
      </c>
      <c r="T16" s="2702">
        <f>IF(SUMIF(T6:T13,"&lt;9E307")=M14,SUMIF(T6:T13,"&lt;9E307"),"有误，请检查")</f>
        <v>0</v>
      </c>
      <c r="U16" s="2703"/>
      <c r="V16" s="2139"/>
      <c r="W16" s="2139"/>
      <c r="X16" s="2704"/>
      <c r="Y16" s="2713"/>
      <c r="Z16" s="2714"/>
      <c r="AA16" s="2139"/>
      <c r="AB16" s="2139"/>
      <c r="AC16" s="2704"/>
      <c r="AD16" s="2704"/>
      <c r="AE16" s="2703"/>
      <c r="AF16" s="2139"/>
      <c r="AG16" s="2713"/>
      <c r="AH16" s="2703"/>
      <c r="AI16" s="2714"/>
      <c r="AJ16" s="2714"/>
      <c r="AK16" s="2139"/>
      <c r="AL16" s="2139"/>
      <c r="AM16" s="2713"/>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78"/>
      <c r="L17" s="2678"/>
      <c r="M17" s="2679" t="s">
        <v>664</v>
      </c>
      <c r="N17" s="3176">
        <v>2015</v>
      </c>
      <c r="O17" s="2679" t="s">
        <v>2788</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4">
      <c r="A18" s="1324" t="s">
        <v>665</v>
      </c>
      <c r="B18" s="2596"/>
      <c r="C18" s="2597"/>
      <c r="D18" s="2598"/>
      <c r="E18" s="2597"/>
      <c r="F18" s="2597"/>
      <c r="G18" s="2597"/>
      <c r="H18" s="2597"/>
      <c r="I18" s="2597"/>
      <c r="J18" s="2597"/>
      <c r="K18" s="2680">
        <f>N17-B20+50</f>
        <v>2063</v>
      </c>
      <c r="L18" s="2678"/>
      <c r="M18" s="2679" t="s">
        <v>666</v>
      </c>
      <c r="N18" s="2408">
        <f>ROUND(1-(1-0)*(2025-N17)/60,2)</f>
        <v>0.83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4">
      <c r="A19" s="2599" t="s">
        <v>667</v>
      </c>
      <c r="B19" s="3189">
        <v>0</v>
      </c>
      <c r="C19" s="2600" t="s">
        <v>668</v>
      </c>
      <c r="D19" s="2598"/>
      <c r="E19" s="2597"/>
      <c r="F19" s="2597"/>
      <c r="G19" s="2597"/>
      <c r="H19" s="2597"/>
      <c r="I19" s="2597"/>
      <c r="J19" s="2597"/>
      <c r="K19" s="2678"/>
      <c r="L19" s="2678"/>
      <c r="M19" s="2679" t="s">
        <v>2789</v>
      </c>
      <c r="N19" s="2408">
        <v>0.8</v>
      </c>
      <c r="O19" s="2408"/>
      <c r="P19" s="2408"/>
      <c r="Q19" s="2408"/>
      <c r="R19" s="2408"/>
      <c r="S19" s="2408"/>
      <c r="T19" s="2408"/>
      <c r="U19" s="3181"/>
      <c r="V19" s="3109" t="s">
        <v>2828</v>
      </c>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4">
      <c r="A20" s="2601" t="s">
        <v>669</v>
      </c>
      <c r="B20" s="3190">
        <v>2</v>
      </c>
      <c r="C20" s="2602" t="s">
        <v>670</v>
      </c>
      <c r="D20" s="2598"/>
      <c r="E20" s="2597"/>
      <c r="F20" s="2597"/>
      <c r="G20" s="2597"/>
      <c r="H20" s="2597"/>
      <c r="I20" s="2597"/>
      <c r="J20" s="2597"/>
      <c r="K20" s="2678"/>
      <c r="L20" s="2678"/>
      <c r="M20" s="2408"/>
      <c r="N20" s="2408">
        <f>ROUND((N18+N19)/2,2)</f>
        <v>0.82</v>
      </c>
      <c r="O20" s="2408"/>
      <c r="P20" s="2408"/>
      <c r="Q20" s="2408"/>
      <c r="R20" s="2408"/>
      <c r="S20" s="2408"/>
      <c r="T20" s="2408"/>
      <c r="U20" s="3109" t="s">
        <v>2829</v>
      </c>
      <c r="V20" s="3181">
        <v>0.5</v>
      </c>
      <c r="W20" s="3184">
        <f>ROUND(8.64*14.18,2)</f>
        <v>122.52</v>
      </c>
      <c r="X20" s="2408">
        <v>4.8</v>
      </c>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4">
      <c r="A21" s="2603" t="s">
        <v>671</v>
      </c>
      <c r="B21" s="3190">
        <f>B20</f>
        <v>2</v>
      </c>
      <c r="C21" s="2597"/>
      <c r="D21" s="2598"/>
      <c r="E21" s="2597"/>
      <c r="F21" s="2597"/>
      <c r="G21" s="2597"/>
      <c r="H21" s="2597"/>
      <c r="I21" s="2597"/>
      <c r="J21" s="2597"/>
      <c r="K21" s="2678"/>
      <c r="L21" s="2678"/>
      <c r="M21" s="2408"/>
      <c r="N21" s="2408"/>
      <c r="O21" s="2408"/>
      <c r="P21" s="2408"/>
      <c r="Q21" s="2408"/>
      <c r="R21" s="2408"/>
      <c r="S21" s="2408"/>
      <c r="T21" s="2408"/>
      <c r="U21" s="3181" t="s">
        <v>2830</v>
      </c>
      <c r="V21" s="3181">
        <v>1</v>
      </c>
      <c r="W21" s="3184">
        <f>ROUND((1072.73-W20)/4,2)</f>
        <v>237.55</v>
      </c>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4">
      <c r="A22" s="2601" t="s">
        <v>672</v>
      </c>
      <c r="B22" s="2604">
        <f>B19+B20</f>
        <v>2</v>
      </c>
      <c r="C22" s="2597"/>
      <c r="D22" s="2598"/>
      <c r="E22" s="2597"/>
      <c r="F22" s="2597"/>
      <c r="G22" s="2597"/>
      <c r="H22" s="2597"/>
      <c r="I22" s="2597"/>
      <c r="J22" s="2597"/>
      <c r="K22" s="2678"/>
      <c r="L22" s="2678"/>
      <c r="M22" s="2408"/>
      <c r="N22" s="2408"/>
      <c r="O22" s="2408"/>
      <c r="P22" s="2408"/>
      <c r="Q22" s="2408"/>
      <c r="R22" s="2408"/>
      <c r="S22" s="2408"/>
      <c r="T22" s="2408"/>
      <c r="U22" s="3181" t="s">
        <v>2831</v>
      </c>
      <c r="V22" s="3181">
        <v>0.7</v>
      </c>
      <c r="W22" s="3184">
        <f>W21</f>
        <v>237.55</v>
      </c>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4">
      <c r="A23" s="2603" t="s">
        <v>673</v>
      </c>
      <c r="B23" s="2604">
        <f>B19+B21</f>
        <v>2</v>
      </c>
      <c r="C23" s="2597"/>
      <c r="D23" s="2598"/>
      <c r="E23" s="2597"/>
      <c r="F23" s="2597"/>
      <c r="G23" s="2597"/>
      <c r="H23" s="2597"/>
      <c r="I23" s="2597"/>
      <c r="J23" s="2597"/>
      <c r="K23" s="2678"/>
      <c r="L23" s="2678"/>
      <c r="M23" s="2408"/>
      <c r="N23" s="2408"/>
      <c r="O23" s="2408"/>
      <c r="P23" s="2408"/>
      <c r="Q23" s="2408"/>
      <c r="R23" s="2408"/>
      <c r="S23" s="2408"/>
      <c r="T23" s="2408"/>
      <c r="U23" s="3181" t="s">
        <v>2832</v>
      </c>
      <c r="V23" s="3181">
        <v>0.6</v>
      </c>
      <c r="W23" s="3184">
        <f>W21</f>
        <v>237.55</v>
      </c>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spans="1:44" ht="14.4">
      <c r="A24" s="2605" t="s">
        <v>674</v>
      </c>
      <c r="B24" s="2606">
        <f>B20-B21</f>
        <v>0</v>
      </c>
      <c r="C24" s="2597"/>
      <c r="D24" s="2598"/>
      <c r="E24" s="2597"/>
      <c r="F24" s="2597"/>
      <c r="G24" s="2597"/>
      <c r="H24" s="2597"/>
      <c r="I24" s="2597"/>
      <c r="J24" s="2597"/>
      <c r="K24" s="2678"/>
      <c r="L24" s="2678"/>
      <c r="M24" s="2408"/>
      <c r="N24" s="2408"/>
      <c r="O24" s="2408"/>
      <c r="P24" s="2408"/>
      <c r="Q24" s="2408"/>
      <c r="R24" s="2408"/>
      <c r="S24" s="2408"/>
      <c r="T24" s="2408"/>
      <c r="U24" s="3109" t="s">
        <v>2833</v>
      </c>
      <c r="V24" s="3181">
        <v>0.5</v>
      </c>
      <c r="W24" s="3184">
        <f>W21</f>
        <v>237.55</v>
      </c>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spans="1:44" ht="13.8">
      <c r="A25" s="2569"/>
      <c r="B25" s="2130"/>
      <c r="C25" s="2597"/>
      <c r="D25" s="2598"/>
      <c r="E25" s="2597"/>
      <c r="F25" s="2597"/>
      <c r="G25" s="2597"/>
      <c r="H25" s="2597"/>
      <c r="I25" s="2597"/>
      <c r="J25" s="2597"/>
      <c r="K25" s="2678"/>
      <c r="L25" s="2678"/>
      <c r="M25" s="2408"/>
      <c r="N25" s="2408"/>
      <c r="O25" s="2408"/>
      <c r="P25" s="2408"/>
      <c r="Q25" s="2408"/>
      <c r="R25" s="2408"/>
      <c r="S25" s="2408"/>
      <c r="T25" s="2408"/>
      <c r="U25" s="2408"/>
      <c r="V25" s="3187">
        <f>SUMPRODUCT(V20:V24,W20:W24)/W25</f>
        <v>0.67715713326870008</v>
      </c>
      <c r="W25" s="3185">
        <f>SUM(W20:W24)</f>
        <v>1072.72</v>
      </c>
      <c r="X25" s="3188">
        <f>V25*X20</f>
        <v>3.2503542396897602</v>
      </c>
      <c r="Y25" s="2408"/>
      <c r="Z25" s="3185"/>
      <c r="AA25" s="2408"/>
      <c r="AB25" s="2408"/>
      <c r="AC25" s="2408"/>
      <c r="AD25" s="2408"/>
      <c r="AE25" s="2408"/>
      <c r="AF25" s="2408"/>
      <c r="AG25" s="2408"/>
      <c r="AH25" s="2408"/>
      <c r="AI25" s="2408"/>
      <c r="AJ25" s="2408"/>
      <c r="AK25" s="2408"/>
      <c r="AL25" s="2408"/>
      <c r="AM25" s="2408"/>
      <c r="AN25" s="2408"/>
      <c r="AO25" s="2408"/>
      <c r="AP25" s="2408"/>
      <c r="AQ25" s="2408"/>
      <c r="AR25" s="2408"/>
    </row>
    <row r="26" spans="1:44" ht="14.4">
      <c r="A26" s="2566" t="s">
        <v>675</v>
      </c>
      <c r="B26" s="2607" t="s">
        <v>676</v>
      </c>
      <c r="C26" s="2608" t="s">
        <v>677</v>
      </c>
      <c r="D26" s="2598"/>
      <c r="E26" s="2597"/>
      <c r="F26" s="2597"/>
      <c r="G26" s="2597"/>
      <c r="H26" s="2597"/>
      <c r="I26" s="2597"/>
      <c r="J26" s="2597"/>
      <c r="K26" s="2678"/>
      <c r="L26" s="2678"/>
      <c r="M26" s="2408"/>
      <c r="N26" s="2408"/>
      <c r="O26" s="2408"/>
      <c r="P26" s="2408"/>
      <c r="Q26" s="2408"/>
      <c r="R26" s="2408"/>
      <c r="S26" s="2408"/>
      <c r="T26" s="2408"/>
      <c r="U26" s="2408"/>
      <c r="V26" s="2408"/>
      <c r="W26" s="3185"/>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pans="1:44" ht="28.8">
      <c r="A27" s="2609" t="s">
        <v>678</v>
      </c>
      <c r="B27" s="2610">
        <v>160</v>
      </c>
      <c r="C27" s="2611" t="s">
        <v>679</v>
      </c>
      <c r="D27" s="2612"/>
      <c r="E27" s="1071"/>
      <c r="F27" s="1071"/>
      <c r="G27" s="2597"/>
      <c r="H27" s="2597"/>
      <c r="I27" s="2597"/>
      <c r="J27" s="2597"/>
      <c r="K27" s="2678"/>
      <c r="L27" s="2678"/>
      <c r="M27" s="2408"/>
      <c r="N27" s="2408"/>
      <c r="O27" s="2408"/>
      <c r="P27" s="2408"/>
      <c r="Q27" s="2408"/>
      <c r="R27" s="2408"/>
      <c r="S27" s="2408"/>
      <c r="T27" s="2408"/>
      <c r="U27" s="2408"/>
      <c r="V27" s="2408"/>
      <c r="W27" s="2408"/>
      <c r="X27" s="2408">
        <v>5.5</v>
      </c>
      <c r="Y27" s="2408">
        <f>X27/0.75</f>
        <v>7.333333333333333</v>
      </c>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8.8">
      <c r="A28" s="2613" t="s">
        <v>680</v>
      </c>
      <c r="B28" s="2614">
        <v>200</v>
      </c>
      <c r="C28" s="2615"/>
      <c r="D28" s="2612"/>
      <c r="E28" s="1071"/>
      <c r="F28" s="1071"/>
      <c r="G28" s="2597"/>
      <c r="H28" s="2597"/>
      <c r="I28" s="2597"/>
      <c r="J28" s="2597"/>
      <c r="K28" s="2678"/>
      <c r="L28" s="2678"/>
      <c r="M28" s="2408"/>
      <c r="N28" s="2408"/>
      <c r="O28" s="2408"/>
      <c r="P28" s="2408"/>
      <c r="Q28" s="2408"/>
      <c r="R28" s="2408"/>
      <c r="S28" s="2408"/>
      <c r="T28" s="2408"/>
      <c r="U28" s="2408"/>
      <c r="V28" s="2408"/>
      <c r="W28" s="2408"/>
      <c r="X28" s="2408">
        <f>Y27*0.6</f>
        <v>4.3999999999999995</v>
      </c>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8.8">
      <c r="A29" s="2616" t="s">
        <v>681</v>
      </c>
      <c r="B29" s="2617"/>
      <c r="C29" s="2618" t="s">
        <v>682</v>
      </c>
      <c r="D29" s="2612"/>
      <c r="E29" s="1071"/>
      <c r="F29" s="1071"/>
      <c r="G29" s="2597"/>
      <c r="H29" s="2597"/>
      <c r="I29" s="2597"/>
      <c r="J29" s="2597"/>
      <c r="K29" s="2678"/>
      <c r="L29" s="26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8.8">
      <c r="A30" s="2619" t="s">
        <v>683</v>
      </c>
      <c r="B30" s="2620">
        <v>200</v>
      </c>
      <c r="C30" s="2615"/>
      <c r="D30" s="2612"/>
      <c r="E30" s="1071"/>
      <c r="F30" s="1071"/>
      <c r="G30" s="2597"/>
      <c r="H30" s="2597"/>
      <c r="I30" s="2597"/>
      <c r="J30" s="2597"/>
      <c r="K30" s="2678"/>
      <c r="L30" s="26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8.8">
      <c r="A31" s="2613" t="s">
        <v>684</v>
      </c>
      <c r="B31" s="2621">
        <f>B30-B32</f>
        <v>200</v>
      </c>
      <c r="C31" s="2622"/>
      <c r="D31" s="2612"/>
      <c r="E31" s="1071"/>
      <c r="F31" s="1071"/>
      <c r="G31" s="2597"/>
      <c r="H31" s="2597"/>
      <c r="I31" s="2597"/>
      <c r="J31" s="2597"/>
      <c r="K31" s="2678"/>
      <c r="L31" s="26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8.8">
      <c r="A32" s="2623" t="s">
        <v>685</v>
      </c>
      <c r="B32" s="2624"/>
      <c r="C32" s="2615"/>
      <c r="D32" s="2598"/>
      <c r="E32" s="2597"/>
      <c r="F32" s="2597"/>
      <c r="G32" s="2597"/>
      <c r="H32" s="2597"/>
      <c r="I32" s="2597"/>
      <c r="J32" s="2597"/>
      <c r="K32" s="2678"/>
      <c r="L32" s="26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4">
      <c r="A33" s="2609" t="s">
        <v>686</v>
      </c>
      <c r="B33" s="2625">
        <v>0.05</v>
      </c>
      <c r="C33" s="2626" t="s">
        <v>687</v>
      </c>
      <c r="D33" s="2598"/>
      <c r="E33" s="2597"/>
      <c r="F33" s="2597"/>
      <c r="G33" s="2597"/>
      <c r="H33" s="2597"/>
      <c r="I33" s="2597"/>
      <c r="J33" s="2597"/>
      <c r="K33" s="2678"/>
      <c r="L33" s="26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4">
      <c r="A34" s="2613" t="s">
        <v>688</v>
      </c>
      <c r="B34" s="2627">
        <v>0</v>
      </c>
      <c r="C34" s="2626" t="s">
        <v>689</v>
      </c>
      <c r="D34" s="2628" t="s">
        <v>690</v>
      </c>
      <c r="E34" s="2594"/>
      <c r="F34" s="2597"/>
      <c r="G34" s="2597"/>
      <c r="H34" s="2597"/>
      <c r="I34" s="2597"/>
      <c r="J34" s="2597"/>
      <c r="K34" s="2678"/>
      <c r="L34" s="26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4">
      <c r="A35" s="2613" t="s">
        <v>691</v>
      </c>
      <c r="B35" s="2614">
        <v>200</v>
      </c>
      <c r="C35" s="2626" t="s">
        <v>692</v>
      </c>
      <c r="D35" s="2612"/>
      <c r="E35" s="1071"/>
      <c r="F35" s="1071"/>
      <c r="G35" s="2597"/>
      <c r="H35" s="2597"/>
      <c r="I35" s="2597"/>
      <c r="J35" s="2597"/>
      <c r="K35" s="2678"/>
      <c r="L35" s="26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4">
      <c r="A36" s="2616" t="s">
        <v>693</v>
      </c>
      <c r="B36" s="2629">
        <v>0.02</v>
      </c>
      <c r="C36" s="2626" t="s">
        <v>694</v>
      </c>
      <c r="D36" s="2598"/>
      <c r="E36" s="2597"/>
      <c r="F36" s="2597"/>
      <c r="G36" s="2597"/>
      <c r="H36" s="2597"/>
      <c r="I36" s="2597"/>
      <c r="J36" s="2597"/>
      <c r="K36" s="2678"/>
      <c r="L36" s="26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4">
      <c r="A37" s="2619" t="s">
        <v>695</v>
      </c>
      <c r="B37" s="2630">
        <v>0.02</v>
      </c>
      <c r="C37" s="2626" t="s">
        <v>696</v>
      </c>
      <c r="D37" s="2598"/>
      <c r="E37" s="2597"/>
      <c r="F37" s="2597"/>
      <c r="G37" s="2597"/>
      <c r="H37" s="2597"/>
      <c r="I37" s="2597"/>
      <c r="J37" s="2597"/>
      <c r="K37" s="2678"/>
      <c r="L37" s="26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4">
      <c r="A38" s="2613" t="s">
        <v>697</v>
      </c>
      <c r="B38" s="2627">
        <v>0.02</v>
      </c>
      <c r="C38" s="2626" t="s">
        <v>698</v>
      </c>
      <c r="D38" s="2598"/>
      <c r="E38" s="2597"/>
      <c r="F38" s="2597"/>
      <c r="G38" s="2597"/>
      <c r="H38" s="2597"/>
      <c r="I38" s="2597"/>
      <c r="J38" s="2597"/>
      <c r="K38" s="2678"/>
      <c r="L38" s="26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4">
      <c r="A39" s="2623" t="s">
        <v>699</v>
      </c>
      <c r="B39" s="2631">
        <f ca="1">存贷款利率!I1</f>
        <v>1.4999999999999999E-2</v>
      </c>
      <c r="C39" s="2632"/>
      <c r="D39" s="2598"/>
      <c r="E39" s="2597"/>
      <c r="F39" s="2597"/>
      <c r="G39" s="2597"/>
      <c r="H39" s="2597"/>
      <c r="I39" s="2597"/>
      <c r="J39" s="2597"/>
      <c r="K39" s="2678"/>
      <c r="L39" s="26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3.8">
      <c r="A40" s="2633" t="s">
        <v>700</v>
      </c>
      <c r="B40" s="2634">
        <f ca="1">IF(A40="利息：取LPR",存贷款利率!G1,存贷款利率!G1+C40)</f>
        <v>0.03</v>
      </c>
      <c r="C40" s="2635">
        <v>5.0000000000000001E-3</v>
      </c>
      <c r="D40" s="2408"/>
      <c r="E40" s="2598"/>
      <c r="F40" s="2597"/>
      <c r="G40" s="2597"/>
      <c r="H40" s="2597"/>
      <c r="I40" s="2597"/>
      <c r="J40" s="2597"/>
      <c r="K40" s="2678"/>
      <c r="L40" s="26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4">
      <c r="A41" s="2609" t="s">
        <v>701</v>
      </c>
      <c r="B41" s="2636">
        <f>B42+B43</f>
        <v>5.5000000000000007E-2</v>
      </c>
      <c r="C41" s="2622"/>
      <c r="D41" s="2408"/>
      <c r="E41" s="2598"/>
      <c r="F41" s="2597"/>
      <c r="G41" s="2597"/>
      <c r="H41" s="2597"/>
      <c r="I41" s="2597"/>
      <c r="J41" s="2597"/>
      <c r="K41" s="2678"/>
      <c r="L41" s="26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4">
      <c r="A42" s="2637" t="s">
        <v>702</v>
      </c>
      <c r="B42" s="2638">
        <v>0.05</v>
      </c>
      <c r="C42" s="2639">
        <f>IF(B2&lt;DATE(2016,5,1),0,B42)</f>
        <v>0.05</v>
      </c>
      <c r="D42" s="2598"/>
      <c r="E42" s="2597"/>
      <c r="F42" s="2597"/>
      <c r="G42" s="2597"/>
      <c r="H42" s="2597"/>
      <c r="I42" s="2597"/>
      <c r="J42" s="2597"/>
      <c r="K42" s="2678"/>
      <c r="L42" s="26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4">
      <c r="A43" s="2637" t="s">
        <v>703</v>
      </c>
      <c r="B43" s="2640">
        <f>B42*(B44+B45+B46)+B47</f>
        <v>5.000000000000001E-3</v>
      </c>
      <c r="C43" s="2622"/>
      <c r="D43" s="2641" t="s">
        <v>2844</v>
      </c>
      <c r="E43" s="2597"/>
      <c r="F43" s="2597"/>
      <c r="G43" s="2597"/>
      <c r="H43" s="2597"/>
      <c r="I43" s="2597"/>
      <c r="J43" s="2597"/>
      <c r="K43" s="2678"/>
      <c r="L43" s="26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4">
      <c r="A44" s="2642" t="s">
        <v>704</v>
      </c>
      <c r="B44" s="2638">
        <v>0.05</v>
      </c>
      <c r="C44" s="2626" t="s">
        <v>705</v>
      </c>
      <c r="D44" s="2598"/>
      <c r="E44" s="2597"/>
      <c r="F44" s="2597"/>
      <c r="G44" s="2597"/>
      <c r="H44" s="2597"/>
      <c r="I44" s="2597"/>
      <c r="J44" s="2597"/>
      <c r="K44" s="2678"/>
      <c r="L44" s="26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4">
      <c r="A45" s="2642" t="s">
        <v>706</v>
      </c>
      <c r="B45" s="2638">
        <v>0.03</v>
      </c>
      <c r="C45" s="2618" t="s">
        <v>707</v>
      </c>
      <c r="D45" s="2598"/>
      <c r="E45" s="2597"/>
      <c r="F45" s="2597"/>
      <c r="G45" s="2597"/>
      <c r="H45" s="2597"/>
      <c r="I45" s="2597"/>
      <c r="J45" s="2597"/>
      <c r="K45" s="2678"/>
      <c r="L45" s="26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4">
      <c r="A46" s="2642" t="s">
        <v>708</v>
      </c>
      <c r="B46" s="2638">
        <v>0.02</v>
      </c>
      <c r="C46" s="2618" t="s">
        <v>709</v>
      </c>
      <c r="D46" s="2598"/>
      <c r="E46" s="2597"/>
      <c r="F46" s="2597"/>
      <c r="G46" s="2597"/>
      <c r="H46" s="2597"/>
      <c r="I46" s="2597"/>
      <c r="J46" s="2597"/>
      <c r="K46" s="2678"/>
      <c r="L46" s="26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4">
      <c r="A47" s="2643" t="s">
        <v>710</v>
      </c>
      <c r="B47" s="2644"/>
      <c r="C47" s="2645" t="s">
        <v>711</v>
      </c>
      <c r="D47" s="2598"/>
      <c r="E47" s="2597"/>
      <c r="F47" s="2597"/>
      <c r="G47" s="2597"/>
      <c r="H47" s="2597"/>
      <c r="I47" s="2597"/>
      <c r="J47" s="2597"/>
      <c r="K47" s="2678"/>
      <c r="L47" s="26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4">
      <c r="A48" s="2646" t="s">
        <v>712</v>
      </c>
      <c r="B48" s="2647">
        <v>0.03</v>
      </c>
      <c r="C48" s="2618" t="s">
        <v>707</v>
      </c>
      <c r="D48" s="2598"/>
      <c r="E48" s="2597"/>
      <c r="F48" s="2597"/>
      <c r="G48" s="2597"/>
      <c r="H48" s="2597"/>
      <c r="I48" s="2597"/>
      <c r="J48" s="2597"/>
      <c r="K48" s="2678"/>
      <c r="L48" s="26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23" t="s">
        <v>713</v>
      </c>
      <c r="B49" s="2638">
        <v>5.0000000000000001E-4</v>
      </c>
      <c r="C49" s="2618" t="s">
        <v>714</v>
      </c>
      <c r="D49" s="2598"/>
      <c r="E49" s="2597"/>
      <c r="F49" s="2597"/>
      <c r="G49" s="2597"/>
      <c r="H49" s="2597"/>
      <c r="I49" s="2597"/>
      <c r="J49" s="2597"/>
      <c r="K49" s="2678"/>
      <c r="L49" s="26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48" t="s">
        <v>715</v>
      </c>
      <c r="B50" s="2649">
        <v>1.2E-2</v>
      </c>
      <c r="C50" s="1071"/>
      <c r="D50" s="2598"/>
      <c r="E50" s="2597"/>
      <c r="F50" s="2597"/>
      <c r="G50" s="2597"/>
      <c r="H50" s="2597"/>
      <c r="I50" s="2597"/>
      <c r="J50" s="2597"/>
      <c r="K50" s="2678"/>
      <c r="L50" s="26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16" t="s">
        <v>716</v>
      </c>
      <c r="B51" s="2650">
        <v>0.12</v>
      </c>
      <c r="C51" s="1071"/>
      <c r="D51" s="2598"/>
      <c r="E51" s="2597"/>
      <c r="F51" s="2597"/>
      <c r="G51" s="2597"/>
      <c r="H51" s="2597"/>
      <c r="I51" s="2597"/>
      <c r="J51" s="2597"/>
      <c r="K51" s="2678"/>
      <c r="L51" s="26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48" t="s">
        <v>717</v>
      </c>
      <c r="B52" s="2651">
        <f>SUMIF(A54:A63,B53,B54:B63)</f>
        <v>1.5</v>
      </c>
      <c r="C52" s="1071"/>
      <c r="D52" s="2598"/>
      <c r="E52" s="2597"/>
      <c r="F52" s="2597"/>
      <c r="G52" s="2597"/>
      <c r="H52" s="2597"/>
      <c r="I52" s="2597"/>
      <c r="J52" s="2597"/>
      <c r="K52" s="2678"/>
      <c r="L52" s="26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13" t="s">
        <v>718</v>
      </c>
      <c r="B53" s="2652" t="s">
        <v>273</v>
      </c>
      <c r="C53" s="1071" t="s">
        <v>719</v>
      </c>
      <c r="D53" s="2653" t="s">
        <v>720</v>
      </c>
      <c r="E53" s="2597"/>
      <c r="F53" s="2597"/>
      <c r="G53" s="2597"/>
      <c r="H53" s="2597"/>
      <c r="I53" s="2597"/>
      <c r="J53" s="2597"/>
      <c r="K53" s="2678"/>
      <c r="L53" s="26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54" t="s">
        <v>721</v>
      </c>
      <c r="B54" s="2655"/>
      <c r="C54" s="1071">
        <v>30</v>
      </c>
      <c r="D54" s="2598"/>
      <c r="E54" s="2597"/>
      <c r="F54" s="2597"/>
      <c r="G54" s="2597"/>
      <c r="H54" s="2597"/>
      <c r="I54" s="2597"/>
      <c r="J54" s="2597"/>
      <c r="K54" s="2678"/>
      <c r="L54" s="26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54" t="s">
        <v>722</v>
      </c>
      <c r="B55" s="2655"/>
      <c r="C55" s="1071">
        <v>24</v>
      </c>
      <c r="D55" s="2598"/>
      <c r="E55" s="2597"/>
      <c r="F55" s="2597"/>
      <c r="G55" s="2597"/>
      <c r="H55" s="2597"/>
      <c r="I55" s="2597"/>
      <c r="J55" s="2597"/>
      <c r="K55" s="2678"/>
      <c r="L55" s="26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54" t="s">
        <v>723</v>
      </c>
      <c r="B56" s="2655"/>
      <c r="C56" s="1071">
        <v>18</v>
      </c>
      <c r="D56" s="2598"/>
      <c r="E56" s="2597"/>
      <c r="F56" s="2597"/>
      <c r="G56" s="2597"/>
      <c r="H56" s="2597"/>
      <c r="I56" s="2597"/>
      <c r="J56" s="2597"/>
      <c r="K56" s="2678"/>
      <c r="L56" s="26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54" t="s">
        <v>724</v>
      </c>
      <c r="B57" s="2655"/>
      <c r="C57" s="1071">
        <v>12</v>
      </c>
      <c r="D57" s="2598"/>
      <c r="E57" s="2597"/>
      <c r="F57" s="2597"/>
      <c r="G57" s="2597"/>
      <c r="H57" s="2597"/>
      <c r="I57" s="2597"/>
      <c r="J57" s="2597"/>
      <c r="K57" s="2678"/>
      <c r="L57" s="26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54" t="s">
        <v>725</v>
      </c>
      <c r="B58" s="2655"/>
      <c r="C58" s="1071">
        <v>3</v>
      </c>
      <c r="D58" s="2598"/>
      <c r="E58" s="2597"/>
      <c r="F58" s="2597"/>
      <c r="G58" s="2597"/>
      <c r="H58" s="2597"/>
      <c r="I58" s="2597"/>
      <c r="J58" s="2597"/>
      <c r="K58" s="2678"/>
      <c r="L58" s="26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54" t="s">
        <v>726</v>
      </c>
      <c r="B59" s="2655">
        <f>C59</f>
        <v>1.5</v>
      </c>
      <c r="C59" s="1071">
        <v>1.5</v>
      </c>
      <c r="D59" s="2598"/>
      <c r="E59" s="2597"/>
      <c r="F59" s="2597"/>
      <c r="G59" s="2597"/>
      <c r="H59" s="2597"/>
      <c r="I59" s="2597"/>
      <c r="J59" s="2597"/>
      <c r="K59" s="2678"/>
      <c r="L59" s="26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54" t="s">
        <v>727</v>
      </c>
      <c r="B60" s="2655"/>
      <c r="C60" s="2597"/>
      <c r="D60" s="2598"/>
      <c r="E60" s="2597"/>
      <c r="F60" s="2597"/>
      <c r="G60" s="2597"/>
      <c r="H60" s="2597"/>
      <c r="I60" s="2597"/>
      <c r="J60" s="2597"/>
      <c r="K60" s="2678"/>
      <c r="L60" s="26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54" t="s">
        <v>728</v>
      </c>
      <c r="B61" s="2655"/>
      <c r="C61" s="2597"/>
      <c r="D61" s="2598"/>
      <c r="E61" s="2597"/>
      <c r="F61" s="2597"/>
      <c r="G61" s="2597"/>
      <c r="H61" s="2597"/>
      <c r="I61" s="2597"/>
      <c r="J61" s="2597"/>
      <c r="K61" s="2678"/>
      <c r="L61" s="26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54" t="s">
        <v>729</v>
      </c>
      <c r="B62" s="2655"/>
      <c r="C62" s="2597"/>
      <c r="D62" s="2598"/>
      <c r="E62" s="2597"/>
      <c r="F62" s="2597"/>
      <c r="G62" s="2597"/>
      <c r="H62" s="2597"/>
      <c r="I62" s="2597"/>
      <c r="J62" s="2597"/>
      <c r="K62" s="2678"/>
      <c r="L62" s="26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56" t="s">
        <v>730</v>
      </c>
      <c r="B63" s="2657"/>
      <c r="C63" s="2597"/>
      <c r="D63" s="2598"/>
      <c r="E63" s="2597"/>
      <c r="F63" s="2597"/>
      <c r="G63" s="2597"/>
      <c r="H63" s="2597"/>
      <c r="I63" s="2597"/>
      <c r="J63" s="2597"/>
      <c r="K63" s="2678"/>
      <c r="L63" s="26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58"/>
      <c r="B64" s="2408"/>
      <c r="C64" s="2408"/>
      <c r="D64" s="2595"/>
      <c r="E64" s="2408"/>
      <c r="F64" s="2408"/>
      <c r="G64" s="2408"/>
      <c r="H64" s="2408"/>
      <c r="I64" s="2408"/>
      <c r="J64" s="2408"/>
      <c r="K64" s="2678"/>
      <c r="L64" s="26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58"/>
      <c r="B65" s="2408"/>
      <c r="C65" s="2408"/>
      <c r="D65" s="2595"/>
      <c r="E65" s="2408"/>
      <c r="F65" s="2408"/>
      <c r="G65" s="2408"/>
      <c r="H65" s="2408"/>
      <c r="I65" s="2408"/>
      <c r="J65" s="2408"/>
      <c r="K65" s="2678"/>
      <c r="L65" s="26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58"/>
      <c r="B66" s="2408"/>
      <c r="C66" s="2408"/>
      <c r="D66" s="2595"/>
      <c r="E66" s="2408"/>
      <c r="F66" s="2408"/>
      <c r="G66" s="2408"/>
      <c r="H66" s="2408"/>
      <c r="I66" s="2408"/>
      <c r="J66" s="2408"/>
      <c r="K66" s="2678"/>
      <c r="L66" s="26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58"/>
      <c r="B67" s="2408"/>
      <c r="C67" s="2408"/>
      <c r="D67" s="2595"/>
      <c r="E67" s="2408"/>
      <c r="F67" s="2408"/>
      <c r="G67" s="2408"/>
      <c r="H67" s="2408"/>
      <c r="I67" s="2408"/>
      <c r="J67" s="2408"/>
      <c r="K67" s="2678"/>
      <c r="L67" s="26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58"/>
      <c r="B68" s="2408"/>
      <c r="C68" s="2408"/>
      <c r="D68" s="2595"/>
      <c r="E68" s="2408"/>
      <c r="F68" s="2408"/>
      <c r="G68" s="2408"/>
      <c r="H68" s="2408"/>
      <c r="I68" s="2408"/>
      <c r="J68" s="2408"/>
      <c r="K68" s="2678"/>
      <c r="L68" s="26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1"/>
      <c r="K69" s="1506"/>
      <c r="L69" s="1506"/>
    </row>
    <row r="70" spans="1:44" s="1417" customFormat="1">
      <c r="A70" s="2383"/>
      <c r="D70" s="2731"/>
      <c r="K70" s="1506"/>
      <c r="L70" s="1506"/>
    </row>
    <row r="71" spans="1:44" s="1417" customFormat="1">
      <c r="A71" s="2383"/>
      <c r="D71" s="2731"/>
      <c r="K71" s="1506"/>
      <c r="L71" s="1506"/>
    </row>
    <row r="72" spans="1:44" s="1417" customFormat="1">
      <c r="A72" s="2383"/>
      <c r="D72" s="2731"/>
      <c r="K72" s="1506"/>
      <c r="L72" s="1506"/>
    </row>
    <row r="73" spans="1:44" s="1417" customFormat="1">
      <c r="A73" s="2383"/>
      <c r="D73" s="2731"/>
      <c r="K73" s="1506"/>
      <c r="L73" s="1506"/>
    </row>
    <row r="74" spans="1:44" s="1417" customFormat="1">
      <c r="A74" s="2383"/>
      <c r="D74" s="2731"/>
      <c r="K74" s="1506"/>
      <c r="L74" s="1506"/>
    </row>
    <row r="75" spans="1:44" s="1417" customFormat="1">
      <c r="A75" s="2383"/>
      <c r="D75" s="2731"/>
      <c r="K75" s="1506"/>
      <c r="L75" s="1506"/>
    </row>
    <row r="76" spans="1:44" s="1417" customFormat="1">
      <c r="A76" s="2383"/>
      <c r="D76" s="2731"/>
      <c r="K76" s="1506"/>
      <c r="L76" s="1506"/>
    </row>
    <row r="77" spans="1:44" s="1417" customFormat="1">
      <c r="A77" s="2383"/>
      <c r="D77" s="2731"/>
      <c r="K77" s="1506"/>
      <c r="L77" s="1506"/>
    </row>
    <row r="78" spans="1:44" s="1417" customFormat="1">
      <c r="A78" s="2383"/>
      <c r="D78" s="2731"/>
      <c r="K78" s="1506"/>
      <c r="L78" s="1506"/>
    </row>
    <row r="79" spans="1:44" s="1417" customFormat="1">
      <c r="A79" s="2383"/>
      <c r="D79" s="2731"/>
      <c r="K79" s="1506"/>
      <c r="L79" s="1506"/>
    </row>
    <row r="80" spans="1:44" s="1417" customFormat="1">
      <c r="A80" s="2383"/>
      <c r="D80" s="2731"/>
      <c r="K80" s="1506"/>
      <c r="L80" s="1506"/>
    </row>
    <row r="81" spans="1:12" s="1417" customFormat="1">
      <c r="A81" s="2383"/>
      <c r="D81" s="2731"/>
      <c r="K81" s="1506"/>
      <c r="L81" s="1506"/>
    </row>
    <row r="82" spans="1:12" s="1417" customFormat="1">
      <c r="A82" s="2383"/>
      <c r="D82" s="2731"/>
      <c r="K82" s="1506"/>
      <c r="L82" s="1506"/>
    </row>
    <row r="83" spans="1:12" s="1417" customFormat="1">
      <c r="A83" s="2383"/>
      <c r="D83" s="2731"/>
      <c r="K83" s="1506"/>
      <c r="L83" s="1506"/>
    </row>
    <row r="84" spans="1:12" s="1417" customFormat="1">
      <c r="A84" s="2383"/>
      <c r="D84" s="2731"/>
      <c r="K84" s="1506"/>
      <c r="L84" s="1506"/>
    </row>
    <row r="85" spans="1:12" s="1417" customFormat="1">
      <c r="A85" s="2383"/>
      <c r="D85" s="2731"/>
      <c r="K85" s="1506"/>
      <c r="L85" s="1506"/>
    </row>
    <row r="86" spans="1:12" s="1417" customFormat="1">
      <c r="A86" s="2383"/>
      <c r="D86" s="2731"/>
      <c r="K86" s="1506"/>
      <c r="L86" s="1506"/>
    </row>
    <row r="87" spans="1:12" s="1417" customFormat="1">
      <c r="A87" s="2383"/>
      <c r="D87" s="2731"/>
      <c r="K87" s="1506"/>
      <c r="L87" s="1506"/>
    </row>
    <row r="88" spans="1:12" s="1417" customFormat="1">
      <c r="A88" s="2383"/>
      <c r="D88" s="2731"/>
      <c r="K88" s="1506"/>
      <c r="L88" s="1506"/>
    </row>
    <row r="89" spans="1:12" s="1417" customFormat="1">
      <c r="A89" s="2383"/>
      <c r="D89" s="2731"/>
      <c r="K89" s="1506"/>
      <c r="L89" s="1506"/>
    </row>
    <row r="90" spans="1:12" s="1417" customFormat="1">
      <c r="A90" s="2383"/>
      <c r="D90" s="2731"/>
      <c r="K90" s="1506"/>
      <c r="L90" s="1506"/>
    </row>
    <row r="91" spans="1:12" s="1417" customFormat="1">
      <c r="A91" s="2383"/>
      <c r="D91" s="2731"/>
      <c r="K91" s="1506"/>
      <c r="L91" s="1506"/>
    </row>
    <row r="92" spans="1:12" s="1417" customFormat="1">
      <c r="A92" s="2383"/>
      <c r="D92" s="2731"/>
      <c r="K92" s="1506"/>
      <c r="L92" s="1506"/>
    </row>
    <row r="93" spans="1:12" s="1417" customFormat="1">
      <c r="A93" s="2383"/>
      <c r="D93" s="2731"/>
      <c r="K93" s="1506"/>
      <c r="L93" s="1506"/>
    </row>
    <row r="94" spans="1:12" s="1417" customFormat="1">
      <c r="A94" s="2383"/>
      <c r="D94" s="2731"/>
      <c r="K94" s="1506"/>
      <c r="L94" s="1506"/>
    </row>
    <row r="95" spans="1:12" s="1417" customFormat="1">
      <c r="A95" s="2383"/>
      <c r="D95" s="2731"/>
      <c r="K95" s="1506"/>
      <c r="L95" s="1506"/>
    </row>
    <row r="96" spans="1:12" s="1417" customFormat="1">
      <c r="A96" s="2383"/>
      <c r="D96" s="2731"/>
      <c r="K96" s="1506"/>
      <c r="L96" s="1506"/>
    </row>
    <row r="97" spans="1:12" s="1417" customFormat="1">
      <c r="A97" s="2383"/>
      <c r="D97" s="2731"/>
      <c r="K97" s="1506"/>
      <c r="L97" s="1506"/>
    </row>
    <row r="98" spans="1:12" s="1417" customFormat="1">
      <c r="A98" s="2383"/>
      <c r="D98" s="2731"/>
      <c r="K98" s="1506"/>
      <c r="L98" s="1506"/>
    </row>
    <row r="99" spans="1:12" s="1417" customFormat="1">
      <c r="A99" s="2383"/>
      <c r="D99" s="2731"/>
      <c r="K99" s="1506"/>
      <c r="L99" s="1506"/>
    </row>
    <row r="100" spans="1:12" s="1417" customFormat="1">
      <c r="A100" s="2383"/>
      <c r="D100" s="2731"/>
      <c r="K100" s="1506"/>
      <c r="L100" s="1506"/>
    </row>
    <row r="101" spans="1:12" s="1417" customFormat="1">
      <c r="A101" s="2383"/>
      <c r="D101" s="2731"/>
      <c r="K101" s="1506"/>
      <c r="L101" s="1506"/>
    </row>
    <row r="102" spans="1:12" s="1417" customFormat="1">
      <c r="A102" s="2383"/>
      <c r="D102" s="2731"/>
      <c r="K102" s="1506"/>
      <c r="L102" s="1506"/>
    </row>
    <row r="103" spans="1:12" s="1417" customFormat="1">
      <c r="A103" s="2383"/>
      <c r="D103" s="2731"/>
      <c r="K103" s="1506"/>
      <c r="L103" s="1506"/>
    </row>
    <row r="104" spans="1:12" s="1417" customFormat="1">
      <c r="A104" s="2383"/>
      <c r="D104" s="2731"/>
      <c r="K104" s="1506"/>
      <c r="L104" s="1506"/>
    </row>
    <row r="105" spans="1:12" s="1417" customFormat="1">
      <c r="A105" s="2383"/>
      <c r="D105" s="2731"/>
      <c r="K105" s="1506"/>
      <c r="L105" s="1506"/>
    </row>
    <row r="106" spans="1:12" s="1417" customFormat="1">
      <c r="A106" s="2383"/>
      <c r="D106" s="2731"/>
      <c r="K106" s="1506"/>
      <c r="L106" s="1506"/>
    </row>
    <row r="107" spans="1:12" s="1417" customFormat="1">
      <c r="A107" s="2383"/>
      <c r="D107" s="2731"/>
      <c r="K107" s="1506"/>
      <c r="L107" s="1506"/>
    </row>
    <row r="108" spans="1:12" s="1417" customFormat="1">
      <c r="A108" s="2383"/>
      <c r="D108" s="2731"/>
      <c r="K108" s="1506"/>
      <c r="L108" s="1506"/>
    </row>
    <row r="109" spans="1:12" s="1417" customFormat="1">
      <c r="A109" s="2383"/>
      <c r="D109" s="2731"/>
      <c r="K109" s="1506"/>
      <c r="L109" s="1506"/>
    </row>
    <row r="110" spans="1:12" s="1417" customFormat="1">
      <c r="A110" s="2383"/>
      <c r="D110" s="2731"/>
      <c r="K110" s="1506"/>
      <c r="L110" s="1506"/>
    </row>
    <row r="111" spans="1:12" s="1417" customFormat="1">
      <c r="A111" s="2383"/>
      <c r="D111" s="2731"/>
      <c r="K111" s="1506"/>
      <c r="L111" s="1506"/>
    </row>
    <row r="112" spans="1:12" s="1417" customFormat="1">
      <c r="A112" s="2383"/>
      <c r="D112" s="2731"/>
      <c r="K112" s="1506"/>
      <c r="L112" s="1506"/>
    </row>
    <row r="113" spans="1:12" s="1417" customFormat="1">
      <c r="A113" s="2383"/>
      <c r="D113" s="2731"/>
      <c r="K113" s="1506"/>
      <c r="L113" s="1506"/>
    </row>
    <row r="114" spans="1:12" s="1417" customFormat="1">
      <c r="A114" s="2383"/>
      <c r="D114" s="2731"/>
      <c r="K114" s="1506"/>
      <c r="L114" s="1506"/>
    </row>
    <row r="115" spans="1:12" s="1417" customFormat="1">
      <c r="A115" s="2383"/>
      <c r="D115" s="2731"/>
      <c r="K115" s="1506"/>
      <c r="L115" s="1506"/>
    </row>
    <row r="116" spans="1:12" s="1417" customFormat="1">
      <c r="A116" s="2383"/>
      <c r="D116" s="2731"/>
      <c r="K116" s="1506"/>
      <c r="L116" s="1506"/>
    </row>
    <row r="117" spans="1:12" s="1417" customFormat="1">
      <c r="A117" s="2383"/>
      <c r="D117" s="2731"/>
      <c r="K117" s="1506"/>
      <c r="L117" s="1506"/>
    </row>
    <row r="118" spans="1:12" s="1417" customFormat="1">
      <c r="A118" s="2383"/>
      <c r="D118" s="2731"/>
      <c r="K118" s="1506"/>
      <c r="L118" s="1506"/>
    </row>
    <row r="119" spans="1:12" s="1417" customFormat="1">
      <c r="A119" s="2383"/>
      <c r="D119" s="2731"/>
      <c r="K119" s="1506"/>
      <c r="L119" s="1506"/>
    </row>
    <row r="120" spans="1:12" s="1417" customFormat="1">
      <c r="A120" s="2383"/>
      <c r="D120" s="2731"/>
      <c r="K120" s="1506"/>
      <c r="L120" s="1506"/>
    </row>
    <row r="121" spans="1:12" s="1417" customFormat="1">
      <c r="A121" s="2383"/>
      <c r="D121" s="2731"/>
      <c r="K121" s="1506"/>
      <c r="L121" s="1506"/>
    </row>
    <row r="122" spans="1:12" s="1417" customFormat="1">
      <c r="A122" s="2383"/>
      <c r="D122" s="2731"/>
      <c r="K122" s="1506"/>
      <c r="L122" s="1506"/>
    </row>
    <row r="123" spans="1:12" s="1417" customFormat="1">
      <c r="A123" s="2383"/>
      <c r="D123" s="2731"/>
      <c r="K123" s="1506"/>
      <c r="L123" s="1506"/>
    </row>
    <row r="124" spans="1:12" s="1417" customFormat="1">
      <c r="A124" s="2383"/>
      <c r="D124" s="2731"/>
      <c r="K124" s="1506"/>
      <c r="L124" s="1506"/>
    </row>
    <row r="125" spans="1:12" s="1417" customFormat="1">
      <c r="A125" s="2383"/>
      <c r="D125" s="2731"/>
      <c r="K125" s="1506"/>
      <c r="L125" s="1506"/>
    </row>
    <row r="126" spans="1:12" s="1417" customFormat="1">
      <c r="A126" s="2383"/>
      <c r="D126" s="2731"/>
      <c r="K126" s="1506"/>
      <c r="L126" s="1506"/>
    </row>
    <row r="127" spans="1:12" s="1417" customFormat="1">
      <c r="A127" s="2383"/>
      <c r="D127" s="2731"/>
      <c r="K127" s="1506"/>
      <c r="L127" s="1506"/>
    </row>
    <row r="128" spans="1:12" s="1417" customFormat="1">
      <c r="A128" s="2383"/>
      <c r="D128" s="2731"/>
      <c r="K128" s="1506"/>
      <c r="L128" s="1506"/>
    </row>
    <row r="129" spans="1:12" s="1417" customFormat="1">
      <c r="A129" s="2383"/>
      <c r="D129" s="2731"/>
      <c r="K129" s="1506"/>
      <c r="L129" s="1506"/>
    </row>
    <row r="130" spans="1:12" s="1417" customFormat="1">
      <c r="A130" s="2383"/>
      <c r="D130" s="2731"/>
      <c r="K130" s="1506"/>
      <c r="L130" s="1506"/>
    </row>
    <row r="131" spans="1:12" s="1417" customFormat="1">
      <c r="A131" s="2383"/>
      <c r="D131" s="2731"/>
      <c r="K131" s="1506"/>
      <c r="L131" s="1506"/>
    </row>
    <row r="132" spans="1:12" s="1417" customFormat="1">
      <c r="A132" s="2383"/>
      <c r="D132" s="2731"/>
      <c r="K132" s="1506"/>
      <c r="L132" s="1506"/>
    </row>
    <row r="133" spans="1:12" s="1417" customFormat="1">
      <c r="A133" s="2383"/>
      <c r="D133" s="2731"/>
      <c r="K133" s="1506"/>
      <c r="L133" s="1506"/>
    </row>
    <row r="134" spans="1:12" s="1416" customFormat="1">
      <c r="A134" s="2732"/>
      <c r="D134" s="2733"/>
      <c r="K134" s="1413"/>
      <c r="L134" s="1413"/>
    </row>
    <row r="135" spans="1:12" s="1416" customFormat="1">
      <c r="A135" s="2732"/>
      <c r="D135" s="2733"/>
      <c r="K135" s="1413"/>
      <c r="L135" s="1413"/>
    </row>
    <row r="136" spans="1:12" s="1416" customFormat="1">
      <c r="A136" s="2732"/>
      <c r="D136" s="2733"/>
      <c r="K136" s="1413"/>
      <c r="L136" s="1413"/>
    </row>
    <row r="137" spans="1:12" s="1416" customFormat="1">
      <c r="A137" s="2732"/>
      <c r="D137" s="2733"/>
      <c r="K137" s="1413"/>
      <c r="L137" s="1413"/>
    </row>
    <row r="138" spans="1:12" s="1416" customFormat="1">
      <c r="A138" s="2732"/>
      <c r="D138" s="2733"/>
      <c r="K138" s="1413"/>
      <c r="L138" s="1413"/>
    </row>
    <row r="139" spans="1:12" s="1416" customFormat="1">
      <c r="A139" s="2732"/>
      <c r="D139" s="2733"/>
      <c r="K139" s="1413"/>
      <c r="L139" s="1413"/>
    </row>
    <row r="140" spans="1:12" s="1416" customFormat="1">
      <c r="A140" s="2732"/>
      <c r="D140" s="2733"/>
      <c r="K140" s="1413"/>
      <c r="L140" s="1413"/>
    </row>
    <row r="141" spans="1:12" s="1416" customFormat="1">
      <c r="A141" s="2732"/>
      <c r="D141" s="2733"/>
      <c r="K141" s="1413"/>
      <c r="L141" s="1413"/>
    </row>
    <row r="142" spans="1:12" s="1416" customFormat="1">
      <c r="A142" s="2732"/>
      <c r="D142" s="2733"/>
      <c r="K142" s="1413"/>
      <c r="L142" s="1413"/>
    </row>
    <row r="143" spans="1:12" s="1416" customFormat="1">
      <c r="A143" s="2732"/>
      <c r="D143" s="2733"/>
      <c r="K143" s="1413"/>
      <c r="L143" s="1413"/>
    </row>
    <row r="144" spans="1:12" s="1416" customFormat="1">
      <c r="A144" s="2732"/>
      <c r="D144" s="2733"/>
      <c r="K144" s="1413"/>
      <c r="L144" s="1413"/>
    </row>
    <row r="145" spans="1:12" s="1416" customFormat="1">
      <c r="A145" s="2732"/>
      <c r="D145" s="2733"/>
      <c r="K145" s="1413"/>
      <c r="L145" s="1413"/>
    </row>
    <row r="146" spans="1:12" s="1416" customFormat="1">
      <c r="A146" s="2732"/>
      <c r="D146" s="2733"/>
      <c r="K146" s="1413"/>
      <c r="L146" s="1413"/>
    </row>
    <row r="147" spans="1:12" s="1416" customFormat="1">
      <c r="A147" s="2732"/>
      <c r="D147" s="2733"/>
      <c r="K147" s="1413"/>
      <c r="L147" s="1413"/>
    </row>
    <row r="148" spans="1:12" s="1416" customFormat="1">
      <c r="A148" s="2732"/>
      <c r="D148" s="2733"/>
      <c r="K148" s="1413"/>
      <c r="L148" s="1413"/>
    </row>
    <row r="149" spans="1:12" s="1416" customFormat="1">
      <c r="A149" s="2732"/>
      <c r="D149" s="2733"/>
      <c r="K149" s="1413"/>
      <c r="L149" s="1413"/>
    </row>
    <row r="150" spans="1:12" s="1416" customFormat="1">
      <c r="A150" s="2732"/>
      <c r="D150" s="2733"/>
      <c r="K150" s="1413"/>
      <c r="L150" s="1413"/>
    </row>
    <row r="151" spans="1:12" s="1416" customFormat="1">
      <c r="A151" s="2732"/>
      <c r="D151" s="2733"/>
      <c r="K151" s="1413"/>
      <c r="L151" s="1413"/>
    </row>
    <row r="152" spans="1:12" s="1416" customFormat="1">
      <c r="A152" s="2732"/>
      <c r="D152" s="2733"/>
      <c r="K152" s="1413"/>
      <c r="L152" s="1413"/>
    </row>
    <row r="153" spans="1:12" s="1416" customFormat="1">
      <c r="A153" s="2732"/>
      <c r="D153" s="2733"/>
      <c r="K153" s="1413"/>
      <c r="L153" s="1413"/>
    </row>
    <row r="154" spans="1:12" s="1416" customFormat="1">
      <c r="A154" s="2732"/>
      <c r="D154" s="2733"/>
      <c r="K154" s="1413"/>
      <c r="L154" s="1413"/>
    </row>
    <row r="155" spans="1:12" s="1416" customFormat="1">
      <c r="A155" s="2732"/>
      <c r="D155" s="2733"/>
      <c r="K155" s="1413"/>
      <c r="L155" s="1413"/>
    </row>
    <row r="156" spans="1:12" s="1416" customFormat="1">
      <c r="A156" s="2732"/>
      <c r="D156" s="2733"/>
      <c r="K156" s="1413"/>
      <c r="L156" s="1413"/>
    </row>
    <row r="157" spans="1:12" s="1416" customFormat="1">
      <c r="A157" s="2732"/>
      <c r="D157" s="2733"/>
      <c r="K157" s="1413"/>
      <c r="L157" s="1413"/>
    </row>
    <row r="158" spans="1:12" s="1416" customFormat="1">
      <c r="A158" s="2732"/>
      <c r="D158" s="2733"/>
      <c r="K158" s="1413"/>
      <c r="L158" s="1413"/>
    </row>
    <row r="159" spans="1:12" s="1416" customFormat="1">
      <c r="A159" s="2732"/>
      <c r="D159" s="2733"/>
      <c r="K159" s="1413"/>
      <c r="L159" s="1413"/>
    </row>
    <row r="160" spans="1:12" s="1416" customFormat="1">
      <c r="A160" s="2732"/>
      <c r="D160" s="2733"/>
      <c r="K160" s="1413"/>
      <c r="L160" s="1413"/>
    </row>
    <row r="161" spans="1:12" s="1416" customFormat="1">
      <c r="A161" s="2732"/>
      <c r="D161" s="2733"/>
      <c r="K161" s="1413"/>
      <c r="L161" s="1413"/>
    </row>
    <row r="162" spans="1:12" s="1416" customFormat="1">
      <c r="A162" s="2732"/>
      <c r="D162" s="2733"/>
      <c r="K162" s="1413"/>
      <c r="L162" s="1413"/>
    </row>
    <row r="163" spans="1:12" s="1416" customFormat="1">
      <c r="A163" s="2732"/>
      <c r="D163" s="2733"/>
      <c r="K163" s="1413"/>
      <c r="L163" s="1413"/>
    </row>
    <row r="164" spans="1:12" s="1416" customFormat="1">
      <c r="A164" s="2732"/>
      <c r="D164" s="2733"/>
      <c r="K164" s="1413"/>
      <c r="L164" s="1413"/>
    </row>
    <row r="165" spans="1:12" s="1416" customFormat="1">
      <c r="A165" s="2732"/>
      <c r="D165" s="2733"/>
      <c r="K165" s="1413"/>
      <c r="L165" s="1413"/>
    </row>
    <row r="166" spans="1:12" s="1416" customFormat="1">
      <c r="A166" s="2732"/>
      <c r="D166" s="2733"/>
      <c r="K166" s="1413"/>
      <c r="L166" s="1413"/>
    </row>
    <row r="167" spans="1:12" s="1416" customFormat="1">
      <c r="A167" s="2732"/>
      <c r="D167" s="2733"/>
      <c r="K167" s="1413"/>
      <c r="L167" s="1413"/>
    </row>
    <row r="168" spans="1:12" s="1416" customFormat="1">
      <c r="A168" s="2732"/>
      <c r="D168" s="2733"/>
      <c r="K168" s="1413"/>
      <c r="L168" s="1413"/>
    </row>
    <row r="169" spans="1:12" s="1416" customFormat="1">
      <c r="A169" s="2732"/>
      <c r="D169" s="2733"/>
      <c r="K169" s="1413"/>
      <c r="L169" s="1413"/>
    </row>
    <row r="170" spans="1:12" s="1416" customFormat="1">
      <c r="A170" s="2732"/>
      <c r="D170" s="2733"/>
      <c r="K170" s="1413"/>
      <c r="L170" s="1413"/>
    </row>
    <row r="171" spans="1:12" s="1416" customFormat="1">
      <c r="A171" s="2732"/>
      <c r="D171" s="2733"/>
      <c r="K171" s="1413"/>
      <c r="L171" s="1413"/>
    </row>
    <row r="172" spans="1:12" s="1416" customFormat="1">
      <c r="A172" s="2732"/>
      <c r="D172" s="2733"/>
      <c r="K172" s="1413"/>
      <c r="L172" s="1413"/>
    </row>
    <row r="173" spans="1:12" s="1416" customFormat="1">
      <c r="A173" s="2732"/>
      <c r="D173" s="2733"/>
      <c r="K173" s="1413"/>
      <c r="L173" s="1413"/>
    </row>
    <row r="174" spans="1:12" s="1416" customFormat="1">
      <c r="A174" s="2732"/>
      <c r="D174" s="2733"/>
      <c r="K174" s="1413"/>
      <c r="L174" s="141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3.8"/>
  <cols>
    <col min="1" max="1" width="9.44140625" style="2504" customWidth="1"/>
    <col min="2" max="3" width="24.44140625" style="1408" customWidth="1"/>
    <col min="4" max="4" width="2.6640625" style="1408" customWidth="1"/>
    <col min="5" max="5" width="5.88671875" style="1408" customWidth="1"/>
    <col min="6" max="7" width="27" style="1408"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397" customWidth="1"/>
    <col min="19" max="29" width="9" style="2397"/>
    <col min="30" max="16384" width="9" style="2504"/>
  </cols>
  <sheetData>
    <row r="1" spans="1:29" s="2503" customFormat="1" ht="17.399999999999999">
      <c r="A1" s="3284" t="s">
        <v>731</v>
      </c>
      <c r="B1" s="3285"/>
      <c r="C1" s="3285"/>
      <c r="D1" s="3285"/>
      <c r="E1" s="3285"/>
      <c r="F1" s="3285"/>
      <c r="G1" s="3285"/>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78" t="s">
        <v>2850</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78" t="s">
        <v>2795</v>
      </c>
      <c r="D6" s="2515"/>
      <c r="E6" s="2520"/>
      <c r="F6" s="1896" t="s">
        <v>740</v>
      </c>
      <c r="G6" s="2521"/>
      <c r="H6" s="2397"/>
      <c r="I6" s="2397"/>
      <c r="J6" s="2397"/>
      <c r="K6" s="2397"/>
      <c r="L6" s="2397"/>
      <c r="M6" s="2397"/>
      <c r="N6" s="2397"/>
      <c r="O6" s="2397"/>
      <c r="P6" s="2397"/>
      <c r="Q6" s="2397"/>
    </row>
    <row r="7" spans="1:29">
      <c r="A7" s="2516"/>
      <c r="B7" s="1896" t="s">
        <v>563</v>
      </c>
      <c r="C7" s="3178" t="s">
        <v>2795</v>
      </c>
      <c r="D7" s="2522"/>
      <c r="E7" s="2523"/>
      <c r="F7" s="2524" t="s">
        <v>741</v>
      </c>
      <c r="G7" s="2525"/>
      <c r="H7" s="2397"/>
      <c r="I7" s="2397"/>
      <c r="J7" s="2397"/>
      <c r="K7" s="2397"/>
      <c r="L7" s="2397"/>
      <c r="M7" s="2397"/>
      <c r="N7" s="2397"/>
      <c r="O7" s="2397"/>
      <c r="P7" s="2397"/>
      <c r="Q7" s="2397"/>
    </row>
    <row r="8" spans="1:29">
      <c r="A8" s="2516"/>
      <c r="B8" s="1896" t="s">
        <v>740</v>
      </c>
      <c r="C8" s="3179" t="s">
        <v>2796</v>
      </c>
      <c r="D8" s="2522"/>
      <c r="E8" s="2522"/>
      <c r="F8" s="1458"/>
      <c r="G8" s="1458"/>
      <c r="H8" s="2397"/>
      <c r="I8" s="2397"/>
      <c r="J8" s="2397"/>
      <c r="K8" s="2397"/>
      <c r="L8" s="2397"/>
      <c r="M8" s="2397"/>
      <c r="N8" s="2397"/>
      <c r="O8" s="2397"/>
      <c r="P8" s="2397"/>
      <c r="Q8" s="2397"/>
    </row>
    <row r="9" spans="1:29">
      <c r="A9" s="2516"/>
      <c r="B9" s="1896" t="s">
        <v>742</v>
      </c>
      <c r="C9" s="3178" t="s">
        <v>2795</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较差</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一般</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一般</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D14" sqref="D14"/>
    </sheetView>
  </sheetViews>
  <sheetFormatPr defaultColWidth="9" defaultRowHeight="14.4"/>
  <cols>
    <col min="1" max="1" width="25" style="2489" customWidth="1"/>
    <col min="2" max="9" width="15.77734375" style="2489" customWidth="1"/>
    <col min="10" max="16384" width="9" style="2489"/>
  </cols>
  <sheetData>
    <row r="1" spans="1:11" ht="16.2">
      <c r="A1" s="2490" t="s">
        <v>748</v>
      </c>
      <c r="B1" s="2490">
        <f>SUM(B14:B23)</f>
        <v>355.32</v>
      </c>
      <c r="C1" s="2491"/>
      <c r="D1" s="2491"/>
      <c r="E1" s="2491"/>
      <c r="F1" s="2491"/>
      <c r="G1" s="2492"/>
      <c r="H1" s="2492"/>
      <c r="I1" s="2492"/>
      <c r="J1" s="2492"/>
      <c r="K1" s="2492"/>
    </row>
    <row r="2" spans="1:11" ht="16.2">
      <c r="A2" s="2490" t="s">
        <v>749</v>
      </c>
      <c r="B2" s="2490">
        <f>SUM(C14:C23)</f>
        <v>0</v>
      </c>
      <c r="C2" s="2491"/>
      <c r="D2" s="2491"/>
      <c r="E2" s="2491"/>
      <c r="F2" s="2491"/>
      <c r="G2" s="2492"/>
      <c r="H2" s="2492"/>
      <c r="I2" s="2492"/>
      <c r="J2" s="2492"/>
      <c r="K2" s="2492"/>
    </row>
    <row r="3" spans="1:11" ht="15.6">
      <c r="A3" s="2490" t="s">
        <v>750</v>
      </c>
      <c r="B3" s="2493">
        <f>项目基本情况!D3</f>
        <v>45839</v>
      </c>
      <c r="C3" s="2491"/>
      <c r="D3" s="2491"/>
      <c r="E3" s="2491"/>
      <c r="F3" s="2491"/>
      <c r="G3" s="2492"/>
      <c r="H3" s="2492"/>
      <c r="I3" s="2492"/>
      <c r="J3" s="2492"/>
      <c r="K3" s="2492"/>
    </row>
    <row r="4" spans="1:11" ht="31.2">
      <c r="A4" s="2490" t="s">
        <v>751</v>
      </c>
      <c r="B4" s="2490" t="s">
        <v>752</v>
      </c>
      <c r="C4" s="2490" t="s">
        <v>753</v>
      </c>
      <c r="D4" s="2490" t="s">
        <v>754</v>
      </c>
      <c r="E4" s="2491"/>
      <c r="F4" s="2492"/>
      <c r="G4" s="2492"/>
      <c r="H4" s="2492"/>
      <c r="I4" s="2492"/>
      <c r="J4" s="2492"/>
      <c r="K4" s="2492"/>
    </row>
    <row r="5" spans="1:11" ht="15.6">
      <c r="A5" s="2490" t="s">
        <v>755</v>
      </c>
      <c r="B5" s="2490">
        <f ca="1">SUM(D14:D23)</f>
        <v>1009</v>
      </c>
      <c r="C5" s="2490">
        <f ca="1">IF(B5=D14,结果表110!H102,ROUND(B5*10000/$B$1,0))</f>
        <v>28410</v>
      </c>
      <c r="D5" s="2490" t="e">
        <f ca="1">ROUND(B5*10000/$B$2,0)</f>
        <v>#DIV/0!</v>
      </c>
      <c r="E5" s="2491">
        <f ca="1">B5*10000</f>
        <v>10090000</v>
      </c>
      <c r="F5" s="3286" t="str">
        <f ca="1">NUMBERSTRING(INT(E5*10000),2)&amp;"元整"</f>
        <v>壹仟零玖亿元整</v>
      </c>
      <c r="G5" s="3287"/>
      <c r="H5" s="2492"/>
      <c r="I5" s="2492"/>
      <c r="J5" s="2492"/>
      <c r="K5" s="2492"/>
    </row>
    <row r="6" spans="1:11" ht="15.6">
      <c r="A6" s="2490" t="s">
        <v>756</v>
      </c>
      <c r="B6" s="2490">
        <f ca="1">SUM(G14:G23)</f>
        <v>1009</v>
      </c>
      <c r="C6" s="2490">
        <f ca="1">IF(B6=G14,结果表110!H108,ROUND(B6*10000/$B$1,0))</f>
        <v>28410</v>
      </c>
      <c r="D6" s="2490" t="e">
        <f ca="1">ROUND(B6*10000/$B$2,0)</f>
        <v>#DIV/0!</v>
      </c>
      <c r="E6" s="2491"/>
      <c r="F6" s="2492"/>
      <c r="G6" s="2492"/>
      <c r="H6" s="2492"/>
      <c r="I6" s="2492"/>
      <c r="J6" s="2492"/>
      <c r="K6" s="2492"/>
    </row>
    <row r="7" spans="1:11" ht="15.6">
      <c r="A7" s="2490" t="s">
        <v>757</v>
      </c>
      <c r="B7" s="2490">
        <f>SUM(H14:H23)</f>
        <v>0</v>
      </c>
      <c r="C7" s="2490" t="str">
        <f>IF(B7=H14,结果表110!H110,ROUND(B7*10000/$B$1,0))</f>
        <v>——</v>
      </c>
      <c r="D7" s="2490" t="e">
        <f>ROUND(B7*10000/$B$2,0)</f>
        <v>#DIV/0!</v>
      </c>
      <c r="E7" s="2491"/>
      <c r="F7" s="2492"/>
      <c r="G7" s="2492"/>
      <c r="H7" s="2492"/>
      <c r="I7" s="2492"/>
      <c r="J7" s="2492"/>
      <c r="K7" s="2492"/>
    </row>
    <row r="8" spans="1:11" ht="15.6">
      <c r="A8" s="2490" t="s">
        <v>336</v>
      </c>
      <c r="B8" s="2490">
        <f>SUM(I14:I23)</f>
        <v>0</v>
      </c>
      <c r="C8" s="2490" t="str">
        <f>IF(B8=I14,结果表110!H112,ROUND(B8*10000/$B$1,0))</f>
        <v>——</v>
      </c>
      <c r="D8" s="2490" t="e">
        <f>ROUND(B8*10000/$B$2,0)</f>
        <v>#DIV/0!</v>
      </c>
      <c r="E8" s="2491">
        <f>B8*10000</f>
        <v>0</v>
      </c>
      <c r="F8" s="3286" t="str">
        <f>NUMBERSTRING(INT(E8*10000),2)&amp;"元整"</f>
        <v>零元整</v>
      </c>
      <c r="G8" s="3287"/>
      <c r="H8" s="2492"/>
      <c r="I8" s="2492"/>
      <c r="J8" s="2492"/>
      <c r="K8" s="2492"/>
    </row>
    <row r="9" spans="1:11" ht="15.6">
      <c r="A9" s="2490" t="s">
        <v>758</v>
      </c>
      <c r="B9" s="2494"/>
      <c r="C9" s="2491"/>
      <c r="D9" s="2491"/>
      <c r="E9" s="2491"/>
      <c r="F9" s="2492"/>
      <c r="G9" s="2492"/>
      <c r="H9" s="2492"/>
      <c r="I9" s="2492"/>
      <c r="J9" s="2492"/>
      <c r="K9" s="2492"/>
    </row>
    <row r="10" spans="1:11" ht="15.6">
      <c r="A10" s="2490" t="s">
        <v>759</v>
      </c>
      <c r="B10" s="2490">
        <f>IF(E10="",0,ROUND(B1*(E10*365/G10)/10000,0))</f>
        <v>0</v>
      </c>
      <c r="C10" s="2490" t="s">
        <v>760</v>
      </c>
      <c r="D10" s="2490" t="s">
        <v>759</v>
      </c>
      <c r="E10" s="2495"/>
      <c r="F10" s="2496" t="s">
        <v>761</v>
      </c>
      <c r="G10" s="2497"/>
      <c r="H10" s="2492"/>
      <c r="I10" s="2492"/>
      <c r="J10" s="2492"/>
      <c r="K10" s="2492"/>
    </row>
    <row r="11" spans="1:11" ht="15.6">
      <c r="A11" s="2490" t="s">
        <v>762</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763</v>
      </c>
      <c r="B13" s="2499" t="s">
        <v>748</v>
      </c>
      <c r="C13" s="2499" t="s">
        <v>749</v>
      </c>
      <c r="D13" s="2499" t="s">
        <v>764</v>
      </c>
      <c r="E13" s="2490" t="s">
        <v>753</v>
      </c>
      <c r="F13" s="2490" t="s">
        <v>754</v>
      </c>
      <c r="G13" s="2499" t="s">
        <v>765</v>
      </c>
      <c r="H13" s="2499" t="s">
        <v>766</v>
      </c>
      <c r="I13" s="2499" t="s">
        <v>767</v>
      </c>
      <c r="J13" s="2492"/>
      <c r="K13" s="2492"/>
    </row>
    <row r="14" spans="1:11" ht="15.6">
      <c r="A14" s="2500" t="s">
        <v>768</v>
      </c>
      <c r="B14" s="2501">
        <f>结果表110!B118</f>
        <v>355.32</v>
      </c>
      <c r="C14" s="2501"/>
      <c r="D14" s="2501">
        <f ca="1">结果表110!H118</f>
        <v>1009</v>
      </c>
      <c r="E14" s="2501">
        <f ca="1">结果表110!I118</f>
        <v>28410</v>
      </c>
      <c r="F14" s="2501" t="e">
        <f ca="1">ROUND(D14*10000/C14,0)</f>
        <v>#DIV/0!</v>
      </c>
      <c r="G14" s="2501">
        <f ca="1">D14</f>
        <v>1009</v>
      </c>
      <c r="H14" s="2501"/>
      <c r="I14" s="2501"/>
      <c r="J14" s="2492"/>
      <c r="K14" s="2492"/>
    </row>
    <row r="15" spans="1:11" ht="15.6">
      <c r="A15" s="2500" t="s">
        <v>769</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770</v>
      </c>
      <c r="B16" s="2502"/>
      <c r="C16" s="2502"/>
      <c r="D16" s="2502"/>
      <c r="E16" s="2501" t="e">
        <f t="shared" si="0"/>
        <v>#DIV/0!</v>
      </c>
      <c r="F16" s="2501" t="e">
        <f t="shared" si="1"/>
        <v>#DIV/0!</v>
      </c>
      <c r="G16" s="2494"/>
      <c r="H16" s="2494"/>
      <c r="I16" s="2502"/>
      <c r="J16" s="2492"/>
      <c r="K16" s="2492"/>
    </row>
    <row r="17" spans="1:11" ht="15.6">
      <c r="A17" s="2500" t="s">
        <v>771</v>
      </c>
      <c r="B17" s="2502"/>
      <c r="C17" s="2502"/>
      <c r="D17" s="2502"/>
      <c r="E17" s="2501" t="e">
        <f t="shared" si="0"/>
        <v>#DIV/0!</v>
      </c>
      <c r="F17" s="2501" t="e">
        <f t="shared" si="1"/>
        <v>#DIV/0!</v>
      </c>
      <c r="G17" s="2494"/>
      <c r="H17" s="2494"/>
      <c r="I17" s="2502"/>
      <c r="J17" s="2492"/>
      <c r="K17" s="2492"/>
    </row>
    <row r="18" spans="1:11" ht="15.6">
      <c r="A18" s="2500" t="s">
        <v>772</v>
      </c>
      <c r="B18" s="2502"/>
      <c r="C18" s="2502"/>
      <c r="D18" s="2502"/>
      <c r="E18" s="2501" t="e">
        <f t="shared" si="0"/>
        <v>#DIV/0!</v>
      </c>
      <c r="F18" s="2501" t="e">
        <f t="shared" si="1"/>
        <v>#DIV/0!</v>
      </c>
      <c r="G18" s="2502"/>
      <c r="H18" s="2502"/>
      <c r="I18" s="2502"/>
      <c r="J18" s="2492"/>
      <c r="K18" s="2492"/>
    </row>
    <row r="19" spans="1:11" ht="15.6">
      <c r="A19" s="2500" t="s">
        <v>773</v>
      </c>
      <c r="B19" s="2502"/>
      <c r="C19" s="2502"/>
      <c r="D19" s="2502"/>
      <c r="E19" s="2501" t="e">
        <f t="shared" si="0"/>
        <v>#DIV/0!</v>
      </c>
      <c r="F19" s="2501" t="e">
        <f t="shared" si="1"/>
        <v>#DIV/0!</v>
      </c>
      <c r="G19" s="2502"/>
      <c r="H19" s="2502"/>
      <c r="I19" s="2502"/>
      <c r="J19" s="2492"/>
      <c r="K19" s="2492"/>
    </row>
    <row r="20" spans="1:11" ht="15.6">
      <c r="A20" s="2500" t="s">
        <v>774</v>
      </c>
      <c r="B20" s="2502"/>
      <c r="C20" s="2502"/>
      <c r="D20" s="2502"/>
      <c r="E20" s="2501" t="e">
        <f t="shared" si="0"/>
        <v>#DIV/0!</v>
      </c>
      <c r="F20" s="2501" t="e">
        <f t="shared" si="1"/>
        <v>#DIV/0!</v>
      </c>
      <c r="G20" s="2502"/>
      <c r="H20" s="2502"/>
      <c r="I20" s="2502"/>
      <c r="J20" s="2492"/>
      <c r="K20" s="2492"/>
    </row>
    <row r="21" spans="1:11" ht="15.6">
      <c r="A21" s="2500" t="s">
        <v>775</v>
      </c>
      <c r="B21" s="2502"/>
      <c r="C21" s="2502"/>
      <c r="D21" s="2502"/>
      <c r="E21" s="2501" t="e">
        <f t="shared" si="0"/>
        <v>#DIV/0!</v>
      </c>
      <c r="F21" s="2501" t="e">
        <f t="shared" si="1"/>
        <v>#DIV/0!</v>
      </c>
      <c r="G21" s="2502"/>
      <c r="H21" s="2502"/>
      <c r="I21" s="2502"/>
      <c r="J21" s="2492"/>
      <c r="K21" s="2492"/>
    </row>
    <row r="22" spans="1:11" ht="15.6">
      <c r="A22" s="2500" t="s">
        <v>776</v>
      </c>
      <c r="B22" s="2502"/>
      <c r="C22" s="2502"/>
      <c r="D22" s="2502"/>
      <c r="E22" s="2501" t="e">
        <f t="shared" si="0"/>
        <v>#DIV/0!</v>
      </c>
      <c r="F22" s="2501" t="e">
        <f t="shared" si="1"/>
        <v>#DIV/0!</v>
      </c>
      <c r="G22" s="2502"/>
      <c r="H22" s="2502"/>
      <c r="I22" s="2502"/>
      <c r="J22" s="2492"/>
      <c r="K22" s="2492"/>
    </row>
    <row r="23" spans="1:11" ht="15.6">
      <c r="A23" s="2500" t="s">
        <v>777</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6" zoomScaleNormal="100" zoomScaleSheetLayoutView="100" zoomScalePageLayoutView="80" workbookViewId="0">
      <selection activeCell="I118" sqref="I118"/>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c r="A1" s="2115" t="s">
        <v>778</v>
      </c>
      <c r="B1" s="1998"/>
      <c r="C1" s="2116">
        <v>110</v>
      </c>
      <c r="D1" s="1998"/>
      <c r="E1" s="1998"/>
      <c r="F1" s="2117" t="s">
        <v>779</v>
      </c>
      <c r="G1" s="2118"/>
      <c r="H1" s="2117" t="str">
        <f>IF(G1="现房","——","估价对象范围")</f>
        <v>估价对象范围</v>
      </c>
      <c r="I1" s="2247"/>
    </row>
    <row r="2" spans="1:12" ht="21.75" customHeight="1">
      <c r="A2" s="3362" t="str">
        <f>项目基本情况!S2</f>
        <v>北京市房地产</v>
      </c>
      <c r="B2" s="3363"/>
      <c r="C2" s="3363"/>
      <c r="D2" s="3363"/>
      <c r="E2" s="3363"/>
      <c r="F2" s="3363"/>
      <c r="G2" s="3363"/>
      <c r="H2" s="3363"/>
      <c r="I2" s="3364"/>
    </row>
    <row r="3" spans="1:12" ht="13.2">
      <c r="A3" s="3365" t="s">
        <v>780</v>
      </c>
      <c r="B3" s="3366"/>
      <c r="C3" s="3366"/>
      <c r="D3" s="3366"/>
      <c r="E3" s="3366"/>
      <c r="F3" s="3366"/>
      <c r="G3" s="3366"/>
      <c r="H3" s="3366"/>
      <c r="I3" s="3366"/>
    </row>
    <row r="4" spans="1:12" ht="14.4">
      <c r="A4" s="2119" t="s">
        <v>781</v>
      </c>
      <c r="B4" s="2120" t="s">
        <v>782</v>
      </c>
      <c r="C4" s="2121" t="s">
        <v>2843</v>
      </c>
      <c r="D4" s="2121" t="s">
        <v>266</v>
      </c>
      <c r="E4" s="3367" t="s">
        <v>783</v>
      </c>
      <c r="F4" s="3368"/>
      <c r="G4" s="3368"/>
      <c r="H4" s="3368"/>
      <c r="I4" s="3369"/>
      <c r="K4" s="1418" t="str">
        <f>IF(ISNUMBER(FIND("比较法",结果表110!C4)),"比较法",IF(ISNUMBER(FIND("成本法",结果表110!C4)),"成本法",IF(ISNUMBER(FIND("假设开发法",结果表110!C4)),"假设开发法",IF(ISNUMBER(FIND("收益法",结果表110!C4)),"收益法","基准地价系数修正法"))))</f>
        <v>比较法</v>
      </c>
      <c r="L4" s="1418" t="str">
        <f>IF(ISNUMBER(FIND("比较法",结果表110!D4)),"比较法",IF(ISNUMBER(FIND("成本法",结果表110!D4)),"成本法",IF(ISNUMBER(FIND("假设开发法",结果表110!D4)),"假设开发法",IF(ISNUMBER(FIND("收益法",结果表110!D4)),"收益法","基准地价系数修正法"))))</f>
        <v>收益法</v>
      </c>
    </row>
    <row r="5" spans="1:12" ht="13.2">
      <c r="A5" s="3289" t="s">
        <v>784</v>
      </c>
      <c r="B5" s="3297">
        <v>25</v>
      </c>
      <c r="C5" s="3379"/>
      <c r="D5" s="3300"/>
      <c r="E5" s="1895" t="s">
        <v>785</v>
      </c>
      <c r="F5" s="2125"/>
      <c r="G5" s="2125"/>
      <c r="H5" s="2125"/>
      <c r="I5" s="2249"/>
    </row>
    <row r="6" spans="1:12" ht="13.2">
      <c r="A6" s="3289"/>
      <c r="B6" s="3297"/>
      <c r="C6" s="3380"/>
      <c r="D6" s="3300"/>
      <c r="E6" s="1895" t="s">
        <v>786</v>
      </c>
      <c r="F6" s="2125"/>
      <c r="G6" s="2125"/>
      <c r="H6" s="2125"/>
      <c r="I6" s="2249"/>
    </row>
    <row r="7" spans="1:12" ht="13.2">
      <c r="A7" s="3289"/>
      <c r="B7" s="3297"/>
      <c r="C7" s="3381"/>
      <c r="D7" s="3300"/>
      <c r="E7" s="1895" t="s">
        <v>787</v>
      </c>
      <c r="F7" s="2125"/>
      <c r="G7" s="2125"/>
      <c r="H7" s="2125"/>
      <c r="I7" s="2249"/>
    </row>
    <row r="8" spans="1:12" ht="13.2">
      <c r="A8" s="3289" t="s">
        <v>788</v>
      </c>
      <c r="B8" s="3297">
        <v>15</v>
      </c>
      <c r="C8" s="3379"/>
      <c r="D8" s="3300"/>
      <c r="E8" s="1895" t="s">
        <v>789</v>
      </c>
      <c r="F8" s="2125"/>
      <c r="G8" s="2125"/>
      <c r="H8" s="2125"/>
      <c r="I8" s="2249"/>
    </row>
    <row r="9" spans="1:12" ht="13.2">
      <c r="A9" s="3289"/>
      <c r="B9" s="3297"/>
      <c r="C9" s="3381"/>
      <c r="D9" s="3300"/>
      <c r="E9" s="1895" t="s">
        <v>790</v>
      </c>
      <c r="F9" s="2125"/>
      <c r="G9" s="2125"/>
      <c r="H9" s="2125"/>
      <c r="I9" s="2249"/>
    </row>
    <row r="10" spans="1:12" ht="13.2">
      <c r="A10" s="3289" t="s">
        <v>791</v>
      </c>
      <c r="B10" s="3297">
        <v>15</v>
      </c>
      <c r="C10" s="3379"/>
      <c r="D10" s="3300"/>
      <c r="E10" s="1895" t="s">
        <v>792</v>
      </c>
      <c r="F10" s="2125"/>
      <c r="G10" s="2125"/>
      <c r="H10" s="2125"/>
      <c r="I10" s="2249"/>
    </row>
    <row r="11" spans="1:12" ht="13.2">
      <c r="A11" s="3289"/>
      <c r="B11" s="3297"/>
      <c r="C11" s="3381"/>
      <c r="D11" s="3300"/>
      <c r="E11" s="1895" t="s">
        <v>793</v>
      </c>
      <c r="F11" s="2125"/>
      <c r="G11" s="2125"/>
      <c r="H11" s="2125"/>
      <c r="I11" s="2249"/>
    </row>
    <row r="12" spans="1:12" ht="13.2">
      <c r="A12" s="3289" t="s">
        <v>794</v>
      </c>
      <c r="B12" s="3297">
        <v>15</v>
      </c>
      <c r="C12" s="3379"/>
      <c r="D12" s="3300"/>
      <c r="E12" s="1895" t="s">
        <v>795</v>
      </c>
      <c r="F12" s="2125"/>
      <c r="G12" s="2125"/>
      <c r="H12" s="2125"/>
      <c r="I12" s="2249"/>
    </row>
    <row r="13" spans="1:12" ht="13.2">
      <c r="A13" s="3289"/>
      <c r="B13" s="3297"/>
      <c r="C13" s="3381"/>
      <c r="D13" s="3300"/>
      <c r="E13" s="1895" t="s">
        <v>796</v>
      </c>
      <c r="F13" s="2125"/>
      <c r="G13" s="2125"/>
      <c r="H13" s="2125"/>
      <c r="I13" s="2249"/>
    </row>
    <row r="14" spans="1:12" ht="13.2">
      <c r="A14" s="3289" t="s">
        <v>797</v>
      </c>
      <c r="B14" s="3297">
        <v>30</v>
      </c>
      <c r="C14" s="3379">
        <v>7</v>
      </c>
      <c r="D14" s="3300">
        <v>3</v>
      </c>
      <c r="E14" s="1895" t="s">
        <v>798</v>
      </c>
      <c r="F14" s="2125"/>
      <c r="G14" s="2125"/>
      <c r="H14" s="2125"/>
      <c r="I14" s="2249"/>
    </row>
    <row r="15" spans="1:12" ht="13.2">
      <c r="A15" s="3289"/>
      <c r="B15" s="3297"/>
      <c r="C15" s="3380"/>
      <c r="D15" s="3300"/>
      <c r="E15" s="1895" t="s">
        <v>799</v>
      </c>
      <c r="F15" s="2125"/>
      <c r="G15" s="2125"/>
      <c r="H15" s="2125"/>
      <c r="I15" s="2249"/>
    </row>
    <row r="16" spans="1:12" ht="13.2">
      <c r="A16" s="3289"/>
      <c r="B16" s="3297"/>
      <c r="C16" s="3381"/>
      <c r="D16" s="3300"/>
      <c r="E16" s="1895" t="s">
        <v>800</v>
      </c>
      <c r="F16" s="2125"/>
      <c r="G16" s="2125"/>
      <c r="H16" s="2125"/>
      <c r="I16" s="2249"/>
    </row>
    <row r="17" spans="1:36" ht="14.4">
      <c r="A17" s="2126" t="s">
        <v>801</v>
      </c>
      <c r="B17" s="2127"/>
      <c r="C17" s="2128">
        <f>SUM(C5:C16)</f>
        <v>7</v>
      </c>
      <c r="D17" s="2128">
        <f>SUM(D5:D16)</f>
        <v>3</v>
      </c>
      <c r="E17" s="1458"/>
      <c r="F17" s="1458"/>
      <c r="G17" s="1458"/>
      <c r="H17" s="1458"/>
      <c r="I17" s="1458"/>
      <c r="K17" s="1855"/>
      <c r="L17" s="1855" t="s">
        <v>802</v>
      </c>
      <c r="M17" s="1855" t="s">
        <v>803</v>
      </c>
    </row>
    <row r="18" spans="1:36" ht="31.95" customHeight="1">
      <c r="A18" s="2129" t="s">
        <v>804</v>
      </c>
      <c r="B18" s="2130"/>
      <c r="C18" s="2131">
        <f>ROUND(C17/SUM(C17:D17),2)</f>
        <v>0.7</v>
      </c>
      <c r="D18" s="2131">
        <f>1-C18</f>
        <v>0.30000000000000004</v>
      </c>
      <c r="E18" s="3370" t="s">
        <v>805</v>
      </c>
      <c r="F18" s="3371"/>
      <c r="G18" s="3371"/>
      <c r="H18" s="3371"/>
      <c r="I18" s="3371"/>
      <c r="K18" s="1855" t="s">
        <v>469</v>
      </c>
      <c r="L18" s="1855">
        <f>IF(C1="",'数据-汇总表'!E3,SUMIF(项目类型,C1,'数据-汇总表'!E17:E26)+SUMIF(项目类型,C1,'数据-汇总表'!I17:I26))</f>
        <v>355.32</v>
      </c>
      <c r="M18" s="1855">
        <f>IF(C1="",'数据-汇总表'!E3,SUMIF(项目类型,C1,'数据-汇总表'!E17:E26))</f>
        <v>355.32</v>
      </c>
    </row>
    <row r="19" spans="1:36" ht="14.4">
      <c r="A19" s="1129" t="s">
        <v>806</v>
      </c>
      <c r="B19" s="2132" t="s">
        <v>807</v>
      </c>
      <c r="C19" s="2133">
        <f ca="1">SUMIF(INDIRECT("'"&amp;C4&amp;"'"&amp;"!A:A"),结果表110!B19,INDIRECT("'"&amp;C4&amp;"'"&amp;"!B:B"))</f>
        <v>1113.4663</v>
      </c>
      <c r="D19" s="1245">
        <f ca="1">SUMIF(INDIRECT("'"&amp;D4&amp;"'"&amp;"!A:A"),结果表110!B19,INDIRECT("'"&amp;D4&amp;"'"&amp;"!B:B"))</f>
        <v>766.7989</v>
      </c>
      <c r="E19" s="1129" t="s">
        <v>808</v>
      </c>
      <c r="F19" s="2132" t="s">
        <v>807</v>
      </c>
      <c r="G19" s="2134">
        <f ca="1">ROUND(C19*$C$18+D19*$D$18,0)</f>
        <v>1009</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SUMIF(INDIRECT("'"&amp;C4&amp;"'"&amp;"!A:A"),结果表110!B20,INDIRECT("'"&amp;C4&amp;"'"&amp;"!B:B"))</f>
        <v>31337</v>
      </c>
      <c r="D20" s="1602">
        <f ca="1">SUMIF(INDIRECT("'"&amp;D4&amp;"'"&amp;"!A:A"),结果表110!B20,INDIRECT("'"&amp;D4&amp;"'"&amp;"!B:B"))</f>
        <v>21581</v>
      </c>
      <c r="E20" s="2136"/>
      <c r="F20" s="2137" t="s">
        <v>810</v>
      </c>
      <c r="G20" s="2138">
        <f ca="1">ROUND(C20*$C$18+D20*$D$18,0)</f>
        <v>28410</v>
      </c>
      <c r="H20" s="2007" t="s">
        <v>811</v>
      </c>
      <c r="I20" s="1458"/>
    </row>
    <row r="21" spans="1:36" ht="15" customHeigh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4.4">
      <c r="A22" s="2144" t="s">
        <v>813</v>
      </c>
      <c r="B22" s="2145"/>
      <c r="C22" s="2146"/>
      <c r="D22" s="2147">
        <f ca="1">IF(C19&lt;D19,D19/C19-1,C19/D19-1)</f>
        <v>0.45209689267942355</v>
      </c>
      <c r="E22" s="1458"/>
      <c r="F22" s="1458"/>
      <c r="G22" s="1458"/>
      <c r="H22" s="1458"/>
      <c r="I22" s="1458"/>
    </row>
    <row r="23" spans="1:36" ht="13.2">
      <c r="A23" s="1998"/>
      <c r="B23" s="1998"/>
      <c r="C23" s="1998"/>
      <c r="D23" s="1998"/>
      <c r="E23" s="1458"/>
      <c r="F23" s="1458"/>
      <c r="G23" s="1458"/>
      <c r="H23" s="1458"/>
      <c r="I23" s="1458"/>
    </row>
    <row r="24" spans="1:36" ht="14.4">
      <c r="A24" s="3290" t="s">
        <v>814</v>
      </c>
      <c r="B24" s="2132" t="s">
        <v>807</v>
      </c>
      <c r="C24" s="2134">
        <f>IF(B30=0,0,D30)</f>
        <v>0</v>
      </c>
      <c r="D24" s="2148"/>
      <c r="E24" s="1458"/>
      <c r="F24" s="1458"/>
      <c r="G24" s="1458"/>
      <c r="H24" s="1458"/>
      <c r="I24" s="1458"/>
    </row>
    <row r="25" spans="1:36" ht="14.4">
      <c r="A25" s="3291"/>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4.4">
      <c r="A30" s="2152" t="s">
        <v>819</v>
      </c>
      <c r="B30" s="2152"/>
      <c r="C30" s="2152"/>
      <c r="D30" s="2152"/>
      <c r="E30" s="2154" t="s">
        <v>820</v>
      </c>
      <c r="F30" s="1458"/>
      <c r="G30" s="1458"/>
      <c r="H30" s="1458"/>
      <c r="I30" s="1458"/>
    </row>
    <row r="31" spans="1:36" s="2112" customFormat="1" ht="26.4" customHeigh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4.4">
      <c r="A32" s="2157" t="s">
        <v>822</v>
      </c>
      <c r="B32" s="2158"/>
      <c r="C32" s="2159">
        <f ca="1">IF(D32="总价",G19-C24,G20-C25)</f>
        <v>28410</v>
      </c>
      <c r="D32" s="2160" t="s">
        <v>823</v>
      </c>
      <c r="E32" s="1458"/>
      <c r="F32" s="1458"/>
      <c r="G32" s="1458"/>
      <c r="H32" s="1458"/>
      <c r="I32" s="1458"/>
    </row>
    <row r="33" spans="1:15" ht="14.4">
      <c r="A33" s="2161" t="s">
        <v>824</v>
      </c>
      <c r="B33" s="1895"/>
      <c r="C33" s="2162" t="s">
        <v>2793</v>
      </c>
      <c r="D33" s="2163" t="s">
        <v>266</v>
      </c>
      <c r="E33" s="2164" t="s">
        <v>825</v>
      </c>
      <c r="F33" s="2165" t="str">
        <f>IF(D32="楼面单价","取值（单价）","取值（总价）")</f>
        <v>取值（单价）</v>
      </c>
      <c r="G33" s="1458"/>
      <c r="H33" s="1458"/>
      <c r="I33" s="1458"/>
    </row>
    <row r="34" spans="1:15" ht="14.4">
      <c r="A34" s="2166"/>
      <c r="B34" s="2167" t="s">
        <v>826</v>
      </c>
      <c r="C34" s="2168">
        <f ca="1">IF(C33="自定义",F34,C32-C35)</f>
        <v>20540</v>
      </c>
      <c r="D34" s="2169">
        <f ca="1">IF(C33="自定义",ROUND(C34/C32,3),IF(C33="收益比率",SUMIF(INDIRECT("'"&amp;D33&amp;"'"&amp;"!b:b"),"土地收益比率",INDIRECT("'"&amp;D33&amp;"'"&amp;"!c:c")),SUMIF(INDIRECT("'"&amp;D33&amp;"'"&amp;"!b:b"),"土地成本比率",INDIRECT("'"&amp;D33&amp;"'"&amp;"!c:c"))))</f>
        <v>0.72299999999999998</v>
      </c>
      <c r="E34" s="2170" t="s">
        <v>827</v>
      </c>
      <c r="F34" s="2171"/>
      <c r="G34" s="1458"/>
      <c r="H34" s="1458"/>
      <c r="I34" s="1458"/>
    </row>
    <row r="35" spans="1:15" ht="14.4">
      <c r="A35" s="2172"/>
      <c r="B35" s="2173" t="s">
        <v>828</v>
      </c>
      <c r="C35" s="2174">
        <f ca="1">IF(C33="自定义",F35,ROUND(C32*D35,0))</f>
        <v>7870</v>
      </c>
      <c r="D35" s="2175">
        <f ca="1">IF(C33="自定义",ROUND(C35/C32,3),IF(C33="收益比率",SUMIF(INDIRECT("'"&amp;D33&amp;"'"&amp;"!b:b"),"建筑物收益比率",INDIRECT("'"&amp;D33&amp;"'"&amp;"!c:c")),SUMIF(INDIRECT("'"&amp;D33&amp;"'"&amp;"!b:b"),"建筑物成本比率",INDIRECT("'"&amp;D33&amp;"'"&amp;"!c:c"))))</f>
        <v>0.27700000000000002</v>
      </c>
      <c r="E35" s="2176" t="s">
        <v>829</v>
      </c>
      <c r="F35" s="2177"/>
      <c r="G35" s="1458"/>
      <c r="H35" s="1458"/>
      <c r="I35" s="1458"/>
    </row>
    <row r="36" spans="1:15" ht="14.4">
      <c r="A36" s="3292" t="s">
        <v>830</v>
      </c>
      <c r="B36" s="2178" t="s">
        <v>831</v>
      </c>
      <c r="C36" s="2179"/>
      <c r="D36" s="2180"/>
      <c r="E36" s="2181"/>
      <c r="F36" s="2182"/>
      <c r="G36" s="1458"/>
      <c r="H36" s="1458"/>
      <c r="I36" s="1458"/>
    </row>
    <row r="37" spans="1:15" ht="14.4">
      <c r="A37" s="3293"/>
      <c r="B37" s="2183" t="s">
        <v>832</v>
      </c>
      <c r="C37" s="2184"/>
      <c r="D37" s="2185"/>
      <c r="E37" s="2185"/>
      <c r="F37" s="2182"/>
      <c r="G37" s="1458"/>
      <c r="H37" s="1458"/>
      <c r="I37" s="1458"/>
    </row>
    <row r="38" spans="1:15" ht="14.4">
      <c r="A38" s="3294"/>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3.8">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c r="A45" s="3372" t="s">
        <v>841</v>
      </c>
      <c r="B45" s="3373"/>
      <c r="C45" s="3374"/>
      <c r="D45" s="2204">
        <f ca="1">ROUND(H101*F45,4)</f>
        <v>1009</v>
      </c>
      <c r="E45" s="2205" t="s">
        <v>842</v>
      </c>
      <c r="F45" s="2206">
        <v>1</v>
      </c>
      <c r="G45" s="1865" t="s">
        <v>843</v>
      </c>
      <c r="H45" s="1458"/>
      <c r="I45" s="1458"/>
      <c r="J45" s="3361" t="s">
        <v>844</v>
      </c>
      <c r="K45" s="3361"/>
      <c r="L45" s="3361"/>
      <c r="M45" s="3361"/>
      <c r="N45" s="3361"/>
      <c r="O45" s="3361"/>
    </row>
    <row r="46" spans="1:15" ht="14.25" customHeight="1">
      <c r="A46" s="3375" t="s">
        <v>845</v>
      </c>
      <c r="B46" s="3376"/>
      <c r="C46" s="3376"/>
      <c r="D46" s="3376"/>
      <c r="E46" s="3376"/>
      <c r="F46" s="3376"/>
      <c r="G46" s="3377"/>
      <c r="H46" s="2207"/>
      <c r="I46" s="1459"/>
      <c r="J46" s="576">
        <v>1</v>
      </c>
      <c r="K46" s="3351" t="s">
        <v>846</v>
      </c>
      <c r="L46" s="3351"/>
      <c r="M46" s="3378"/>
      <c r="N46" s="3378"/>
      <c r="O46" s="3378"/>
    </row>
    <row r="47" spans="1:15" ht="12" customHeight="1">
      <c r="A47" s="2208" t="s">
        <v>847</v>
      </c>
      <c r="B47" s="2209"/>
      <c r="C47" s="2210"/>
      <c r="D47" s="1904" t="s">
        <v>848</v>
      </c>
      <c r="E47" s="1855" t="s">
        <v>849</v>
      </c>
      <c r="F47" s="2211" t="s">
        <v>850</v>
      </c>
      <c r="G47" s="2212" t="s">
        <v>851</v>
      </c>
      <c r="H47" s="2213"/>
      <c r="I47" s="1459"/>
      <c r="J47" s="576">
        <v>2</v>
      </c>
      <c r="K47" s="3351" t="s">
        <v>852</v>
      </c>
      <c r="L47" s="3351"/>
      <c r="M47" s="3358">
        <f>'数据-取费表'!B2</f>
        <v>45839</v>
      </c>
      <c r="N47" s="3358"/>
      <c r="O47" s="3358"/>
    </row>
    <row r="48" spans="1:15" ht="39.6">
      <c r="A48" s="3359" t="s">
        <v>853</v>
      </c>
      <c r="B48" s="3353"/>
      <c r="C48" s="3353"/>
      <c r="D48" s="2005">
        <f ca="1">IF(H48="情况1",0,IF(H48="情况2",D52,IF(H48="情况3",D53,IF(H48="情况4",D54))))</f>
        <v>52.852400000000003</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51" t="s">
        <v>856</v>
      </c>
      <c r="L48" s="3351"/>
      <c r="M48" s="3360">
        <f ca="1">H101</f>
        <v>1009</v>
      </c>
      <c r="N48" s="3360"/>
      <c r="O48" s="3360"/>
    </row>
    <row r="49" spans="1:35" ht="25.5" customHeight="1">
      <c r="A49" s="2214" t="s">
        <v>857</v>
      </c>
      <c r="B49" s="3327" t="s">
        <v>858</v>
      </c>
      <c r="C49" s="3327"/>
      <c r="D49" s="2218">
        <v>0</v>
      </c>
      <c r="E49" s="1914" t="s">
        <v>859</v>
      </c>
      <c r="F49" s="2219" t="s">
        <v>124</v>
      </c>
      <c r="G49" s="3354"/>
      <c r="H49" s="2220" t="s">
        <v>860</v>
      </c>
      <c r="I49" s="2255"/>
      <c r="J49" s="576">
        <v>4</v>
      </c>
      <c r="K49" s="3351" t="str">
        <f>IF(项目基本情况!E8="房地产抵押价值","房地产抵押价值","抵押担保权已注销时的房地产抵押价值")</f>
        <v>房地产抵押价值</v>
      </c>
      <c r="L49" s="3351"/>
      <c r="M49" s="3360">
        <f ca="1">IF(项目基本情况!E8="房地产抵押价值",H107,H109)</f>
        <v>1009</v>
      </c>
      <c r="N49" s="3360"/>
      <c r="O49" s="3360"/>
    </row>
    <row r="50" spans="1:35" ht="25.5" customHeight="1">
      <c r="A50" s="2221"/>
      <c r="B50" s="3327" t="s">
        <v>861</v>
      </c>
      <c r="C50" s="3327"/>
      <c r="D50" s="2222"/>
      <c r="E50" s="1929"/>
      <c r="F50" s="2219"/>
      <c r="G50" s="3355"/>
      <c r="H50" s="2223" t="s">
        <v>862</v>
      </c>
      <c r="I50" s="2255"/>
      <c r="J50" s="3361" t="s">
        <v>863</v>
      </c>
      <c r="K50" s="3361"/>
      <c r="L50" s="3361"/>
      <c r="M50" s="3361"/>
      <c r="N50" s="3361"/>
      <c r="O50" s="3361"/>
    </row>
    <row r="51" spans="1:35" ht="20.399999999999999" customHeight="1">
      <c r="A51" s="2224"/>
      <c r="B51" s="3327" t="s">
        <v>864</v>
      </c>
      <c r="C51" s="3327"/>
      <c r="D51" s="1904"/>
      <c r="E51" s="1918"/>
      <c r="F51" s="2219"/>
      <c r="G51" s="3356"/>
      <c r="H51" s="2223" t="s">
        <v>865</v>
      </c>
      <c r="I51" s="2255"/>
      <c r="J51" s="2254" t="s">
        <v>866</v>
      </c>
      <c r="K51" s="3351" t="s">
        <v>867</v>
      </c>
      <c r="L51" s="3351"/>
      <c r="M51" s="2254" t="s">
        <v>868</v>
      </c>
      <c r="N51" s="2254" t="s">
        <v>869</v>
      </c>
      <c r="O51" s="2254" t="s">
        <v>870</v>
      </c>
    </row>
    <row r="52" spans="1:35" ht="24" customHeight="1">
      <c r="A52" s="2225" t="s">
        <v>871</v>
      </c>
      <c r="B52" s="3327" t="s">
        <v>872</v>
      </c>
      <c r="C52" s="3327"/>
      <c r="D52" s="1904">
        <f ca="1">ROUND(D45*'数据-取费表'!B41/(1+'数据-取费表'!C42),0)</f>
        <v>53</v>
      </c>
      <c r="E52" s="1908" t="s">
        <v>873</v>
      </c>
      <c r="F52" s="2226">
        <f>'数据-取费表'!B41</f>
        <v>5.5000000000000007E-2</v>
      </c>
      <c r="G52" s="2227"/>
      <c r="H52" s="2019"/>
      <c r="I52" s="2256"/>
      <c r="J52" s="576">
        <v>1</v>
      </c>
      <c r="K52" s="3347" t="s">
        <v>874</v>
      </c>
      <c r="L52" s="3347"/>
      <c r="M52" s="2257">
        <f ca="1">D48</f>
        <v>52.852400000000003</v>
      </c>
      <c r="N52" s="576" t="str">
        <f>E48</f>
        <v>(销售额-原购置价)×税（费）率</v>
      </c>
      <c r="O52" s="2258">
        <f>F48</f>
        <v>5.5000000000000007E-2</v>
      </c>
    </row>
    <row r="53" spans="1:35" ht="12" customHeight="1">
      <c r="A53" s="2225" t="s">
        <v>875</v>
      </c>
      <c r="B53" s="3326" t="s">
        <v>876</v>
      </c>
      <c r="C53" s="3343"/>
      <c r="D53" s="1904">
        <f ca="1">ROUND(D45*'数据-取费表'!B41/(1+'数据-取费表'!C42),0)</f>
        <v>53</v>
      </c>
      <c r="E53" s="1908" t="s">
        <v>873</v>
      </c>
      <c r="F53" s="2226">
        <f>'数据-取费表'!B41</f>
        <v>5.5000000000000007E-2</v>
      </c>
      <c r="G53" s="2227"/>
      <c r="H53" s="2019"/>
      <c r="I53" s="2256"/>
      <c r="J53" s="576">
        <v>2</v>
      </c>
      <c r="K53" s="3347" t="s">
        <v>877</v>
      </c>
      <c r="L53" s="3347"/>
      <c r="M53" s="2257">
        <f t="shared" ref="M53:O54" ca="1" si="0">D55</f>
        <v>0.50449999999999995</v>
      </c>
      <c r="N53" s="576" t="str">
        <f t="shared" si="0"/>
        <v>销售额×税（费）率</v>
      </c>
      <c r="O53" s="2258">
        <f t="shared" si="0"/>
        <v>5.0000000000000001E-4</v>
      </c>
    </row>
    <row r="54" spans="1:35" ht="12" customHeight="1">
      <c r="A54" s="2225" t="s">
        <v>878</v>
      </c>
      <c r="B54" s="3326" t="s">
        <v>879</v>
      </c>
      <c r="C54" s="3343"/>
      <c r="D54" s="1904">
        <f ca="1">C68</f>
        <v>52.852400000000003</v>
      </c>
      <c r="E54" s="1918" t="s">
        <v>880</v>
      </c>
      <c r="F54" s="2226">
        <f>'数据-取费表'!B41</f>
        <v>5.5000000000000007E-2</v>
      </c>
      <c r="G54" s="2227"/>
      <c r="H54" s="2228"/>
      <c r="I54" s="2256"/>
      <c r="J54" s="576">
        <v>3</v>
      </c>
      <c r="K54" s="3347" t="s">
        <v>881</v>
      </c>
      <c r="L54" s="3347"/>
      <c r="M54" s="2257">
        <f t="shared" ca="1" si="0"/>
        <v>572.00689999999997</v>
      </c>
      <c r="N54" s="576" t="str">
        <f t="shared" si="0"/>
        <v>增值额×税（费）率</v>
      </c>
      <c r="O54" s="2259" t="str">
        <f t="shared" si="0"/>
        <v>——</v>
      </c>
    </row>
    <row r="55" spans="1:35" ht="24" customHeight="1">
      <c r="A55" s="3352" t="s">
        <v>882</v>
      </c>
      <c r="B55" s="3353"/>
      <c r="C55" s="3353"/>
      <c r="D55" s="2229">
        <f ca="1">IF(H55="个人住宅",0,ROUND(D45*I55,4))</f>
        <v>0.50449999999999995</v>
      </c>
      <c r="E55" s="1908" t="s">
        <v>883</v>
      </c>
      <c r="F55" s="2226">
        <f>IF(H55="正常",I55,"免征")</f>
        <v>5.0000000000000001E-4</v>
      </c>
      <c r="G55" s="2227"/>
      <c r="H55" s="2217" t="s">
        <v>884</v>
      </c>
      <c r="I55" s="2260">
        <f>'数据-取费表'!B49</f>
        <v>5.0000000000000001E-4</v>
      </c>
      <c r="J55" s="576">
        <f>IF(H59="非个人房产","",4)</f>
        <v>4</v>
      </c>
      <c r="K55" s="3347" t="str">
        <f>IF(H59="非个人房产","——","个人所得税")</f>
        <v>个人所得税</v>
      </c>
      <c r="L55" s="3347"/>
      <c r="M55" s="2261">
        <f ca="1">D59</f>
        <v>10.09</v>
      </c>
      <c r="N55" s="557" t="str">
        <f>E59</f>
        <v>销售额×税（费）率</v>
      </c>
      <c r="O55" s="2262">
        <f>F59</f>
        <v>0.01</v>
      </c>
    </row>
    <row r="56" spans="1:35" ht="25.2">
      <c r="A56" s="3352" t="s">
        <v>885</v>
      </c>
      <c r="B56" s="3353"/>
      <c r="C56" s="3353"/>
      <c r="D56" s="2005">
        <f ca="1">IF(H56="个人住宅",D57,D58)</f>
        <v>572.00689999999997</v>
      </c>
      <c r="E56" s="1908" t="s">
        <v>886</v>
      </c>
      <c r="F56" s="2226" t="str">
        <f>IF(H56="正常",F58,"免征")</f>
        <v>——</v>
      </c>
      <c r="G56" s="2230" t="s">
        <v>887</v>
      </c>
      <c r="H56" s="2231" t="s">
        <v>884</v>
      </c>
      <c r="I56" s="2239"/>
      <c r="J56" s="576" t="str">
        <f>IF(项目基本情况!K6="上海银行",IF(J55="",4,J55+1),"")</f>
        <v/>
      </c>
      <c r="K56" s="3341" t="str">
        <f>IF(项目基本情况!K6="上海银行","其他处置费用","")</f>
        <v/>
      </c>
      <c r="L56" s="3357"/>
      <c r="M56" s="2257" t="str">
        <f>IF(项目基本情况!K6="上海银行",M69,"")</f>
        <v/>
      </c>
      <c r="N56" s="3341" t="str">
        <f>IF(项目基本情况!K6="上海银行","包含处置中涉及的律师、诉讼、拍卖、评估等费用","")</f>
        <v/>
      </c>
      <c r="O56" s="3342"/>
    </row>
    <row r="57" spans="1:35" ht="13.2">
      <c r="A57" s="2225" t="s">
        <v>857</v>
      </c>
      <c r="B57" s="3326" t="s">
        <v>888</v>
      </c>
      <c r="C57" s="3343"/>
      <c r="D57" s="2218">
        <v>0</v>
      </c>
      <c r="E57" s="1914" t="s">
        <v>859</v>
      </c>
      <c r="F57" s="1855"/>
      <c r="G57" s="2227"/>
      <c r="H57" s="2232"/>
      <c r="I57" s="2239"/>
      <c r="J57" s="3347">
        <f>IF(AND(J55="",J56=""),4,IF(项目基本情况!K6="上海银行",结果表110!J56+1,结果表110!J55+1))</f>
        <v>5</v>
      </c>
      <c r="K57" s="3347" t="s">
        <v>889</v>
      </c>
      <c r="L57" s="2264" t="s">
        <v>890</v>
      </c>
      <c r="M57" s="2265"/>
      <c r="N57" s="2266">
        <f ca="1">SUMIF(M52:M56,"&lt;9e307")</f>
        <v>635.4538</v>
      </c>
      <c r="O57" s="2267"/>
      <c r="P57" s="2268">
        <f ca="1">N57/M49</f>
        <v>0.62978572844400393</v>
      </c>
    </row>
    <row r="58" spans="1:35" ht="25.2">
      <c r="A58" s="2225" t="s">
        <v>871</v>
      </c>
      <c r="B58" s="3326" t="s">
        <v>891</v>
      </c>
      <c r="C58" s="3327"/>
      <c r="D58" s="2005">
        <f ca="1">IF(H58="转让取得",C81,C97)</f>
        <v>572.00689999999997</v>
      </c>
      <c r="E58" s="1908" t="s">
        <v>886</v>
      </c>
      <c r="F58" s="1855" t="s">
        <v>124</v>
      </c>
      <c r="G58" s="2227"/>
      <c r="H58" s="2231" t="s">
        <v>892</v>
      </c>
      <c r="I58" s="2239"/>
      <c r="J58" s="3347"/>
      <c r="K58" s="3347"/>
      <c r="L58" s="2264" t="s">
        <v>893</v>
      </c>
      <c r="M58" s="2269"/>
      <c r="N58" s="2270" t="str">
        <f ca="1">NUMBERSTRING(INT(N57*10000),2)&amp;"元整"</f>
        <v>陆佰叁拾伍万肆仟伍佰叁拾捌元整</v>
      </c>
      <c r="O58" s="2271"/>
    </row>
    <row r="59" spans="1:35" ht="26.4">
      <c r="A59" s="3344" t="s">
        <v>894</v>
      </c>
      <c r="B59" s="3345"/>
      <c r="C59" s="3345"/>
      <c r="D59" s="3177">
        <f ca="1">IF(H59="非个人房产","——",IF(H59="个人住宅（满五唯一有凭证）",0,IF(H59="个人其他（无凭证）",ROUND(D45*F59,4),ROUND(C67*F59,4))))</f>
        <v>10.09</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2794</v>
      </c>
      <c r="I59" s="2272" t="s">
        <v>895</v>
      </c>
      <c r="J59" s="3348">
        <f>J57+1</f>
        <v>6</v>
      </c>
      <c r="K59" s="3347" t="s">
        <v>896</v>
      </c>
      <c r="L59" s="576" t="s">
        <v>890</v>
      </c>
      <c r="M59" s="2273"/>
      <c r="N59" s="2274">
        <f ca="1">M49-N57</f>
        <v>373.5462</v>
      </c>
      <c r="O59" s="2275"/>
    </row>
    <row r="60" spans="1:35" ht="12" customHeight="1">
      <c r="A60" s="2237"/>
      <c r="B60" s="1998"/>
      <c r="C60" s="1998"/>
      <c r="D60" s="1998"/>
      <c r="E60" s="2238"/>
      <c r="F60" s="2239"/>
      <c r="G60" s="2239"/>
      <c r="H60" s="1459"/>
      <c r="I60" s="1458"/>
      <c r="J60" s="3349"/>
      <c r="K60" s="3347"/>
      <c r="L60" s="2264" t="s">
        <v>893</v>
      </c>
      <c r="M60" s="2269"/>
      <c r="N60" s="2270" t="str">
        <f ca="1">NUMBERSTRING(INT(N59*10000),2)&amp;"元整"</f>
        <v>叁佰柒拾叁万伍仟肆佰陆拾贰元整</v>
      </c>
      <c r="O60" s="2271"/>
    </row>
    <row r="61" spans="1:35" ht="13.2">
      <c r="A61" s="3346" t="s">
        <v>897</v>
      </c>
      <c r="B61" s="3346"/>
      <c r="C61" s="3346"/>
      <c r="D61" s="3346"/>
      <c r="E61" s="3346"/>
      <c r="F61" s="2239"/>
      <c r="G61" s="2239"/>
      <c r="H61" s="1459"/>
      <c r="I61" s="1458"/>
      <c r="J61" s="576">
        <f>J59+1</f>
        <v>7</v>
      </c>
      <c r="K61" s="3347" t="s">
        <v>898</v>
      </c>
      <c r="L61" s="3347"/>
      <c r="M61" s="2276"/>
      <c r="N61" s="2488">
        <f ca="1">ROUND(N59*10000/'数据-汇总表'!E3,0)</f>
        <v>4218</v>
      </c>
      <c r="O61" s="2277"/>
    </row>
    <row r="62" spans="1:35" ht="13.2">
      <c r="A62" s="3324" t="s">
        <v>899</v>
      </c>
      <c r="B62" s="3325"/>
      <c r="C62" s="528"/>
      <c r="D62" s="528" t="s">
        <v>900</v>
      </c>
      <c r="E62" s="2240" t="s">
        <v>851</v>
      </c>
      <c r="F62" s="2239"/>
      <c r="G62" s="2239"/>
      <c r="H62" s="1459"/>
      <c r="I62" s="1458"/>
    </row>
    <row r="63" spans="1:35" ht="13.2">
      <c r="A63" s="2241" t="s">
        <v>901</v>
      </c>
      <c r="B63" s="586" t="s">
        <v>902</v>
      </c>
      <c r="C63" s="2242">
        <f ca="1">ROUND((C64+C65)/(1+'数据-取费表'!C42),4)</f>
        <v>960.95240000000001</v>
      </c>
      <c r="D63" s="586"/>
      <c r="E63" s="2243"/>
      <c r="F63" s="2239"/>
      <c r="G63" s="2239"/>
      <c r="H63" s="1459"/>
      <c r="I63" s="1458"/>
      <c r="J63" s="3350" t="s">
        <v>903</v>
      </c>
      <c r="K63" s="2278" t="s">
        <v>904</v>
      </c>
      <c r="L63" s="2278">
        <f ca="1">IF(M49&gt;10000,M49*0.5%,IF(AND(M49&gt;1000,M49&lt;=10000),M49*1%,IF(AND(M49&gt;100,M49&lt;=1000),M49*3%,IF(AND(M49&gt;10,M49&lt;=100),M49*5%,M49*8%))))</f>
        <v>10.09</v>
      </c>
      <c r="M63" s="1855">
        <f ca="1">ROUND(L63,1)</f>
        <v>10.1</v>
      </c>
      <c r="N63" s="2279"/>
      <c r="Z63" s="2113"/>
      <c r="AI63" s="2114"/>
    </row>
    <row r="64" spans="1:35" ht="14.25" customHeight="1">
      <c r="A64" s="2244" t="s">
        <v>905</v>
      </c>
      <c r="B64" s="509" t="s">
        <v>906</v>
      </c>
      <c r="C64" s="2245">
        <f ca="1">D45</f>
        <v>1009</v>
      </c>
      <c r="D64" s="509" t="s">
        <v>124</v>
      </c>
      <c r="E64" s="2246"/>
      <c r="F64" s="2239"/>
      <c r="G64" s="2239"/>
      <c r="H64" s="1459"/>
      <c r="I64" s="1458"/>
      <c r="J64" s="3350"/>
      <c r="K64" s="2278" t="s">
        <v>907</v>
      </c>
      <c r="L64" s="2278">
        <f ca="1">IF(M49&gt;2000,M49*0.5%,IF(AND(M49&gt;1000,M49&lt;=2000),M49*0.6%,IF(AND(M49&gt;500,M49&lt;=1000),M49*0.7%,IF(AND(M49&gt;200,M49&lt;=500),M49*0.8%,IF(AND(M49&gt;100,M49&lt;=200),M49*0.9%,IF(AND(M49&gt;50,M49&lt;=100),M49*1%,IF(AND(M49&gt;20,M49&lt;=50),M49*1.5%,IF(AND(M49&gt;10,M49&lt;=20),M49*2%,IF(AND(M49&gt;1,M49&lt;=10),M49*2.5%)))))))))</f>
        <v>6.0540000000000003</v>
      </c>
      <c r="M64" s="1855">
        <f t="shared" ref="M64:M65" ca="1" si="1">ROUND(L64,1)</f>
        <v>6.1</v>
      </c>
      <c r="N64" s="2019" t="s">
        <v>908</v>
      </c>
      <c r="Z64" s="2113"/>
      <c r="AI64" s="2114"/>
    </row>
    <row r="65" spans="1:35" ht="14.25" customHeight="1">
      <c r="A65" s="2244" t="s">
        <v>909</v>
      </c>
      <c r="B65" s="509" t="s">
        <v>910</v>
      </c>
      <c r="C65" s="2281"/>
      <c r="D65" s="509"/>
      <c r="E65" s="2246"/>
      <c r="F65" s="2239"/>
      <c r="G65" s="2239"/>
      <c r="H65" s="1459"/>
      <c r="I65" s="1458"/>
      <c r="J65" s="3350"/>
      <c r="K65" s="2278" t="s">
        <v>911</v>
      </c>
      <c r="L65" s="2278">
        <f ca="1">IF(M49&gt;1000,M49*0.1%,IF(AND(M49&gt;500,M49&lt;=1000),M49*0.5%,IF(AND(M49&gt;50,M49&lt;=500),M49*1%,IF(AND(M49&gt;1,M49&lt;=50),M49*1.5%))))</f>
        <v>1.0090000000000001</v>
      </c>
      <c r="M65" s="1855">
        <f t="shared" ca="1" si="1"/>
        <v>1</v>
      </c>
      <c r="N65" s="2019" t="s">
        <v>908</v>
      </c>
      <c r="Z65" s="2113"/>
      <c r="AI65" s="2114"/>
    </row>
    <row r="66" spans="1:35" ht="14.25" customHeight="1">
      <c r="A66" s="2241" t="s">
        <v>912</v>
      </c>
      <c r="B66" s="2282" t="s">
        <v>913</v>
      </c>
      <c r="C66" s="2283"/>
      <c r="D66" s="2282" t="s">
        <v>124</v>
      </c>
      <c r="E66" s="2284" t="s">
        <v>914</v>
      </c>
      <c r="F66" s="2239"/>
      <c r="G66" s="2239"/>
      <c r="H66" s="1459"/>
      <c r="I66" s="1458"/>
      <c r="J66" s="3350"/>
      <c r="K66" s="2278" t="s">
        <v>915</v>
      </c>
      <c r="L66" s="2278">
        <f ca="1">M49*0.5%</f>
        <v>5.0449999999999999</v>
      </c>
      <c r="M66" s="1855">
        <f ca="1">IF(L66&gt;0.5,0.5,ROUND(L66,0))</f>
        <v>0.5</v>
      </c>
      <c r="N66" s="2019" t="s">
        <v>916</v>
      </c>
      <c r="Z66" s="2113"/>
      <c r="AI66" s="2114"/>
    </row>
    <row r="67" spans="1:35" ht="14.25" customHeight="1">
      <c r="A67" s="2241" t="s">
        <v>917</v>
      </c>
      <c r="B67" s="2282" t="s">
        <v>918</v>
      </c>
      <c r="C67" s="2285">
        <f ca="1">C63-C66</f>
        <v>960.95240000000001</v>
      </c>
      <c r="D67" s="509" t="s">
        <v>124</v>
      </c>
      <c r="E67" s="2246"/>
      <c r="F67" s="2239"/>
      <c r="G67" s="2239"/>
      <c r="H67" s="1459"/>
      <c r="I67" s="1458"/>
      <c r="J67" s="3350"/>
      <c r="K67" s="2278" t="s">
        <v>919</v>
      </c>
      <c r="L67" s="2278">
        <f ca="1">IF(M49&gt;=10000,(8.25+(M49-10000)*0.01%),IF(AND(M49&gt;=8000,M49&lt;10000),(7.85+(M49-8000)*0.02%),IF(AND(M49&gt;=5000,M49&lt;8000),(6.65+(M49-5000)*0.04%),IF(AND(M49&gt;=2000,M49&lt;5000),(4.25+(PM49-2000)*0.08%),IF(AND(M49&gt;=1000,M49&lt;2000),(2.75+(M49-1000)*0.15%),IF(AND(M49&gt;=100,M49&lt;1000),(0.5+(M49-100)*0.25%),IF(AND(M49&gt;0,M49&lt;100),M49*0.5%)))))))</f>
        <v>2.7635000000000001</v>
      </c>
      <c r="M67" s="1855">
        <f ca="1">ROUND(L67*0.9,1)</f>
        <v>2.5</v>
      </c>
      <c r="N67" s="2279"/>
      <c r="Z67" s="2113"/>
      <c r="AI67" s="2114"/>
    </row>
    <row r="68" spans="1:35" ht="14.25" customHeight="1">
      <c r="A68" s="2286" t="s">
        <v>920</v>
      </c>
      <c r="B68" s="2287" t="s">
        <v>921</v>
      </c>
      <c r="C68" s="2288">
        <f ca="1">IF(C67&lt;=0,0,ROUND(C67*D68,4))</f>
        <v>52.852400000000003</v>
      </c>
      <c r="D68" s="771">
        <f>'数据-取费表'!B41</f>
        <v>5.5000000000000007E-2</v>
      </c>
      <c r="E68" s="2289"/>
      <c r="F68" s="2239"/>
      <c r="G68" s="2239"/>
      <c r="H68" s="1459"/>
      <c r="I68" s="1458"/>
      <c r="J68" s="3350"/>
      <c r="K68" s="2278" t="s">
        <v>922</v>
      </c>
      <c r="L68" s="2278">
        <f ca="1">IF(M49&gt;10000,M49*0.5%,IF(AND(M49&gt;5000,M49&lt;=10000),M49*1%,IF(AND(M49&gt;1000,M49&lt;=5000),M49*2%,IF(AND(M49&gt;200,M49&lt;=1000),M49*3%,M49*5%))))</f>
        <v>20.18</v>
      </c>
      <c r="M68" s="1855">
        <f ca="1">ROUND(L68,1)</f>
        <v>20.2</v>
      </c>
      <c r="N68" s="2279"/>
      <c r="Z68" s="2113"/>
      <c r="AI68" s="2114"/>
    </row>
    <row r="69" spans="1:35" ht="16.5" customHeight="1">
      <c r="A69" s="2290"/>
      <c r="B69" s="2291"/>
      <c r="C69" s="2292"/>
      <c r="D69" s="693"/>
      <c r="E69" s="2293"/>
      <c r="F69" s="2238"/>
      <c r="G69" s="2238"/>
      <c r="H69" s="2198"/>
      <c r="I69" s="1998"/>
      <c r="J69" s="3350"/>
      <c r="K69" s="2278" t="s">
        <v>923</v>
      </c>
      <c r="L69" s="2278"/>
      <c r="M69" s="1855">
        <f ca="1">ROUND(SUM(M63:M68),0)</f>
        <v>40</v>
      </c>
      <c r="N69" s="2358">
        <f ca="1">M69/M49</f>
        <v>3.9643211100099107E-2</v>
      </c>
      <c r="Z69" s="2113"/>
      <c r="AI69" s="2114"/>
    </row>
    <row r="70" spans="1:35" s="886" customFormat="1" ht="13.8">
      <c r="A70" s="3322" t="s">
        <v>924</v>
      </c>
      <c r="B70" s="3323"/>
      <c r="C70" s="3323"/>
      <c r="D70" s="3323"/>
      <c r="E70" s="3323"/>
      <c r="F70" s="3323"/>
      <c r="G70" s="3323"/>
      <c r="H70" s="3323"/>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24" t="s">
        <v>899</v>
      </c>
      <c r="B71" s="3325"/>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960.95240000000001</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4.8048000000000002</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26" t="s">
        <v>935</v>
      </c>
      <c r="F76" s="3327"/>
      <c r="G76" s="3327"/>
      <c r="H76" s="3328"/>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4.8048000000000002</v>
      </c>
      <c r="D78" s="2310">
        <f>'数据-取费表'!B43</f>
        <v>5.000000000000001E-3</v>
      </c>
      <c r="E78" s="3304" t="s">
        <v>941</v>
      </c>
      <c r="F78" s="3305"/>
      <c r="G78" s="3305"/>
      <c r="H78" s="3306"/>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956.14760000000001</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198.99841824841823</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944</v>
      </c>
      <c r="B81" s="2287" t="s">
        <v>945</v>
      </c>
      <c r="C81" s="2315">
        <f ca="1">ROUND(IF(C79&lt;=0,0,IF(C80&gt;=200%,C79*60%-C73*35%,IF(C80&gt;=100%,C79*50%-C73*15%,IF(C80&gt;=50%,C79*40%-C73*5%,IF(C80&lt;50%,C79*30%,0))))),4)</f>
        <v>572.00689999999997</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3.8">
      <c r="A83" s="3322" t="s">
        <v>946</v>
      </c>
      <c r="B83" s="3323"/>
      <c r="C83" s="3323"/>
      <c r="D83" s="3323"/>
      <c r="E83" s="3323"/>
      <c r="F83" s="3323"/>
      <c r="G83" s="3323"/>
      <c r="H83" s="3323"/>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24" t="s">
        <v>899</v>
      </c>
      <c r="B84" s="3325"/>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961</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36" t="s">
        <v>954</v>
      </c>
      <c r="H90" s="3337"/>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04" t="s">
        <v>958</v>
      </c>
      <c r="F91" s="3305"/>
      <c r="G91" s="3305"/>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04" t="s">
        <v>961</v>
      </c>
      <c r="F92" s="3305"/>
      <c r="G92" s="3305"/>
      <c r="H92" s="3306"/>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5</v>
      </c>
      <c r="D93" s="2310">
        <f>'数据-取费表'!B43</f>
        <v>5.000000000000001E-3</v>
      </c>
      <c r="E93" s="3304" t="s">
        <v>941</v>
      </c>
      <c r="F93" s="3305"/>
      <c r="G93" s="3305"/>
      <c r="H93" s="3306"/>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07" t="s">
        <v>966</v>
      </c>
      <c r="F94" s="3308"/>
      <c r="G94" s="3308"/>
      <c r="H94" s="3309"/>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956</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191.2</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944</v>
      </c>
      <c r="B97" s="2287" t="s">
        <v>945</v>
      </c>
      <c r="C97" s="2331">
        <f ca="1">ROUND(IF(C95&lt;=0,0,IF(C96&gt;=200%,C95*60%-C86*35%,IF(C96&gt;=100%,C95*50%-C86*15%,IF(C96&gt;=50%,C95*40%-C86*5%,IF(C96&lt;50%,C95*30%,0))))),0)</f>
        <v>572</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967</v>
      </c>
      <c r="B99" s="1998"/>
      <c r="C99" s="1998"/>
      <c r="D99" s="1998"/>
      <c r="E99" s="2238"/>
      <c r="F99" s="2238"/>
      <c r="G99" s="2238"/>
      <c r="H99" s="2198"/>
      <c r="I99" s="1458"/>
    </row>
    <row r="100" spans="1:35" ht="18.75" customHeight="1">
      <c r="A100" s="3280" t="s">
        <v>968</v>
      </c>
      <c r="B100" s="3281"/>
      <c r="C100" s="3281"/>
      <c r="D100" s="3310"/>
      <c r="E100" s="3281" t="s">
        <v>969</v>
      </c>
      <c r="F100" s="3281"/>
      <c r="G100" s="3281"/>
      <c r="H100" s="3310"/>
      <c r="I100" s="1458"/>
    </row>
    <row r="101" spans="1:35" ht="18.75" customHeight="1">
      <c r="A101" s="3311" t="s">
        <v>970</v>
      </c>
      <c r="B101" s="3312"/>
      <c r="C101" s="2334" t="str">
        <f>C4</f>
        <v>比较法-商业</v>
      </c>
      <c r="D101" s="2335" t="str">
        <f>D4</f>
        <v>收益法 (元)</v>
      </c>
      <c r="E101" s="3335" t="s">
        <v>971</v>
      </c>
      <c r="F101" s="3330"/>
      <c r="G101" s="2337" t="s">
        <v>972</v>
      </c>
      <c r="H101" s="2338">
        <f ca="1">H118</f>
        <v>1009</v>
      </c>
      <c r="I101" s="1458"/>
    </row>
    <row r="102" spans="1:35" ht="18.75" customHeight="1">
      <c r="A102" s="3295" t="s">
        <v>973</v>
      </c>
      <c r="B102" s="2339" t="s">
        <v>972</v>
      </c>
      <c r="C102" s="2334">
        <f ca="1">IF(D32="楼面单价",ROUND(C19,0),C19)</f>
        <v>1113</v>
      </c>
      <c r="D102" s="2335">
        <f ca="1">IF(D32="楼面单价",ROUND(D19,0),D19)</f>
        <v>767</v>
      </c>
      <c r="E102" s="3335"/>
      <c r="F102" s="3330"/>
      <c r="G102" s="2337" t="s">
        <v>99</v>
      </c>
      <c r="H102" s="2227">
        <f ca="1">I118</f>
        <v>28410</v>
      </c>
      <c r="I102" s="1458"/>
    </row>
    <row r="103" spans="1:35" ht="42.75" customHeight="1">
      <c r="A103" s="3295"/>
      <c r="B103" s="2339" t="s">
        <v>99</v>
      </c>
      <c r="C103" s="2340">
        <f ca="1">C20</f>
        <v>31337</v>
      </c>
      <c r="D103" s="2341">
        <f ca="1">D20</f>
        <v>21581</v>
      </c>
      <c r="E103" s="3313" t="s">
        <v>974</v>
      </c>
      <c r="F103" s="3314"/>
      <c r="G103" s="2342" t="s">
        <v>102</v>
      </c>
      <c r="H103" s="2338">
        <f>IF(D36="正常操作",H104+H105+H106,H105+H106)</f>
        <v>0</v>
      </c>
      <c r="I103" s="1458"/>
    </row>
    <row r="104" spans="1:35" ht="18.75" customHeight="1">
      <c r="A104" s="3295" t="s">
        <v>975</v>
      </c>
      <c r="B104" s="2343" t="s">
        <v>972</v>
      </c>
      <c r="C104" s="2344">
        <f ca="1">H118</f>
        <v>1009</v>
      </c>
      <c r="D104" s="2345"/>
      <c r="E104" s="2183" t="s">
        <v>976</v>
      </c>
      <c r="F104" s="2346"/>
      <c r="G104" s="2342" t="s">
        <v>102</v>
      </c>
      <c r="H104" s="2347">
        <f>IF(D36="同一抵押权人同一抵押物续贷",C36&amp;"（续贷，未扣减，详见特别提示）",C36)</f>
        <v>0</v>
      </c>
      <c r="I104" s="1458"/>
    </row>
    <row r="105" spans="1:35" ht="18.75" customHeight="1">
      <c r="A105" s="3296"/>
      <c r="B105" s="2348" t="s">
        <v>99</v>
      </c>
      <c r="C105" s="2349">
        <f ca="1">I118</f>
        <v>28410</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29" t="str">
        <f>IF(项目基本情况!E8="已注销","——","3.房地产抵押价值")</f>
        <v>3.房地产抵押价值</v>
      </c>
      <c r="F107" s="3330"/>
      <c r="G107" s="2337" t="s">
        <v>972</v>
      </c>
      <c r="H107" s="2338">
        <f ca="1">IF(E107="——","——",H101-H103)</f>
        <v>1009</v>
      </c>
      <c r="I107" s="1458"/>
    </row>
    <row r="108" spans="1:35" ht="18.75" customHeight="1">
      <c r="A108" s="1458"/>
      <c r="B108" s="1458"/>
      <c r="C108" s="1458"/>
      <c r="D108" s="1458"/>
      <c r="E108" s="3329"/>
      <c r="F108" s="3330"/>
      <c r="G108" s="2337" t="s">
        <v>99</v>
      </c>
      <c r="H108" s="2227">
        <f ca="1">IF(H107=H101,H102,ROUND(H107*10000/'数据-汇总表'!E3,0))</f>
        <v>28410</v>
      </c>
      <c r="I108" s="1458"/>
    </row>
    <row r="109" spans="1:35" ht="18.75" customHeight="1">
      <c r="A109" s="1458"/>
      <c r="B109" s="1458"/>
      <c r="C109" s="1458"/>
      <c r="D109" s="1458"/>
      <c r="E109" s="3329" t="str">
        <f>IF(项目基本情况!E8="已注销及未注销","4.抵押担保权已注销时的房地产抵押价值",IF(项目基本情况!E8="已注销","3.抵押担保权已注销时的房地产抵押价值","——"))</f>
        <v>——</v>
      </c>
      <c r="F109" s="3330"/>
      <c r="G109" s="2337" t="s">
        <v>972</v>
      </c>
      <c r="H109" s="2353" t="str">
        <f>IF(E109="——","——",H101-H105-H106)</f>
        <v>——</v>
      </c>
      <c r="I109" s="1458"/>
    </row>
    <row r="110" spans="1:35" ht="18.75" customHeight="1">
      <c r="A110" s="1458"/>
      <c r="B110" s="1458"/>
      <c r="C110" s="1458"/>
      <c r="D110" s="1458"/>
      <c r="E110" s="3329"/>
      <c r="F110" s="3330"/>
      <c r="G110" s="2337" t="s">
        <v>99</v>
      </c>
      <c r="H110" s="2227" t="str">
        <f>IF(H109="——","——",ROUND(H109*10000/'数据-汇总表'!E3,0))</f>
        <v>——</v>
      </c>
      <c r="I110" s="1458"/>
    </row>
    <row r="111" spans="1:35" ht="18.75" customHeight="1">
      <c r="A111" s="1458"/>
      <c r="B111" s="1458"/>
      <c r="C111" s="1458"/>
      <c r="D111" s="1458"/>
      <c r="E111" s="3331" t="str">
        <f>IF(项目基本情况!E9="抵押净值",IF(OR(项目基本情况!E8="已注销",项目基本情况!E8="房地产抵押价值"),"4.抵押净值","5.抵押净值"),"——")</f>
        <v>——</v>
      </c>
      <c r="F111" s="3332"/>
      <c r="G111" s="2337" t="s">
        <v>972</v>
      </c>
      <c r="H111" s="2338" t="str">
        <f>IF(E111="——","——",N59)</f>
        <v>——</v>
      </c>
      <c r="I111" s="1458"/>
    </row>
    <row r="112" spans="1:35" ht="18.75" customHeight="1">
      <c r="A112" s="1458"/>
      <c r="B112" s="1458"/>
      <c r="C112" s="1458"/>
      <c r="D112" s="1458"/>
      <c r="E112" s="3333"/>
      <c r="F112" s="3334"/>
      <c r="G112" s="2354" t="s">
        <v>99</v>
      </c>
      <c r="H112" s="2355" t="str">
        <f>IF(E111="——","——",N61)</f>
        <v>——</v>
      </c>
      <c r="I112" s="1458"/>
    </row>
    <row r="113" spans="1:27" ht="18.75" customHeight="1">
      <c r="A113" s="1458"/>
      <c r="B113" s="1458"/>
      <c r="C113" s="1458"/>
      <c r="D113" s="1458"/>
      <c r="E113" s="3315" t="s">
        <v>978</v>
      </c>
      <c r="F113" s="3315"/>
      <c r="G113" s="3315"/>
      <c r="H113" s="3315"/>
      <c r="I113" s="1458"/>
    </row>
    <row r="114" spans="1:27" ht="3.75" customHeight="1">
      <c r="A114" s="1998"/>
      <c r="B114" s="1998"/>
      <c r="C114" s="1998"/>
      <c r="D114" s="1998"/>
      <c r="E114" s="2237"/>
      <c r="F114" s="2237"/>
      <c r="G114" s="2237"/>
      <c r="H114" s="2237"/>
      <c r="I114" s="1998"/>
    </row>
    <row r="115" spans="1:27" ht="18.75" customHeight="1">
      <c r="A115" s="3316" t="s">
        <v>980</v>
      </c>
      <c r="B115" s="3317"/>
      <c r="C115" s="3317"/>
      <c r="D115" s="3317"/>
      <c r="E115" s="3317"/>
      <c r="F115" s="3317"/>
      <c r="G115" s="3317"/>
      <c r="H115" s="3317"/>
      <c r="I115" s="3318"/>
    </row>
    <row r="116" spans="1:27" ht="27" customHeight="1">
      <c r="A116" s="3289" t="s">
        <v>981</v>
      </c>
      <c r="B116" s="3298" t="s">
        <v>982</v>
      </c>
      <c r="C116" s="3298" t="s">
        <v>983</v>
      </c>
      <c r="D116" s="3319" t="s">
        <v>984</v>
      </c>
      <c r="E116" s="3320"/>
      <c r="F116" s="3321" t="s">
        <v>985</v>
      </c>
      <c r="G116" s="3321"/>
      <c r="H116" s="3289" t="s">
        <v>986</v>
      </c>
      <c r="I116" s="3289"/>
    </row>
    <row r="117" spans="1:27" ht="18.75" customHeight="1">
      <c r="A117" s="3289"/>
      <c r="B117" s="3299"/>
      <c r="C117" s="3299"/>
      <c r="D117" s="868" t="s">
        <v>987</v>
      </c>
      <c r="E117" s="868" t="s">
        <v>810</v>
      </c>
      <c r="F117" s="868" t="s">
        <v>987</v>
      </c>
      <c r="G117" s="868" t="s">
        <v>810</v>
      </c>
      <c r="H117" s="868" t="s">
        <v>987</v>
      </c>
      <c r="I117" s="868" t="s">
        <v>810</v>
      </c>
    </row>
    <row r="118" spans="1:27" ht="24.75" customHeight="1">
      <c r="A118" s="2356" t="str">
        <f>项目基本情况!S2</f>
        <v>北京市房地产</v>
      </c>
      <c r="B118" s="868">
        <f>M18</f>
        <v>355.32</v>
      </c>
      <c r="C118" s="868">
        <f>M19</f>
        <v>0</v>
      </c>
      <c r="D118" s="868">
        <f ca="1">ROUND(IF(D32="总价",C34,E118*B118/10000),0)</f>
        <v>730</v>
      </c>
      <c r="E118" s="868">
        <f ca="1">ROUND(IF(C33="自定义",IF(D32="楼面单价",C34,D118*10000/B118),I118-G118),0)</f>
        <v>20540</v>
      </c>
      <c r="F118" s="868">
        <f ca="1">ROUND(IF(D32="总价",C35,G118*B118/10000),0)</f>
        <v>280</v>
      </c>
      <c r="G118" s="868">
        <f ca="1">ROUND(IF(D32="楼面单价",C35,F118*10000/B118),0)</f>
        <v>7870</v>
      </c>
      <c r="H118" s="2357">
        <f ca="1">ROUND(IF(D32="总价",C32,I118*B118/10000),0)</f>
        <v>1009</v>
      </c>
      <c r="I118" s="868">
        <f ca="1">ROUND(IF(D32="楼面单价",C32,H118*10000/B118),0)</f>
        <v>28410</v>
      </c>
    </row>
    <row r="119" spans="1:27" ht="18.75" customHeight="1">
      <c r="A119" s="3289" t="s">
        <v>988</v>
      </c>
      <c r="B119" s="3289"/>
      <c r="C119" s="3289"/>
      <c r="D119" s="3301" t="str">
        <f ca="1">NUMBERSTRING(INT(D118*10000),2)&amp;"元整"</f>
        <v>柒佰叁拾万元整</v>
      </c>
      <c r="E119" s="3303"/>
      <c r="F119" s="3301" t="str">
        <f ca="1">NUMBERSTRING(INT(F118*10000),2)&amp;"元整"</f>
        <v>贰佰捌拾万元整</v>
      </c>
      <c r="G119" s="3303"/>
      <c r="H119" s="3301" t="str">
        <f ca="1">NUMBERSTRING(INT(H118*10000),2)&amp;"元整"</f>
        <v>壹仟零玖万元整</v>
      </c>
      <c r="I119" s="3303"/>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01" t="s">
        <v>988</v>
      </c>
      <c r="B121" s="3302"/>
      <c r="C121" s="3303"/>
      <c r="D121" s="3301" t="str">
        <f>IF(D120=0,"零元整",NUMBERSTRING(INT(D120*10000),2)&amp;"元整")</f>
        <v>零元整</v>
      </c>
      <c r="E121" s="3302"/>
      <c r="F121" s="3302"/>
      <c r="G121" s="3302"/>
      <c r="H121" s="3302"/>
      <c r="I121" s="3303"/>
      <c r="AA121" s="1417"/>
    </row>
    <row r="122" spans="1:27" ht="18.75" customHeight="1">
      <c r="A122" s="3332" t="str">
        <f>IF(项目基本情况!B9="房地产市场价值","",MID(E107,3,LEN(E107)-2))</f>
        <v>房地产抵押价值</v>
      </c>
      <c r="B122" s="3332"/>
      <c r="C122" s="3332"/>
      <c r="D122" s="3338">
        <f ca="1">H107</f>
        <v>1009</v>
      </c>
      <c r="E122" s="3339"/>
      <c r="F122" s="3339"/>
      <c r="G122" s="3339"/>
      <c r="H122" s="3339"/>
      <c r="I122" s="3340"/>
      <c r="AA122" s="1417"/>
    </row>
    <row r="123" spans="1:27" ht="18.75" customHeight="1">
      <c r="A123" s="3289" t="s">
        <v>988</v>
      </c>
      <c r="B123" s="3289"/>
      <c r="C123" s="3289"/>
      <c r="D123" s="3301" t="str">
        <f ca="1">NUMBERSTRING(INT(D122*10000),2)&amp;"元整"</f>
        <v>壹仟零玖万元整</v>
      </c>
      <c r="E123" s="3302"/>
      <c r="F123" s="3302"/>
      <c r="G123" s="3302"/>
      <c r="H123" s="3302"/>
      <c r="I123" s="3303"/>
      <c r="AA123" s="1417"/>
    </row>
    <row r="124" spans="1:27" ht="18.75" customHeight="1">
      <c r="A124" s="3332" t="str">
        <f>IF(项目基本情况!B9="房地产市场价值","",MID(E109,3,LEN(E109)-2))</f>
        <v/>
      </c>
      <c r="B124" s="3332"/>
      <c r="C124" s="3332"/>
      <c r="D124" s="3338" t="str">
        <f>H109</f>
        <v>——</v>
      </c>
      <c r="E124" s="3339"/>
      <c r="F124" s="3339"/>
      <c r="G124" s="3339"/>
      <c r="H124" s="3339"/>
      <c r="I124" s="3340"/>
      <c r="AA124" s="1417"/>
    </row>
    <row r="125" spans="1:27" ht="18.75" customHeight="1">
      <c r="A125" s="3289" t="s">
        <v>988</v>
      </c>
      <c r="B125" s="3289"/>
      <c r="C125" s="3289"/>
      <c r="D125" s="3301" t="e">
        <f>NUMBERSTRING(INT(D124*10000),2)&amp;"元整"</f>
        <v>#VALUE!</v>
      </c>
      <c r="E125" s="3302"/>
      <c r="F125" s="3302"/>
      <c r="G125" s="3302"/>
      <c r="H125" s="3302"/>
      <c r="I125" s="3303"/>
      <c r="AA125" s="1417"/>
    </row>
    <row r="126" spans="1:27" ht="18.75" customHeight="1">
      <c r="A126" s="3332" t="str">
        <f>IF(项目基本情况!B9="房地产市场价值","",MID(E111,3,LEN(E111)-2))</f>
        <v/>
      </c>
      <c r="B126" s="3332"/>
      <c r="C126" s="3332"/>
      <c r="D126" s="3338" t="str">
        <f>H111</f>
        <v>——</v>
      </c>
      <c r="E126" s="3339"/>
      <c r="F126" s="3339"/>
      <c r="G126" s="3339"/>
      <c r="H126" s="3339"/>
      <c r="I126" s="3340"/>
      <c r="AA126" s="1417"/>
    </row>
    <row r="127" spans="1:27" ht="18.75" customHeight="1">
      <c r="A127" s="3289" t="s">
        <v>988</v>
      </c>
      <c r="B127" s="3289"/>
      <c r="C127" s="3289"/>
      <c r="D127" s="3301" t="e">
        <f>NUMBERSTRING(INT(D126*10000),2)&amp;"元整"</f>
        <v>#VALUE!</v>
      </c>
      <c r="E127" s="3302"/>
      <c r="F127" s="3302"/>
      <c r="G127" s="3302"/>
      <c r="H127" s="3302"/>
      <c r="I127" s="3303"/>
      <c r="AA127" s="1417"/>
    </row>
    <row r="128" spans="1:27" ht="21.75" customHeight="1">
      <c r="A128" s="3288" t="s">
        <v>113</v>
      </c>
      <c r="B128" s="3288"/>
      <c r="C128" s="3288"/>
      <c r="D128" s="3288"/>
      <c r="E128" s="3288"/>
      <c r="F128" s="3288"/>
      <c r="G128" s="3288"/>
      <c r="H128" s="3288"/>
      <c r="I128" s="3288"/>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D7">
    <cfRule type="cellIs" dxfId="187" priority="10" stopIfTrue="1" operator="equal">
      <formula>25</formula>
    </cfRule>
  </conditionalFormatting>
  <conditionalFormatting sqref="C8:D13">
    <cfRule type="cellIs" dxfId="186" priority="8" stopIfTrue="1" operator="equal">
      <formula>15</formula>
    </cfRule>
  </conditionalFormatting>
  <conditionalFormatting sqref="C14:D16">
    <cfRule type="cellIs" dxfId="185" priority="6" stopIfTrue="1" operator="equal">
      <formula>30</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996</v>
      </c>
      <c r="B1" s="876"/>
      <c r="C1" s="343"/>
      <c r="D1" s="343"/>
      <c r="E1" s="343"/>
      <c r="F1" s="343"/>
      <c r="G1" s="878">
        <f>MATCH(B1,'数据-取费表'!A6:A16,0)+5</f>
        <v>9</v>
      </c>
    </row>
    <row r="2" spans="1:9" s="333" customFormat="1" ht="18" customHeight="1">
      <c r="A2" s="345" t="s">
        <v>997</v>
      </c>
      <c r="B2" s="346">
        <f ca="1">IF(D2="——",C52,C52-E2)</f>
        <v>453</v>
      </c>
      <c r="C2" s="344" t="s">
        <v>998</v>
      </c>
      <c r="D2" s="881" t="s">
        <v>124</v>
      </c>
      <c r="E2" s="882" t="e">
        <f ca="1">SUMIF(INDIRECT("'"&amp;G2&amp;"'"&amp;"!A:A"),"承租人权益价值",INDIRECT("'"&amp;G2&amp;"'"&amp;"!c:c"))</f>
        <v>#REF!</v>
      </c>
      <c r="F2" s="883" t="s">
        <v>998</v>
      </c>
      <c r="G2" s="884"/>
    </row>
    <row r="3" spans="1:9" s="333" customFormat="1" ht="18" customHeight="1">
      <c r="A3" s="348" t="s">
        <v>999</v>
      </c>
      <c r="B3" s="349">
        <f ca="1">ROUND(B2*10000/(IF(B1="",'数据-汇总表'!E3,INDIRECT("'数据-取费表'!k"&amp;$G$1))),0)</f>
        <v>5115</v>
      </c>
      <c r="C3" s="344" t="s">
        <v>1000</v>
      </c>
      <c r="D3" s="344"/>
      <c r="E3" s="344"/>
      <c r="F3" s="344"/>
      <c r="G3" s="344"/>
    </row>
    <row r="4" spans="1:9" s="334" customFormat="1" ht="16.2">
      <c r="A4" s="350" t="s">
        <v>1001</v>
      </c>
      <c r="B4" s="351"/>
      <c r="C4" s="351"/>
      <c r="D4" s="351"/>
      <c r="E4" s="351"/>
      <c r="F4" s="351"/>
      <c r="G4" s="352"/>
    </row>
    <row r="5" spans="1:9" s="335" customFormat="1" ht="13.5" customHeight="1">
      <c r="A5" s="353" t="s">
        <v>1002</v>
      </c>
      <c r="B5" s="354" t="s">
        <v>1003</v>
      </c>
      <c r="C5" s="355">
        <f>C6+C7+C8</f>
        <v>0</v>
      </c>
      <c r="D5" s="355" t="s">
        <v>1004</v>
      </c>
      <c r="E5" s="356" t="s">
        <v>1005</v>
      </c>
      <c r="F5" s="356" t="s">
        <v>900</v>
      </c>
      <c r="G5" s="357"/>
    </row>
    <row r="6" spans="1:9" s="335" customFormat="1" ht="13.5" customHeight="1">
      <c r="A6" s="358" t="s">
        <v>1006</v>
      </c>
      <c r="B6" s="359" t="s">
        <v>1007</v>
      </c>
      <c r="C6" s="360"/>
      <c r="D6" s="361"/>
      <c r="E6" s="362"/>
      <c r="F6" s="362"/>
      <c r="G6" s="363"/>
    </row>
    <row r="7" spans="1:9" s="335" customFormat="1" ht="13.5" customHeight="1">
      <c r="A7" s="358" t="s">
        <v>1008</v>
      </c>
      <c r="B7" s="359" t="s">
        <v>1009</v>
      </c>
      <c r="C7" s="364">
        <f>ROUND(C6*F7,0)</f>
        <v>0</v>
      </c>
      <c r="D7" s="364"/>
      <c r="E7" s="362"/>
      <c r="F7" s="365">
        <f>IF(项目基本情况!B8="出让",0,'数据-取费表'!B48+'数据-取费表'!B49)</f>
        <v>3.0499999999999999E-2</v>
      </c>
      <c r="G7" s="363"/>
    </row>
    <row r="8" spans="1:9" s="336" customFormat="1">
      <c r="A8" s="358" t="s">
        <v>1010</v>
      </c>
      <c r="B8" s="359" t="s">
        <v>1011</v>
      </c>
      <c r="C8" s="364">
        <f>IF(G8="已包含在土地购买价格中","0",IF(B1="",'数据-取费表'!B29,IF(G9="全部缴纳",C9+C10,H9)))</f>
        <v>0</v>
      </c>
      <c r="D8" s="366"/>
      <c r="E8" s="364"/>
      <c r="F8" s="365"/>
      <c r="G8" s="885"/>
    </row>
    <row r="9" spans="1:9" s="335" customFormat="1" ht="13.5" customHeight="1">
      <c r="A9" s="368" t="s">
        <v>1012</v>
      </c>
      <c r="B9" s="369" t="s">
        <v>1013</v>
      </c>
      <c r="C9" s="370">
        <f ca="1">ROUND(D9*E9/10000,0)</f>
        <v>0</v>
      </c>
      <c r="D9" s="371">
        <f ca="1">IF(B1="",'数据-汇总表'!E5,IF(INDIRECT("'数据-取费表'!c"&amp;$G$1)="住宅",INDIRECT("'数据-取费表'!k"&amp;$G$1),0))</f>
        <v>0</v>
      </c>
      <c r="E9" s="370">
        <f>'数据-取费表'!B27</f>
        <v>160</v>
      </c>
      <c r="F9" s="365"/>
      <c r="G9" s="2485"/>
      <c r="H9" s="2486"/>
      <c r="I9" s="2487" t="s">
        <v>1014</v>
      </c>
    </row>
    <row r="10" spans="1:9" s="335" customFormat="1" ht="13.5" customHeight="1">
      <c r="A10" s="368" t="s">
        <v>1015</v>
      </c>
      <c r="B10" s="369" t="s">
        <v>1016</v>
      </c>
      <c r="C10" s="370">
        <f ca="1">ROUND(D10*E10/10000,0)</f>
        <v>18</v>
      </c>
      <c r="D10" s="371">
        <f ca="1">IF(B1="",'数据-汇总表'!E6,IF(INDIRECT("'数据-取费表'!c"&amp;$G$1)="住宅",INDIRECT("'数据-取费表'!s"&amp;$G$1),INDIRECT("'数据-取费表'!k"&amp;$G$1)+INDIRECT("'数据-取费表'!s"&amp;$G$1)))</f>
        <v>885.63</v>
      </c>
      <c r="E10" s="370">
        <f>'数据-取费表'!B28</f>
        <v>200</v>
      </c>
      <c r="F10" s="365"/>
      <c r="G10" s="372"/>
    </row>
    <row r="11" spans="1:9" s="335" customFormat="1" ht="13.5" hidden="1" customHeight="1">
      <c r="A11" s="373" t="s">
        <v>1017</v>
      </c>
      <c r="B11" s="359" t="s">
        <v>1018</v>
      </c>
      <c r="C11" s="355"/>
      <c r="D11" s="362"/>
      <c r="E11" s="362"/>
      <c r="F11" s="362"/>
      <c r="G11" s="363"/>
    </row>
    <row r="12" spans="1:9" s="335" customFormat="1" ht="13.5" hidden="1" customHeight="1">
      <c r="A12" s="373" t="s">
        <v>1019</v>
      </c>
      <c r="B12" s="359" t="s">
        <v>937</v>
      </c>
      <c r="C12" s="355">
        <v>0</v>
      </c>
      <c r="D12" s="362"/>
      <c r="E12" s="374"/>
      <c r="F12" s="365">
        <v>3.0499999999999999E-2</v>
      </c>
      <c r="G12" s="363"/>
    </row>
    <row r="13" spans="1:9" s="335" customFormat="1" ht="13.5" hidden="1" customHeight="1">
      <c r="A13" s="373" t="s">
        <v>1020</v>
      </c>
      <c r="B13" s="359" t="s">
        <v>1021</v>
      </c>
      <c r="C13" s="355"/>
      <c r="D13" s="362"/>
      <c r="E13" s="362"/>
      <c r="F13" s="362"/>
      <c r="G13" s="363"/>
    </row>
    <row r="14" spans="1:9" s="335" customFormat="1" ht="13.5" hidden="1" customHeight="1">
      <c r="A14" s="373" t="s">
        <v>1022</v>
      </c>
      <c r="B14" s="359" t="s">
        <v>1011</v>
      </c>
      <c r="C14" s="355"/>
      <c r="D14" s="362"/>
      <c r="E14" s="362"/>
      <c r="F14" s="362"/>
      <c r="G14" s="363" t="s">
        <v>1023</v>
      </c>
    </row>
    <row r="15" spans="1:9" s="335" customFormat="1" ht="13.5" hidden="1" customHeight="1">
      <c r="A15" s="373" t="s">
        <v>1024</v>
      </c>
      <c r="B15" s="359" t="s">
        <v>1025</v>
      </c>
      <c r="C15" s="364"/>
      <c r="D15" s="362"/>
      <c r="E15" s="362"/>
      <c r="F15" s="362"/>
      <c r="G15" s="363" t="s">
        <v>1026</v>
      </c>
    </row>
    <row r="16" spans="1:9"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f ca="1">IF(G19="已包含在土地取得成本中","0",ROUND(D19*E19/10000,0))</f>
        <v>18</v>
      </c>
      <c r="D19" s="356">
        <f ca="1">D9+D10</f>
        <v>885.63</v>
      </c>
      <c r="E19" s="355">
        <f>'数据-取费表'!B31</f>
        <v>200</v>
      </c>
      <c r="F19" s="377"/>
      <c r="G19" s="885"/>
    </row>
    <row r="20" spans="1:7" s="335" customFormat="1" ht="13.5" customHeight="1">
      <c r="A20" s="353" t="s">
        <v>1035</v>
      </c>
      <c r="B20" s="354" t="s">
        <v>1036</v>
      </c>
      <c r="C20" s="378">
        <f ca="1">ROUND((C5+C19)*F20,0)</f>
        <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84">
        <f ca="1">ROUND(SUM(C23:C25),0)</f>
        <v>1</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7">
        <f ca="1">ROUND(IF('数据-取费表'!B22&lt;=1,C5*F22*'数据-取费表'!B23,C5*(POWER((1+F22),'数据-取费表'!B23)-1)),0)</f>
        <v>0</v>
      </c>
      <c r="D23" s="388"/>
      <c r="E23" s="388"/>
      <c r="F23" s="389"/>
      <c r="G23" s="390" t="s">
        <v>1045</v>
      </c>
    </row>
    <row r="24" spans="1:7" s="335" customFormat="1" ht="13.5" customHeight="1">
      <c r="A24" s="386" t="s">
        <v>1008</v>
      </c>
      <c r="B24" s="359" t="s">
        <v>1046</v>
      </c>
      <c r="C24" s="387">
        <f ca="1">ROUND(IF('数据-取费表'!B22&lt;=1,C19*F22*('数据-取费表'!B19/2+'数据-取费表'!B21),C19*(POWER((1+F22),('数据-取费表'!B19/2+'数据-取费表'!B21))-1)),0)</f>
        <v>1</v>
      </c>
      <c r="D24" s="388"/>
      <c r="E24" s="388"/>
      <c r="F24" s="389"/>
      <c r="G24" s="390" t="s">
        <v>1047</v>
      </c>
    </row>
    <row r="25" spans="1:7" s="335" customFormat="1" ht="24">
      <c r="A25" s="386" t="s">
        <v>1010</v>
      </c>
      <c r="B25" s="359" t="s">
        <v>1048</v>
      </c>
      <c r="C25" s="387">
        <f ca="1">ROUND(IF('数据-取费表'!B22&lt;=1,C20*F22*'数据-取费表'!B23/2,C20*(POWER((1+F22),'数据-取费表'!B23/2)-1)),0)</f>
        <v>0</v>
      </c>
      <c r="D25" s="388"/>
      <c r="E25" s="391"/>
      <c r="F25" s="389"/>
      <c r="G25" s="392" t="s">
        <v>1049</v>
      </c>
    </row>
    <row r="26" spans="1:7" s="335" customFormat="1">
      <c r="A26" s="386" t="s">
        <v>1050</v>
      </c>
      <c r="B26" s="359" t="s">
        <v>1051</v>
      </c>
      <c r="C26" s="388">
        <f ca="1">ROUND(IF('数据-取费表'!B22&lt;=1,F21*F22*'数据-取费表'!B23/2,F21*(POWER((1+F22),'数据-取费表'!B23/2)-1)),4)</f>
        <v>5.9999999999999995E-4</v>
      </c>
      <c r="D26" s="388"/>
      <c r="E26" s="391"/>
      <c r="F26" s="389"/>
      <c r="G26" s="393"/>
    </row>
    <row r="27" spans="1:7" s="335" customFormat="1" ht="26.4">
      <c r="A27" s="353" t="s">
        <v>1052</v>
      </c>
      <c r="B27" s="394" t="s">
        <v>1053</v>
      </c>
      <c r="C27" s="395">
        <f ca="1">C28</f>
        <v>3</v>
      </c>
      <c r="D27" s="381">
        <f ca="1">C29</f>
        <v>3.0000000000000001E-3</v>
      </c>
      <c r="E27" s="382" t="s">
        <v>1040</v>
      </c>
      <c r="F27" s="396">
        <f ca="1">IF(B1="",'数据-取费表'!Q16,INDIRECT("'数据-取费表'!q"&amp;$G$1))</f>
        <v>0.15</v>
      </c>
      <c r="G27" s="397" t="s">
        <v>1054</v>
      </c>
    </row>
    <row r="28" spans="1:7" s="335" customFormat="1" ht="13.5" customHeight="1">
      <c r="A28" s="386" t="s">
        <v>1006</v>
      </c>
      <c r="B28" s="398" t="s">
        <v>1055</v>
      </c>
      <c r="C28" s="399">
        <f ca="1">ROUND((C5+C19+C20)*F27*'数据-取费表'!B21/'数据-取费表'!B20,0)</f>
        <v>3</v>
      </c>
      <c r="D28" s="381"/>
      <c r="E28" s="382"/>
      <c r="F28" s="396"/>
      <c r="G28" s="397"/>
    </row>
    <row r="29" spans="1:7" s="335" customFormat="1" ht="13.5" customHeight="1">
      <c r="A29" s="386" t="s">
        <v>1008</v>
      </c>
      <c r="B29" s="398" t="s">
        <v>1056</v>
      </c>
      <c r="C29" s="388">
        <f ca="1">ROUND(C21*F27*'数据-取费表'!B21/'数据-取费表'!B20,4)</f>
        <v>3.0000000000000001E-3</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f ca="1">ROUND((C5+C19+C20+C22+C27)/(1-C21-D22-D27-C30),0)</f>
        <v>24</v>
      </c>
      <c r="D31" s="401"/>
      <c r="E31" s="355"/>
      <c r="F31" s="402"/>
      <c r="G31" s="383" t="s">
        <v>1061</v>
      </c>
    </row>
    <row r="32" spans="1:7" s="334" customFormat="1" ht="16.2">
      <c r="A32" s="403" t="s">
        <v>1062</v>
      </c>
      <c r="B32" s="404"/>
      <c r="C32" s="404"/>
      <c r="D32" s="404"/>
      <c r="E32" s="404"/>
      <c r="F32" s="404"/>
      <c r="G32" s="405"/>
    </row>
    <row r="33" spans="1:7" s="335" customFormat="1" ht="13.5" customHeight="1">
      <c r="A33" s="353" t="s">
        <v>1002</v>
      </c>
      <c r="B33" s="354" t="s">
        <v>1063</v>
      </c>
      <c r="C33" s="406">
        <f ca="1">SUM(C34:C38)</f>
        <v>397</v>
      </c>
      <c r="D33" s="378"/>
      <c r="E33" s="356"/>
      <c r="F33" s="391"/>
      <c r="G33" s="383"/>
    </row>
    <row r="34" spans="1:7" s="337" customFormat="1" ht="13.5" customHeight="1">
      <c r="A34" s="386" t="s">
        <v>1006</v>
      </c>
      <c r="B34" s="359" t="s">
        <v>1064</v>
      </c>
      <c r="C34" s="364">
        <f ca="1">IF(B1="",IF(F34=100%,'数据-取费表'!M16,'数据-取费表'!O16),IF(F34=100%,INDIRECT("'数据-取费表'!m"&amp;$G$1)+INDIRECT("'数据-取费表'!t"&amp;$G$1),INDIRECT("'数据-取费表'!o"&amp;$G$1)+INDIRECT("'数据-取费表'!aq"&amp;$G$1)))</f>
        <v>354</v>
      </c>
      <c r="D34" s="361"/>
      <c r="E34" s="364"/>
      <c r="F34" s="407">
        <f ca="1">IF('数据-取费表'!B24=0,1,IF(B1="",'数据-取费表'!N16,INDIRECT("'数据-取费表'!n"&amp;$G$1)))</f>
        <v>1</v>
      </c>
      <c r="G34" s="363" t="s">
        <v>1065</v>
      </c>
    </row>
    <row r="35" spans="1:7" ht="13.5" customHeight="1">
      <c r="A35" s="386" t="s">
        <v>1008</v>
      </c>
      <c r="B35" s="359" t="s">
        <v>1066</v>
      </c>
      <c r="C35" s="364">
        <f ca="1">ROUND(C34*F35,0)</f>
        <v>18</v>
      </c>
      <c r="D35" s="364"/>
      <c r="E35" s="364"/>
      <c r="F35" s="408">
        <f>'数据-取费表'!B33</f>
        <v>0.05</v>
      </c>
      <c r="G35" s="363" t="s">
        <v>1067</v>
      </c>
    </row>
    <row r="36" spans="1:7" ht="24">
      <c r="A36" s="386" t="s">
        <v>1010</v>
      </c>
      <c r="B36" s="359" t="s">
        <v>1068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1069</v>
      </c>
    </row>
    <row r="37" spans="1:7" s="337" customFormat="1" ht="13.5" customHeight="1">
      <c r="A37" s="386" t="s">
        <v>1050</v>
      </c>
      <c r="B37" s="359" t="s">
        <v>1070</v>
      </c>
      <c r="C37" s="399">
        <f ca="1">ROUND(E37*D37*F34/10000,0)</f>
        <v>18</v>
      </c>
      <c r="D37" s="361">
        <f ca="1">D19</f>
        <v>885.63</v>
      </c>
      <c r="E37" s="399">
        <f>'数据-取费表'!B35</f>
        <v>200</v>
      </c>
      <c r="F37" s="408"/>
      <c r="G37" s="410" t="s">
        <v>1071</v>
      </c>
    </row>
    <row r="38" spans="1:7" ht="13.5" customHeight="1">
      <c r="A38" s="386" t="s">
        <v>1072</v>
      </c>
      <c r="B38" s="359" t="s">
        <v>937</v>
      </c>
      <c r="C38" s="364">
        <f ca="1">ROUND(C34*F38,0)</f>
        <v>7</v>
      </c>
      <c r="D38" s="364"/>
      <c r="E38" s="364"/>
      <c r="F38" s="408">
        <f>'数据-取费表'!B36</f>
        <v>0.02</v>
      </c>
      <c r="G38" s="363" t="s">
        <v>1067</v>
      </c>
    </row>
    <row r="39" spans="1:7" s="335" customFormat="1" ht="13.5" customHeight="1">
      <c r="A39" s="353" t="s">
        <v>1033</v>
      </c>
      <c r="B39" s="354" t="s">
        <v>1036</v>
      </c>
      <c r="C39" s="378">
        <f ca="1">ROUND(C33*F20,0)</f>
        <v>8</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f ca="1">ROUND(SUM(C42:C43),0)</f>
        <v>12</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f ca="1">ROUND(IF('数据-取费表'!B22&lt;=1,C33*F22*'数据-取费表'!B21/2,C33*(POWER((1+F22),'数据-取费表'!B21/2)-1)),0)</f>
        <v>12</v>
      </c>
      <c r="D42" s="388"/>
      <c r="E42" s="388"/>
      <c r="F42" s="389"/>
      <c r="G42" s="3382" t="s">
        <v>1076</v>
      </c>
    </row>
    <row r="43" spans="1:7" ht="13.5" customHeight="1">
      <c r="A43" s="386" t="s">
        <v>1008</v>
      </c>
      <c r="B43" s="359" t="s">
        <v>1046</v>
      </c>
      <c r="C43" s="388">
        <f ca="1">ROUND(IF('数据-取费表'!B22&lt;=1,C39*F22*'数据-取费表'!B21/2,C39*(POWER((1+F22),'数据-取费表'!B21/2)-1)),0)</f>
        <v>0</v>
      </c>
      <c r="D43" s="388"/>
      <c r="E43" s="388"/>
      <c r="F43" s="389"/>
      <c r="G43" s="3383"/>
    </row>
    <row r="44" spans="1:7" ht="13.5" customHeight="1">
      <c r="A44" s="386" t="s">
        <v>1010</v>
      </c>
      <c r="B44" s="359" t="s">
        <v>1048</v>
      </c>
      <c r="C44" s="388">
        <f ca="1">ROUND(IF('数据-取费表'!B22&lt;=1,C40*F22*'数据-取费表'!B21/2,C40*(POWER((1+F22),'数据-取费表'!B21/2)-1)),4)</f>
        <v>5.9999999999999995E-4</v>
      </c>
      <c r="D44" s="388"/>
      <c r="E44" s="388"/>
      <c r="F44" s="389"/>
      <c r="G44" s="3384"/>
    </row>
    <row r="45" spans="1:7" s="335" customFormat="1" ht="13.5" customHeight="1">
      <c r="A45" s="353" t="s">
        <v>1042</v>
      </c>
      <c r="B45" s="394" t="s">
        <v>1053</v>
      </c>
      <c r="C45" s="395">
        <f ca="1">C46</f>
        <v>61</v>
      </c>
      <c r="D45" s="381">
        <f ca="1">C47</f>
        <v>3.0000000000000001E-3</v>
      </c>
      <c r="E45" s="382" t="s">
        <v>1074</v>
      </c>
      <c r="F45" s="396">
        <f ca="1">F27</f>
        <v>0.15</v>
      </c>
      <c r="G45" s="397" t="s">
        <v>1077</v>
      </c>
    </row>
    <row r="46" spans="1:7" s="335" customFormat="1" ht="13.5" customHeight="1">
      <c r="A46" s="386" t="s">
        <v>1006</v>
      </c>
      <c r="B46" s="398" t="s">
        <v>1078</v>
      </c>
      <c r="C46" s="399">
        <f ca="1">ROUND((C33+C39)*F27,0)</f>
        <v>61</v>
      </c>
      <c r="D46" s="412"/>
      <c r="E46" s="382"/>
      <c r="F46" s="396"/>
      <c r="G46" s="397"/>
    </row>
    <row r="47" spans="1:7" s="335" customFormat="1" ht="13.5" customHeight="1">
      <c r="A47" s="386" t="s">
        <v>1008</v>
      </c>
      <c r="B47" s="398" t="s">
        <v>1079</v>
      </c>
      <c r="C47" s="388">
        <f ca="1">ROUND(C40*F27,4)</f>
        <v>3.0000000000000001E-3</v>
      </c>
      <c r="D47" s="412"/>
      <c r="E47" s="382"/>
      <c r="F47" s="396"/>
      <c r="G47" s="397"/>
    </row>
    <row r="48" spans="1:7" s="335" customFormat="1" ht="13.5" customHeight="1">
      <c r="A48" s="353" t="s">
        <v>1052</v>
      </c>
      <c r="B48" s="354" t="s">
        <v>1058</v>
      </c>
      <c r="C48" s="381">
        <f>ROUND(F30/(1+'数据-取费表'!C42),4)</f>
        <v>5.2400000000000002E-2</v>
      </c>
      <c r="D48" s="382" t="s">
        <v>1074</v>
      </c>
      <c r="E48" s="378"/>
      <c r="F48" s="385">
        <f>F30</f>
        <v>5.5000000000000007E-2</v>
      </c>
      <c r="G48" s="383" t="s">
        <v>1080</v>
      </c>
    </row>
    <row r="49" spans="1:7" ht="16.5" customHeight="1">
      <c r="A49" s="353" t="s">
        <v>1057</v>
      </c>
      <c r="B49" s="354" t="s">
        <v>1081</v>
      </c>
      <c r="C49" s="378">
        <f ca="1">ROUND((C33+C39+C41+C45)/(1-C40-D41-D45-C48),0)</f>
        <v>517</v>
      </c>
      <c r="D49" s="378"/>
      <c r="E49" s="378"/>
      <c r="F49" s="413"/>
      <c r="G49" s="383" t="s">
        <v>1082</v>
      </c>
    </row>
    <row r="50" spans="1:7" s="337" customFormat="1" ht="24">
      <c r="A50" s="353" t="s">
        <v>1083</v>
      </c>
      <c r="B50" s="354" t="s">
        <v>1084</v>
      </c>
      <c r="C50" s="378"/>
      <c r="D50" s="378"/>
      <c r="E50" s="378"/>
      <c r="F50" s="413">
        <f>IF('数据-取费表'!B24=0,'数据-取费表'!N16,1)</f>
        <v>0.83</v>
      </c>
      <c r="G50" s="397" t="s">
        <v>1085</v>
      </c>
    </row>
    <row r="51" spans="1:7" ht="16.5" customHeight="1">
      <c r="A51" s="353" t="s">
        <v>1086</v>
      </c>
      <c r="B51" s="354" t="s">
        <v>1087</v>
      </c>
      <c r="C51" s="378">
        <f ca="1">ROUND(C49*F50,0)</f>
        <v>429</v>
      </c>
      <c r="D51" s="378"/>
      <c r="E51" s="378"/>
      <c r="F51" s="413"/>
      <c r="G51" s="383" t="s">
        <v>1088</v>
      </c>
    </row>
    <row r="52" spans="1:7" s="334" customFormat="1" ht="16.2">
      <c r="A52" s="414" t="s">
        <v>1089</v>
      </c>
      <c r="B52" s="415"/>
      <c r="C52" s="416">
        <f ca="1">C31+C51</f>
        <v>453</v>
      </c>
      <c r="D52" s="415"/>
      <c r="E52" s="415"/>
      <c r="F52" s="415"/>
      <c r="G52" s="417"/>
    </row>
    <row r="55" spans="1:7" ht="15">
      <c r="B55" s="418" t="s">
        <v>1090</v>
      </c>
      <c r="C55" s="419"/>
    </row>
    <row r="56" spans="1:7">
      <c r="B56" s="420" t="s">
        <v>1091</v>
      </c>
      <c r="C56" s="422">
        <f ca="1">1-C57</f>
        <v>5.3000000000000047E-2</v>
      </c>
    </row>
    <row r="57" spans="1:7">
      <c r="B57" s="420" t="s">
        <v>1092</v>
      </c>
      <c r="C57" s="421">
        <f ca="1">ROUND(C51/C52,3)</f>
        <v>0.94699999999999995</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5" customWidth="1"/>
    <col min="2" max="9" width="10" style="3155" customWidth="1"/>
    <col min="10" max="16384" width="9" style="3155"/>
  </cols>
  <sheetData>
    <row r="36" spans="1:9">
      <c r="A36" s="3154" t="s">
        <v>75</v>
      </c>
      <c r="B36" s="3154" t="s">
        <v>76</v>
      </c>
    </row>
    <row r="37" spans="1:9" ht="27.75" customHeight="1">
      <c r="A37" s="3154"/>
      <c r="B37" s="3198" t="str">
        <f>项目基本情况!B1</f>
        <v>北京市房地产抵押价值预评估</v>
      </c>
      <c r="C37" s="3198"/>
      <c r="D37" s="3198"/>
      <c r="E37" s="3198"/>
      <c r="F37" s="3198"/>
      <c r="G37" s="3198"/>
      <c r="H37" s="3198"/>
      <c r="I37" s="3198"/>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c r="B46" s="3157" t="str">
        <f>项目基本情况!K4</f>
        <v>（注册号：0)、（注册号：0)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3" customWidth="1"/>
    <col min="3" max="3" width="10.33203125" style="2404" customWidth="1"/>
    <col min="4" max="4" width="9.88671875" style="2403" customWidth="1"/>
    <col min="5" max="5" width="9.44140625" style="1506"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341" t="s">
        <v>1093</v>
      </c>
      <c r="B1" s="1458"/>
      <c r="C1" s="2405"/>
      <c r="D1" s="2406"/>
      <c r="E1" s="2407"/>
      <c r="F1" s="2407"/>
      <c r="G1" s="2408"/>
      <c r="H1" s="2407"/>
      <c r="I1" s="2407"/>
      <c r="J1" s="2407"/>
      <c r="K1" s="2473">
        <f>MATCH(C1,'数据-取费表'!A6:A16,0)+5</f>
        <v>9</v>
      </c>
    </row>
    <row r="2" spans="1:33" ht="18" customHeight="1">
      <c r="A2" s="345" t="s">
        <v>997</v>
      </c>
      <c r="B2" s="349">
        <f ca="1">C32</f>
        <v>-20</v>
      </c>
      <c r="C2" s="2409" t="s">
        <v>1094</v>
      </c>
      <c r="D2" s="2409"/>
      <c r="E2" s="2407"/>
      <c r="F2" s="2407"/>
      <c r="G2" s="2407"/>
      <c r="H2" s="2407"/>
      <c r="I2" s="2407"/>
      <c r="J2" s="2407"/>
      <c r="K2" s="2407"/>
    </row>
    <row r="3" spans="1:33" ht="18" customHeight="1">
      <c r="A3" s="348" t="s">
        <v>999</v>
      </c>
      <c r="B3" s="349">
        <f ca="1">ROUND(B2*10000/IF(C1="",'数据-汇总表'!E3,INDIRECT("'数据-取费表'!K"&amp;$K$1)),0)</f>
        <v>-226</v>
      </c>
      <c r="C3" s="2409" t="s">
        <v>1095</v>
      </c>
      <c r="D3" s="2409"/>
      <c r="E3" s="2407"/>
      <c r="F3" s="2407"/>
      <c r="G3" s="2407"/>
      <c r="H3" s="2407"/>
      <c r="I3" s="2407"/>
      <c r="J3" s="2407"/>
      <c r="K3" s="2407"/>
    </row>
    <row r="4" spans="1:33" s="2395" customFormat="1" ht="16.5" customHeight="1">
      <c r="A4" s="2410" t="s">
        <v>1096</v>
      </c>
      <c r="B4" s="2411"/>
      <c r="C4" s="2412">
        <f>SUM(C8:K8)</f>
        <v>0</v>
      </c>
      <c r="D4" s="2411"/>
      <c r="E4" s="2411"/>
      <c r="F4" s="2411"/>
      <c r="G4" s="2411"/>
      <c r="H4" s="2411"/>
      <c r="I4" s="2411"/>
      <c r="J4" s="2411"/>
      <c r="K4" s="2474"/>
    </row>
    <row r="5" spans="1:33" s="2396" customFormat="1" ht="14.4">
      <c r="A5" s="2161" t="s">
        <v>1097</v>
      </c>
      <c r="B5" s="2413" t="s">
        <v>1098</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905</v>
      </c>
      <c r="B6" s="1895" t="s">
        <v>1099</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909</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956</v>
      </c>
      <c r="B8" s="2419" t="s">
        <v>1100</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1101</v>
      </c>
      <c r="B9" s="2411"/>
      <c r="C9" s="2411"/>
      <c r="D9" s="2411"/>
      <c r="E9" s="2411"/>
      <c r="F9" s="2411"/>
      <c r="G9" s="2411"/>
      <c r="H9" s="2411"/>
      <c r="I9" s="2411"/>
      <c r="J9" s="2411"/>
      <c r="K9" s="2474"/>
    </row>
    <row r="10" spans="1:33" s="2397" customFormat="1" ht="13.5" customHeight="1">
      <c r="A10" s="2161" t="s">
        <v>1097</v>
      </c>
      <c r="B10" s="2422" t="s">
        <v>1098</v>
      </c>
      <c r="C10" s="2423" t="s">
        <v>1102</v>
      </c>
      <c r="D10" s="2424" t="s">
        <v>1103</v>
      </c>
      <c r="E10" s="2424" t="s">
        <v>1104</v>
      </c>
      <c r="F10" s="2424" t="s">
        <v>1105</v>
      </c>
      <c r="G10" s="2422"/>
      <c r="H10" s="2425"/>
      <c r="I10" s="2425"/>
      <c r="J10" s="2425"/>
      <c r="K10" s="2479"/>
    </row>
    <row r="11" spans="1:33" s="2398" customFormat="1" ht="13.5" customHeight="1">
      <c r="A11" s="2426" t="s">
        <v>1012</v>
      </c>
      <c r="B11" s="2427" t="s">
        <v>1106</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1015</v>
      </c>
      <c r="B12" s="2427" t="s">
        <v>1107</v>
      </c>
      <c r="C12" s="1469">
        <f ca="1">ROUND(C11*F12,0)</f>
        <v>0</v>
      </c>
      <c r="D12" s="2429"/>
      <c r="E12" s="1418"/>
      <c r="F12" s="2430">
        <f>'数据-取费表'!B33</f>
        <v>0.05</v>
      </c>
      <c r="G12" s="2422" t="s">
        <v>1108</v>
      </c>
      <c r="H12" s="2425"/>
      <c r="I12" s="2425"/>
      <c r="J12" s="2425"/>
      <c r="K12" s="2479"/>
    </row>
    <row r="13" spans="1:33" s="2398" customFormat="1" ht="13.5" customHeight="1">
      <c r="A13" s="2426" t="s">
        <v>1109</v>
      </c>
      <c r="B13" s="2427" t="s">
        <v>1110</v>
      </c>
      <c r="C13" s="1469">
        <f ca="1">ROUND(IF(C1="",SUMIF('数据-取费表'!C:C,"住宅",'数据-取费表'!P:P)*F13,IF(INDIRECT("'数据-取费表'!c"&amp;$K$1)="住宅",INDIRECT("'数据-取费表'!P"&amp;$K$1)*F13,0)),0)</f>
        <v>0</v>
      </c>
      <c r="D13" s="2431"/>
      <c r="E13" s="1418"/>
      <c r="F13" s="2430">
        <f>'数据-取费表'!B34</f>
        <v>0</v>
      </c>
      <c r="G13" s="2422" t="s">
        <v>1111</v>
      </c>
      <c r="H13" s="2425"/>
      <c r="I13" s="2425"/>
      <c r="J13" s="2425"/>
      <c r="K13" s="2479"/>
    </row>
    <row r="14" spans="1:33" s="2399" customFormat="1" ht="13.5" customHeight="1">
      <c r="A14" s="2426" t="s">
        <v>1112</v>
      </c>
      <c r="B14" s="2427" t="s">
        <v>1113</v>
      </c>
      <c r="C14" s="1469">
        <f ca="1">ROUND(D14*E14*F11/10000,0)</f>
        <v>0</v>
      </c>
      <c r="D14" s="2431">
        <f ca="1">IF(C1="",'数据-汇总表'!E3,INDIRECT("'数据-取费表'!K"&amp;$K$1)+INDIRECT("'数据-取费表'!S"&amp;$K$1))</f>
        <v>885.63</v>
      </c>
      <c r="E14" s="1469">
        <f>'数据-取费表'!B35</f>
        <v>200</v>
      </c>
      <c r="F14" s="2432"/>
      <c r="G14" s="2422" t="s">
        <v>1114</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1115</v>
      </c>
      <c r="B15" s="2427" t="s">
        <v>1116</v>
      </c>
      <c r="C15" s="2433">
        <f ca="1">ROUND(C11*F15,0)</f>
        <v>0</v>
      </c>
      <c r="D15" s="2434"/>
      <c r="E15" s="2433"/>
      <c r="F15" s="2430">
        <f>'数据-取费表'!B36</f>
        <v>0.02</v>
      </c>
      <c r="G15" s="1895" t="s">
        <v>1117</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928</v>
      </c>
      <c r="B16" s="2427" t="s">
        <v>1118</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933</v>
      </c>
      <c r="B17" s="2427" t="s">
        <v>1119</v>
      </c>
      <c r="C17" s="1469">
        <f ca="1">ROUND(D17*E17/10000,0)</f>
        <v>0</v>
      </c>
      <c r="D17" s="2431">
        <f ca="1">D14</f>
        <v>885.63</v>
      </c>
      <c r="E17" s="1469">
        <f>'数据-取费表'!B32</f>
        <v>0</v>
      </c>
      <c r="F17" s="2434"/>
      <c r="G17" s="1895" t="s">
        <v>1120</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1121</v>
      </c>
      <c r="B18" s="2427" t="s">
        <v>1122</v>
      </c>
      <c r="C18" s="1469">
        <f ca="1">C19+C20-IF(C1="",'数据-取费表'!B29,IF(G18="已全部缴纳",C19+C20,H18))</f>
        <v>18</v>
      </c>
      <c r="D18" s="2431"/>
      <c r="E18" s="1469"/>
      <c r="F18" s="2432"/>
      <c r="G18" s="2436"/>
      <c r="H18" s="2437"/>
      <c r="I18" s="2480" t="s">
        <v>1123</v>
      </c>
      <c r="J18" s="2006"/>
      <c r="K18" s="2007"/>
    </row>
    <row r="19" spans="1:33" s="2398" customFormat="1" ht="13.5" customHeight="1">
      <c r="A19" s="2426" t="s">
        <v>1012</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1015</v>
      </c>
      <c r="B20" s="2427" t="s">
        <v>1124</v>
      </c>
      <c r="C20" s="1469">
        <f ca="1">ROUND(D20*E20/10000,0)</f>
        <v>18</v>
      </c>
      <c r="D20" s="2431">
        <f ca="1">IF(C1="",'数据-汇总表'!E6,IF(INDIRECT("'数据-取费表'!c"&amp;$K$1)="住宅",INDIRECT("'数据-取费表'!s"&amp;$K$1),INDIRECT("'数据-取费表'!k"&amp;$K$1)+INDIRECT("'数据-取费表'!s"&amp;$K$1)))</f>
        <v>885.63</v>
      </c>
      <c r="E20" s="1469">
        <f>'数据-取费表'!B28</f>
        <v>200</v>
      </c>
      <c r="F20" s="2432"/>
      <c r="G20" s="2005"/>
      <c r="H20" s="2263"/>
      <c r="I20" s="2263"/>
      <c r="J20" s="2263"/>
      <c r="K20" s="2481"/>
    </row>
    <row r="21" spans="1:33" s="2398" customFormat="1" ht="13.5" customHeight="1">
      <c r="A21" s="2415" t="s">
        <v>905</v>
      </c>
      <c r="B21" s="2439" t="s">
        <v>1125</v>
      </c>
      <c r="C21" s="2440">
        <f ca="1">C16+C17+C18</f>
        <v>18</v>
      </c>
      <c r="D21" s="2441"/>
      <c r="E21" s="2442"/>
      <c r="F21" s="2442"/>
      <c r="G21" s="1895" t="s">
        <v>1126</v>
      </c>
      <c r="H21" s="2006"/>
      <c r="I21" s="2006"/>
      <c r="J21" s="2006"/>
      <c r="K21" s="2007"/>
    </row>
    <row r="22" spans="1:33" s="2398" customFormat="1" ht="13.5" customHeight="1">
      <c r="A22" s="2415" t="s">
        <v>909</v>
      </c>
      <c r="B22" s="2439" t="s">
        <v>1127</v>
      </c>
      <c r="C22" s="2440">
        <f ca="1">ROUND(C21*F22,0)</f>
        <v>0</v>
      </c>
      <c r="D22" s="2442"/>
      <c r="E22" s="2442"/>
      <c r="F22" s="2443">
        <f>'数据-取费表'!B37</f>
        <v>0.02</v>
      </c>
      <c r="G22" s="2422" t="s">
        <v>1128</v>
      </c>
      <c r="H22" s="2425"/>
      <c r="I22" s="2425"/>
      <c r="J22" s="2425"/>
      <c r="K22" s="2479"/>
    </row>
    <row r="23" spans="1:33" s="2398" customFormat="1" ht="13.5" customHeight="1">
      <c r="A23" s="2415" t="s">
        <v>956</v>
      </c>
      <c r="B23" s="2439" t="s">
        <v>1129</v>
      </c>
      <c r="C23" s="2440">
        <f ca="1">ROUND(C4*F23*F11,0)</f>
        <v>0</v>
      </c>
      <c r="D23" s="2442"/>
      <c r="E23" s="2442"/>
      <c r="F23" s="2443">
        <f>'数据-取费表'!B38</f>
        <v>0.02</v>
      </c>
      <c r="G23" s="2422" t="s">
        <v>1130</v>
      </c>
      <c r="H23" s="2425"/>
      <c r="I23" s="2425"/>
      <c r="J23" s="2425"/>
      <c r="K23" s="2479"/>
    </row>
    <row r="24" spans="1:33" s="2398" customFormat="1" ht="13.5" customHeight="1">
      <c r="A24" s="2415" t="s">
        <v>959</v>
      </c>
      <c r="B24" s="2439" t="s">
        <v>1131</v>
      </c>
      <c r="C24" s="2444">
        <f>ROUND(F24/(1+'数据-取费表'!C42),4)</f>
        <v>2.9000000000000001E-2</v>
      </c>
      <c r="D24" s="2442" t="s">
        <v>1132</v>
      </c>
      <c r="E24" s="2442"/>
      <c r="F24" s="2443">
        <f>IF(项目基本情况!B8="出让",0,'数据-取费表'!B48+'数据-取费表'!B49)</f>
        <v>3.0499999999999999E-2</v>
      </c>
      <c r="G24" s="2422" t="s">
        <v>1133</v>
      </c>
      <c r="H24" s="2445"/>
      <c r="I24" s="2445"/>
      <c r="J24" s="2445"/>
      <c r="K24" s="2482"/>
    </row>
    <row r="25" spans="1:33" s="2398" customFormat="1" ht="13.5" customHeight="1">
      <c r="A25" s="2415" t="s">
        <v>963</v>
      </c>
      <c r="B25" s="2441" t="s">
        <v>1134</v>
      </c>
      <c r="C25" s="2446">
        <f ca="1">C27</f>
        <v>0</v>
      </c>
      <c r="D25" s="2444">
        <f ca="1">C26</f>
        <v>0</v>
      </c>
      <c r="E25" s="2447" t="s">
        <v>1132</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928</v>
      </c>
      <c r="B26" s="2449" t="s">
        <v>1135</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933</v>
      </c>
      <c r="B27" s="2449" t="s">
        <v>1136</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964</v>
      </c>
      <c r="B28" s="2456" t="s">
        <v>1137</v>
      </c>
      <c r="C28" s="2457">
        <f ca="1">C30</f>
        <v>3</v>
      </c>
      <c r="D28" s="2444">
        <f ca="1">C29</f>
        <v>0</v>
      </c>
      <c r="E28" s="2447" t="s">
        <v>1132</v>
      </c>
      <c r="F28" s="1133">
        <f ca="1">IF(C1="",'数据-取费表'!Q16,INDIRECT("'数据-取费表'!q"&amp;$K$1))</f>
        <v>0.15</v>
      </c>
      <c r="G28" s="2458"/>
      <c r="H28" s="2445"/>
      <c r="I28" s="2445"/>
      <c r="J28" s="2445"/>
      <c r="K28" s="2482"/>
    </row>
    <row r="29" spans="1:33" s="2402" customFormat="1" ht="13.5" customHeight="1">
      <c r="A29" s="2426" t="s">
        <v>928</v>
      </c>
      <c r="B29" s="2459" t="s">
        <v>1138</v>
      </c>
      <c r="C29" s="2451">
        <f ca="1">ROUND((1+C24)*F28*'数据-取费表'!B24/'数据-取费表'!B20,4)</f>
        <v>0</v>
      </c>
      <c r="D29" s="2451"/>
      <c r="E29" s="2452"/>
      <c r="F29" s="2460"/>
      <c r="G29" s="1895" t="s">
        <v>1139</v>
      </c>
      <c r="H29" s="2006"/>
      <c r="I29" s="2006"/>
      <c r="J29" s="2006"/>
      <c r="K29" s="2007"/>
    </row>
    <row r="30" spans="1:33" s="2402" customFormat="1" ht="13.5" customHeight="1">
      <c r="A30" s="2426" t="s">
        <v>933</v>
      </c>
      <c r="B30" s="2459" t="s">
        <v>1140</v>
      </c>
      <c r="C30" s="2461">
        <f ca="1">ROUND((C21+C22+C23)*F28,0)</f>
        <v>3</v>
      </c>
      <c r="D30" s="2451"/>
      <c r="E30" s="2452"/>
      <c r="F30" s="2460"/>
      <c r="G30" s="1895"/>
      <c r="H30" s="2006"/>
      <c r="I30" s="2006"/>
      <c r="J30" s="2006"/>
      <c r="K30" s="2007"/>
    </row>
    <row r="31" spans="1:33" s="2398" customFormat="1" ht="13.5" customHeight="1">
      <c r="A31" s="2462" t="s">
        <v>1141</v>
      </c>
      <c r="B31" s="2463" t="s">
        <v>1142</v>
      </c>
      <c r="C31" s="2464">
        <f>ROUND(C4*F31/(1+'数据-取费表'!C42),0)</f>
        <v>0</v>
      </c>
      <c r="D31" s="2465"/>
      <c r="E31" s="2466"/>
      <c r="F31" s="2467">
        <f>'数据-取费表'!B41</f>
        <v>5.5000000000000007E-2</v>
      </c>
      <c r="G31" s="2468" t="s">
        <v>1143</v>
      </c>
      <c r="H31" s="2469"/>
      <c r="I31" s="2469"/>
      <c r="J31" s="2469"/>
      <c r="K31" s="2483"/>
    </row>
    <row r="32" spans="1:33" s="2397" customFormat="1" ht="13.5" customHeight="1">
      <c r="A32" s="1135" t="s">
        <v>1144</v>
      </c>
      <c r="B32" s="2470"/>
      <c r="C32" s="2471">
        <f ca="1">ROUND((C4-C21-C22-C23-C25-C28-C31)/(1+C24+D25+D28),0)</f>
        <v>-20</v>
      </c>
      <c r="D32" s="2470"/>
      <c r="E32" s="2470"/>
      <c r="F32" s="2470"/>
      <c r="G32" s="2472" t="s">
        <v>1145</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c r="D1" s="1827" t="s">
        <v>124</v>
      </c>
      <c r="E1" s="1828" t="s">
        <v>1147</v>
      </c>
      <c r="F1" s="1829">
        <f ca="1">J53</f>
        <v>0</v>
      </c>
      <c r="G1" s="1830">
        <f>MATCH(C1,'数据-取费表'!A6:A16,0)+5</f>
        <v>9</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2388" t="e">
        <f ca="1">C40+J29+L46</f>
        <v>#DIV/0!</v>
      </c>
      <c r="C2" s="1833" t="s">
        <v>1149</v>
      </c>
      <c r="D2" s="1833"/>
      <c r="E2" s="1835"/>
      <c r="F2" s="1836"/>
      <c r="G2" s="1837"/>
      <c r="H2" s="1838"/>
      <c r="I2" s="1838"/>
      <c r="J2" s="1838"/>
      <c r="K2" s="1993"/>
      <c r="L2" s="1838"/>
      <c r="M2" s="1838"/>
    </row>
    <row r="3" spans="1:37" ht="18" customHeight="1">
      <c r="A3" s="1839" t="s">
        <v>1150</v>
      </c>
      <c r="B3" s="1840">
        <f ca="1">IF(ISERROR(B2*10000/F43),0,ROUND(B2*10000/F43,0))</f>
        <v>0</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0</v>
      </c>
      <c r="D5" s="1849" t="s">
        <v>1159</v>
      </c>
      <c r="E5" s="1850"/>
      <c r="F5" s="1851"/>
      <c r="G5" s="714"/>
      <c r="H5" s="1846">
        <v>1</v>
      </c>
      <c r="I5" s="1847" t="s">
        <v>1158</v>
      </c>
      <c r="J5" s="1848">
        <f ca="1">J6+J10+J12</f>
        <v>0</v>
      </c>
      <c r="K5" s="1849" t="s">
        <v>1159</v>
      </c>
      <c r="L5" s="1850"/>
      <c r="M5" s="1851"/>
    </row>
    <row r="6" spans="1:37" ht="18" customHeight="1">
      <c r="A6" s="1852" t="s">
        <v>905</v>
      </c>
      <c r="B6" s="3387" t="s">
        <v>1160</v>
      </c>
      <c r="C6" s="1853">
        <f ca="1">ROUND(F6*F8*F7*(1-F9)/10000,0)</f>
        <v>0</v>
      </c>
      <c r="D6" s="1854" t="s">
        <v>1161</v>
      </c>
      <c r="E6" s="1855" t="s">
        <v>1162</v>
      </c>
      <c r="F6" s="1856">
        <f ca="1">INDIRECT("'数据-取费表'!u"&amp;$G$1)</f>
        <v>0</v>
      </c>
      <c r="G6" s="714"/>
      <c r="H6" s="1852" t="s">
        <v>905</v>
      </c>
      <c r="I6" s="3387" t="s">
        <v>1160</v>
      </c>
      <c r="J6" s="1926">
        <f ca="1">ROUND(M6*M8*M7*(1-M9)/10000,0)</f>
        <v>0</v>
      </c>
      <c r="K6" s="1854" t="s">
        <v>1163</v>
      </c>
      <c r="L6" s="1855" t="s">
        <v>1162</v>
      </c>
      <c r="M6" s="1856">
        <f ca="1">INDIRECT("'数据-取费表'!z"&amp;$G$1)</f>
        <v>0</v>
      </c>
    </row>
    <row r="7" spans="1:37" ht="18" customHeight="1">
      <c r="A7" s="1857"/>
      <c r="B7" s="3388"/>
      <c r="C7" s="1858"/>
      <c r="D7" s="1859"/>
      <c r="E7" s="1860" t="s">
        <v>1164</v>
      </c>
      <c r="F7" s="1856">
        <f ca="1">IF(INDIRECT("'数据-取费表'!ah"&amp;$G$1)="",INDIRECT("'数据-取费表'!k"&amp;$G$1),INDIRECT("'数据-取费表'!ah"&amp;$G$1))</f>
        <v>0</v>
      </c>
      <c r="G7" s="714"/>
      <c r="H7" s="1861"/>
      <c r="I7" s="3388"/>
      <c r="J7" s="1862"/>
      <c r="K7" s="1859"/>
      <c r="L7" s="1855" t="s">
        <v>1164</v>
      </c>
      <c r="M7" s="1856">
        <f ca="1">F7</f>
        <v>0</v>
      </c>
    </row>
    <row r="8" spans="1:37" ht="18" customHeight="1">
      <c r="A8" s="1861"/>
      <c r="B8" s="3388"/>
      <c r="C8" s="1862"/>
      <c r="D8" s="1859"/>
      <c r="E8" s="1855" t="s">
        <v>1165</v>
      </c>
      <c r="F8" s="1856">
        <f ca="1">INDIRECT("'数据-取费表'!ai"&amp;$G$1)</f>
        <v>0</v>
      </c>
      <c r="G8" s="714"/>
      <c r="H8" s="1861"/>
      <c r="I8" s="3388"/>
      <c r="J8" s="1862"/>
      <c r="K8" s="1859"/>
      <c r="L8" s="1855" t="s">
        <v>1165</v>
      </c>
      <c r="M8" s="1856">
        <f ca="1">INDIRECT("'数据-取费表'!ai"&amp;$G$1)</f>
        <v>0</v>
      </c>
    </row>
    <row r="9" spans="1:37" ht="18" customHeight="1">
      <c r="A9" s="1861"/>
      <c r="B9" s="3389"/>
      <c r="C9" s="1862"/>
      <c r="D9" s="1859"/>
      <c r="E9" s="1855" t="s">
        <v>1166</v>
      </c>
      <c r="F9" s="1863">
        <f ca="1">INDIRECT("'数据-取费表'!w"&amp;$G$1)</f>
        <v>0</v>
      </c>
      <c r="G9" s="714"/>
      <c r="H9" s="1861"/>
      <c r="I9" s="3389"/>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0</v>
      </c>
      <c r="D10" s="1865" t="s">
        <v>1168</v>
      </c>
      <c r="E10" s="1866" t="s">
        <v>1169</v>
      </c>
      <c r="F10" s="1867"/>
      <c r="G10" s="714"/>
      <c r="H10" s="1852" t="s">
        <v>909</v>
      </c>
      <c r="I10" s="1864" t="s">
        <v>1167</v>
      </c>
      <c r="J10" s="1926">
        <f ca="1">ROUND(IF(M10="押一",J6/12*M11,IF(M10="押二",J6/12*2*M11,IF(M10="押三",J6/12*3*M11,J11*M11))),0)</f>
        <v>0</v>
      </c>
      <c r="K10" s="1865" t="s">
        <v>1168</v>
      </c>
      <c r="L10" s="1866" t="s">
        <v>1169</v>
      </c>
      <c r="M10" s="1867"/>
    </row>
    <row r="11" spans="1:37" ht="18" customHeight="1">
      <c r="A11" s="1868"/>
      <c r="B11" s="1869" t="s">
        <v>1170</v>
      </c>
      <c r="C11" s="1870"/>
      <c r="D11" s="2389"/>
      <c r="E11" s="1866" t="s">
        <v>1171</v>
      </c>
      <c r="F11" s="1871">
        <f ca="1">'数据-取费表'!B39</f>
        <v>1.4999999999999999E-2</v>
      </c>
      <c r="G11" s="714"/>
      <c r="H11" s="1872"/>
      <c r="I11" s="1869" t="s">
        <v>1170</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0</v>
      </c>
      <c r="D13" s="1882" t="s">
        <v>1174</v>
      </c>
      <c r="E13" s="1882" t="s">
        <v>1175</v>
      </c>
      <c r="F13" s="1883">
        <f ca="1">INDIRECT("'数据-取费表'!y"&amp;$G$1)</f>
        <v>0</v>
      </c>
      <c r="G13" s="714"/>
      <c r="H13" s="1879">
        <v>2</v>
      </c>
      <c r="I13" s="1880" t="s">
        <v>1173</v>
      </c>
      <c r="J13" s="2002">
        <f ca="1">ROUND(J14*J15,0)</f>
        <v>0</v>
      </c>
      <c r="K13" s="1904" t="s">
        <v>1174</v>
      </c>
      <c r="L13" s="2003"/>
      <c r="M13" s="2004"/>
    </row>
    <row r="14" spans="1:37" ht="18" customHeight="1">
      <c r="A14" s="1884" t="s">
        <v>928</v>
      </c>
      <c r="B14" s="1855" t="s">
        <v>1176</v>
      </c>
      <c r="C14" s="1885">
        <f ca="1">INDIRECT("'数据-取费表'!m"&amp;$G$1)+INDIRECT("'数据-取费表'!t"&amp;$G$1)</f>
        <v>0</v>
      </c>
      <c r="D14" s="1886" t="s">
        <v>1177</v>
      </c>
      <c r="E14" s="1887"/>
      <c r="F14" s="1888"/>
      <c r="G14" s="714"/>
      <c r="H14" s="1884" t="s">
        <v>905</v>
      </c>
      <c r="I14" s="1855" t="s">
        <v>1178</v>
      </c>
      <c r="J14" s="1469">
        <f ca="1">C29</f>
        <v>0</v>
      </c>
      <c r="K14" s="2005"/>
      <c r="L14" s="2006"/>
      <c r="M14" s="2007"/>
    </row>
    <row r="15" spans="1:37" s="1823" customFormat="1" ht="18" customHeight="1">
      <c r="A15" s="1884" t="s">
        <v>933</v>
      </c>
      <c r="B15" s="1855" t="s">
        <v>1107</v>
      </c>
      <c r="C15" s="1469">
        <f ca="1">ROUND(C14*F15,0)</f>
        <v>0</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ROUND(INDIRECT("'数据-取费表'!m"&amp;$G$1)*F16,0)</f>
        <v>0</v>
      </c>
      <c r="D16" s="1855" t="s">
        <v>1179</v>
      </c>
      <c r="E16" s="1855" t="s">
        <v>1180</v>
      </c>
      <c r="F16" s="1893">
        <f ca="1">IF(INDIRECT("'数据-取费表'!c"&amp;$G$1)="住宅",'数据-取费表'!B34,0)</f>
        <v>0</v>
      </c>
      <c r="G16" s="714"/>
      <c r="H16" s="1879" t="s">
        <v>1181</v>
      </c>
      <c r="I16" s="1880" t="s">
        <v>1182</v>
      </c>
      <c r="J16" s="1881">
        <f ca="1">ROUND(J17+J22+J23+J24,0)</f>
        <v>0</v>
      </c>
      <c r="K16" s="1904" t="s">
        <v>1183</v>
      </c>
      <c r="L16" s="1905"/>
      <c r="M16" s="1851"/>
    </row>
    <row r="17" spans="1:37" s="1823" customFormat="1" ht="18" customHeight="1">
      <c r="A17" s="1884" t="s">
        <v>1184</v>
      </c>
      <c r="B17" s="1855" t="s">
        <v>1185</v>
      </c>
      <c r="C17" s="1469">
        <f ca="1">ROUND(F17*(F43+INDIRECT("'数据-取费表'!S"&amp;$G$1))/10000,0)</f>
        <v>0</v>
      </c>
      <c r="D17" s="1855" t="s">
        <v>1186</v>
      </c>
      <c r="E17" s="1855" t="s">
        <v>1187</v>
      </c>
      <c r="F17" s="1894">
        <f>'数据-取费表'!B35</f>
        <v>200</v>
      </c>
      <c r="G17" s="1891"/>
      <c r="H17" s="1884" t="s">
        <v>905</v>
      </c>
      <c r="I17" s="1855" t="s">
        <v>1188</v>
      </c>
      <c r="J17" s="1907">
        <f ca="1">ROUND(IF(AND(项目基本情况!B11="自然人",项目基本情况!B10="北京市"),J6*M17/(1+'数据-取费表'!C42),J18+J19+J20),2)</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0</v>
      </c>
      <c r="D18" s="1855" t="s">
        <v>1179</v>
      </c>
      <c r="E18" s="1855" t="s">
        <v>1180</v>
      </c>
      <c r="F18" s="1893">
        <f>'数据-取费表'!B36</f>
        <v>0.02</v>
      </c>
      <c r="G18" s="1891"/>
      <c r="H18" s="1884" t="s">
        <v>928</v>
      </c>
      <c r="I18" s="1855" t="s">
        <v>1192</v>
      </c>
      <c r="J18" s="1469">
        <f ca="1">ROUND(J6*M18/(1+'数据-取费表'!C42),2)</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0</v>
      </c>
      <c r="D19" s="1895" t="s">
        <v>1195</v>
      </c>
      <c r="E19" s="1471"/>
      <c r="F19" s="1894"/>
      <c r="G19" s="714"/>
      <c r="H19" s="1884" t="s">
        <v>933</v>
      </c>
      <c r="I19" s="1855" t="s">
        <v>1196</v>
      </c>
      <c r="J19" s="1469">
        <f ca="1">IF(K19="按租金收入计税",ROUND(J6*M19/(1+'数据-取费表'!C42),2),ROUND(C29*M19*0.7,2))</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0</v>
      </c>
      <c r="D20" s="1896" t="s">
        <v>1199</v>
      </c>
      <c r="E20" s="1855" t="s">
        <v>1180</v>
      </c>
      <c r="F20" s="1893">
        <f>'数据-取费表'!B37</f>
        <v>0.02</v>
      </c>
      <c r="G20" s="1891"/>
      <c r="H20" s="1884" t="s">
        <v>936</v>
      </c>
      <c r="I20" s="1854" t="s">
        <v>1200</v>
      </c>
      <c r="J20" s="1913">
        <f ca="1">ROUND(M20*M21/10000,2)</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ROUND(J14*M22,2)</f>
        <v>0</v>
      </c>
      <c r="K22" s="1908" t="s">
        <v>1209</v>
      </c>
      <c r="L22" s="1855" t="s">
        <v>1180</v>
      </c>
      <c r="M22" s="1920">
        <f ca="1">INDIRECT("'数据-取费表'!Ak"&amp;$G$1)</f>
        <v>0</v>
      </c>
    </row>
    <row r="23" spans="1:37" s="1823" customFormat="1" ht="18" customHeight="1">
      <c r="A23" s="1884" t="s">
        <v>928</v>
      </c>
      <c r="B23" s="1855" t="s">
        <v>1210</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ROUND(J13*M23,2)</f>
        <v>0</v>
      </c>
      <c r="K23" s="1908" t="s">
        <v>1213</v>
      </c>
      <c r="L23" s="1855" t="s">
        <v>1180</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ROUND(J5*M24,2)</f>
        <v>0</v>
      </c>
      <c r="K24" s="1901" t="s">
        <v>1216</v>
      </c>
      <c r="L24" s="1877" t="s">
        <v>1180</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963</v>
      </c>
      <c r="B25" s="1855" t="s">
        <v>1217</v>
      </c>
      <c r="C25" s="1469"/>
      <c r="D25" s="1895" t="s">
        <v>1218</v>
      </c>
      <c r="E25" s="1471"/>
      <c r="F25" s="1894"/>
      <c r="G25" s="714"/>
      <c r="H25" s="1879" t="s">
        <v>1219</v>
      </c>
      <c r="I25" s="1922" t="s">
        <v>1220</v>
      </c>
      <c r="J25" s="1881">
        <f ca="1">J5-J16</f>
        <v>0</v>
      </c>
      <c r="K25" s="1923" t="s">
        <v>1221</v>
      </c>
      <c r="L25" s="1924"/>
      <c r="M25" s="1925"/>
    </row>
    <row r="26" spans="1:37">
      <c r="A26" s="1884" t="s">
        <v>928</v>
      </c>
      <c r="B26" s="1855" t="s">
        <v>1222</v>
      </c>
      <c r="C26" s="1469">
        <f ca="1">ROUND((C19+C20)*F26,0)</f>
        <v>0</v>
      </c>
      <c r="D26" s="1896" t="s">
        <v>1223</v>
      </c>
      <c r="E26" s="1866" t="s">
        <v>1224</v>
      </c>
      <c r="F26" s="1863">
        <f ca="1">INDIRECT("'数据-取费表'!q"&amp;$G$1)</f>
        <v>0</v>
      </c>
      <c r="G26" s="714"/>
      <c r="H26" s="1846" t="s">
        <v>1225</v>
      </c>
      <c r="I26" s="1847" t="s">
        <v>1226</v>
      </c>
      <c r="J26" s="1926">
        <f ca="1">IF(J5&lt;&gt;0,ROUND(J25*(1-((1+M28)/(1+M26))^M27)/(M26-M28),0),0)</f>
        <v>0</v>
      </c>
      <c r="K26" s="1914" t="s">
        <v>1227</v>
      </c>
      <c r="L26" s="1855" t="s">
        <v>1228</v>
      </c>
      <c r="M26" s="1863">
        <f ca="1">INDIRECT("'数据-取费表'!I"&amp;$G$1)</f>
        <v>0</v>
      </c>
    </row>
    <row r="27" spans="1:37" ht="18" customHeight="1">
      <c r="A27" s="1884" t="s">
        <v>933</v>
      </c>
      <c r="B27" s="1855" t="s">
        <v>1229</v>
      </c>
      <c r="C27" s="1469">
        <f ca="1">ROUND(F21*F26,4)</f>
        <v>0</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0</v>
      </c>
      <c r="D29" s="1901"/>
      <c r="E29" s="1877"/>
      <c r="F29" s="1902"/>
      <c r="G29" s="1891"/>
      <c r="H29" s="1903" t="s">
        <v>1237</v>
      </c>
      <c r="I29" s="1932" t="s">
        <v>1238</v>
      </c>
      <c r="J29" s="1933">
        <f ca="1">ROUND(J26/(1+F40)^F41,0)</f>
        <v>0</v>
      </c>
      <c r="K29" s="1934" t="s">
        <v>1239</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0</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ROUND(IF(AND(项目基本情况!B11="自然人",项目基本情况!B10="北京市"),C6*F31/(1+'数据-取费表'!C42),C32+C33+C34),2)</f>
        <v>0</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IF(项目基本情况!B11="自然人","——",ROUND(C6*F32/(1+'数据-取费表'!C42),2))</f>
        <v>0</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IF(项目基本情况!B11="自然人","——",IF(D33="按租金收入计税",ROUND(C6*F33/(1+'数据-取费表'!C42),2),IF(D33="按房产原值计税",ROUND(C29*F33*0.7,2),INDIRECT("'数据-取费表'!Aj"&amp;$G$1))))</f>
        <v>0</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IF(项目基本情况!B11="自然人","——",ROUND(F34*F35/10000,2))</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ROUND(C29*F36,2)</f>
        <v>0</v>
      </c>
      <c r="D36" s="1908" t="s">
        <v>1241</v>
      </c>
      <c r="E36" s="1855" t="s">
        <v>1180</v>
      </c>
      <c r="F36" s="1920">
        <f ca="1">INDIRECT("'数据-取费表'!Ak"&amp;$G$1)</f>
        <v>0</v>
      </c>
      <c r="G36" s="714"/>
      <c r="H36" s="1912"/>
      <c r="I36" s="2012"/>
      <c r="J36" s="2013"/>
      <c r="K36" s="2019"/>
      <c r="L36" s="1912"/>
      <c r="M36" s="1912"/>
    </row>
    <row r="37" spans="1:18" ht="18" customHeight="1">
      <c r="A37" s="1884" t="s">
        <v>956</v>
      </c>
      <c r="B37" s="1855" t="s">
        <v>1212</v>
      </c>
      <c r="C37" s="1469">
        <f ca="1">ROUND(C13*F37,2)</f>
        <v>0</v>
      </c>
      <c r="D37" s="1908" t="s">
        <v>1213</v>
      </c>
      <c r="E37" s="1855" t="s">
        <v>1180</v>
      </c>
      <c r="F37" s="1921">
        <f ca="1">INDIRECT("'数据-取费表'!Al"&amp;$G$1)</f>
        <v>0</v>
      </c>
      <c r="G37" s="714"/>
      <c r="H37" s="1912"/>
      <c r="I37" s="2012"/>
      <c r="J37" s="2013"/>
      <c r="K37" s="2019"/>
      <c r="L37" s="1912"/>
      <c r="M37" s="1912"/>
    </row>
    <row r="38" spans="1:18" ht="18" customHeight="1">
      <c r="A38" s="1892" t="s">
        <v>959</v>
      </c>
      <c r="B38" s="1877" t="s">
        <v>1198</v>
      </c>
      <c r="C38" s="1900">
        <f ca="1">ROUND(C5*F38,2)</f>
        <v>0</v>
      </c>
      <c r="D38" s="1901" t="s">
        <v>1216</v>
      </c>
      <c r="E38" s="1877" t="s">
        <v>1180</v>
      </c>
      <c r="F38" s="1878">
        <f ca="1">INDIRECT("'数据-取费表'!Am"&amp;$G$1)</f>
        <v>0</v>
      </c>
      <c r="G38" s="714"/>
      <c r="H38" s="1912"/>
      <c r="I38" s="2012"/>
      <c r="J38" s="2013"/>
      <c r="K38" s="2014"/>
      <c r="L38" s="1912"/>
      <c r="M38" s="1912"/>
    </row>
    <row r="39" spans="1:18" ht="24.6" customHeight="1">
      <c r="A39" s="1879" t="s">
        <v>1219</v>
      </c>
      <c r="B39" s="1922" t="s">
        <v>1220</v>
      </c>
      <c r="C39" s="1881">
        <f ca="1">C5-C30</f>
        <v>0</v>
      </c>
      <c r="D39" s="1923" t="s">
        <v>1221</v>
      </c>
      <c r="E39" s="1924"/>
      <c r="F39" s="1925"/>
      <c r="G39" s="714"/>
      <c r="H39" s="1912"/>
      <c r="I39" s="2012"/>
      <c r="J39" s="2013"/>
      <c r="K39" s="2014"/>
      <c r="L39" s="1912"/>
      <c r="M39" s="1912"/>
    </row>
    <row r="40" spans="1:18" ht="18" customHeight="1">
      <c r="A40" s="1846" t="s">
        <v>1225</v>
      </c>
      <c r="B40" s="1847" t="s">
        <v>1242</v>
      </c>
      <c r="C40" s="1926" t="e">
        <f ca="1">ROUND(C39*(1-((1+F42)/(1+F40))^F41)/(F40-F42),0)</f>
        <v>#DIV/0!</v>
      </c>
      <c r="D40" s="1914" t="s">
        <v>1227</v>
      </c>
      <c r="E40" s="1855" t="s">
        <v>1228</v>
      </c>
      <c r="F40" s="1863">
        <f ca="1">INDIRECT("'数据-取费表'!I"&amp;$G$1)</f>
        <v>0</v>
      </c>
      <c r="G40" s="714"/>
      <c r="H40" s="1927"/>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1235</v>
      </c>
      <c r="F42" s="1863">
        <f ca="1">INDIRECT("'数据-取费表'!v"&amp;$G$1)</f>
        <v>0</v>
      </c>
      <c r="G42" s="714"/>
      <c r="H42" s="1458"/>
      <c r="I42" s="2012"/>
      <c r="J42" s="2013"/>
      <c r="K42" s="2019"/>
      <c r="L42" s="1458"/>
      <c r="M42" s="1458"/>
    </row>
    <row r="43" spans="1:18" ht="18" customHeight="1">
      <c r="A43" s="1903" t="s">
        <v>1237</v>
      </c>
      <c r="B43" s="1932" t="s">
        <v>1243</v>
      </c>
      <c r="C43" s="1933" t="e">
        <f ca="1">ROUND(C40*10000/F43,0)</f>
        <v>#DIV/0!</v>
      </c>
      <c r="D43" s="1934" t="s">
        <v>1244</v>
      </c>
      <c r="E43" s="1935" t="s">
        <v>1245</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1246</v>
      </c>
      <c r="P45" s="1927"/>
      <c r="Q45" s="1927"/>
      <c r="R45" s="1927"/>
    </row>
    <row r="46" spans="1:18" s="714" customFormat="1">
      <c r="A46" s="1942" t="s">
        <v>1247</v>
      </c>
      <c r="C46" s="1943" t="e">
        <f ca="1">C68-C40</f>
        <v>#DIV/0!</v>
      </c>
      <c r="D46" s="1944" t="str">
        <f>C2</f>
        <v>万元</v>
      </c>
      <c r="E46" s="1937"/>
      <c r="F46" s="1937"/>
      <c r="I46" s="2022" t="s">
        <v>1248</v>
      </c>
      <c r="J46" s="2023"/>
      <c r="K46" s="2024"/>
      <c r="L46" s="2025" t="e">
        <f ca="1">IF(M47="住宅",0,IF(L48&gt;J51,L60,J60))</f>
        <v>#DIV/0!</v>
      </c>
      <c r="O46" s="2026" t="s">
        <v>1249</v>
      </c>
      <c r="P46" s="2027" t="s">
        <v>1250</v>
      </c>
      <c r="Q46" s="2069" t="s">
        <v>1251</v>
      </c>
      <c r="R46" s="2069" t="s">
        <v>1252</v>
      </c>
    </row>
    <row r="47" spans="1:18" s="714" customFormat="1">
      <c r="A47" s="1945" t="s">
        <v>1153</v>
      </c>
      <c r="B47" s="1946" t="s">
        <v>1154</v>
      </c>
      <c r="C47" s="2390" t="s">
        <v>1155</v>
      </c>
      <c r="D47" s="1946" t="s">
        <v>1156</v>
      </c>
      <c r="E47" s="1947" t="s">
        <v>1157</v>
      </c>
      <c r="F47" s="1462"/>
      <c r="G47" s="1948"/>
      <c r="I47" s="2028" t="s">
        <v>1253</v>
      </c>
      <c r="J47" s="2029"/>
      <c r="K47" s="2030" t="s">
        <v>1254</v>
      </c>
      <c r="L47" s="2031">
        <f ca="1">INDIRECT("'数据-取费表'!d"&amp;$G$1)</f>
        <v>0</v>
      </c>
      <c r="M47" s="2032" t="str">
        <f>IF(ISNUMBER(FIND("住宅",C1)),"住宅","非住宅")</f>
        <v>非住宅</v>
      </c>
      <c r="O47" s="2033" t="s">
        <v>1012</v>
      </c>
      <c r="P47" s="2034" t="s">
        <v>1255</v>
      </c>
      <c r="Q47" s="2070" t="e">
        <f ca="1">C40+J29</f>
        <v>#DIV/0!</v>
      </c>
      <c r="R47" s="2070" t="s">
        <v>1256</v>
      </c>
    </row>
    <row r="48" spans="1:18" s="714" customFormat="1" ht="39.6">
      <c r="A48" s="1949" t="s">
        <v>1257</v>
      </c>
      <c r="B48" s="1847" t="s">
        <v>1158</v>
      </c>
      <c r="C48" s="1470">
        <f ca="1">C49+C53+C55</f>
        <v>0</v>
      </c>
      <c r="D48" s="1950"/>
      <c r="E48" s="1951"/>
      <c r="F48" s="1952"/>
      <c r="G48" s="1948"/>
      <c r="H48" s="1953"/>
      <c r="I48" s="2035" t="s">
        <v>1258</v>
      </c>
      <c r="J48" s="2036"/>
      <c r="K48" s="2037" t="s">
        <v>1259</v>
      </c>
      <c r="L48" s="2038">
        <f ca="1">INDIRECT("'数据-取费表'!f"&amp;$G$1)</f>
        <v>0</v>
      </c>
      <c r="O48" s="2033" t="s">
        <v>1015</v>
      </c>
      <c r="P48" s="2034" t="s">
        <v>1260</v>
      </c>
      <c r="Q48" s="2070" t="e">
        <f ca="1">J60</f>
        <v>#DIV/0!</v>
      </c>
      <c r="R48" s="2070" t="s">
        <v>1261</v>
      </c>
    </row>
    <row r="49" spans="1:18" s="714" customFormat="1">
      <c r="A49" s="1954" t="s">
        <v>1262</v>
      </c>
      <c r="B49" s="1955" t="s">
        <v>1263</v>
      </c>
      <c r="C49" s="1956">
        <f ca="1">ROUND(F49*F51*F50*(1-F52)/10000,0)</f>
        <v>0</v>
      </c>
      <c r="D49" s="1957" t="s">
        <v>1163</v>
      </c>
      <c r="E49" s="1958" t="s">
        <v>1264</v>
      </c>
      <c r="F49" s="1959"/>
      <c r="H49" s="1953"/>
      <c r="I49" s="2035" t="s">
        <v>1265</v>
      </c>
      <c r="J49" s="2039"/>
      <c r="K49" s="2037" t="s">
        <v>1266</v>
      </c>
      <c r="L49" s="2040"/>
      <c r="O49" s="2041" t="s">
        <v>1267</v>
      </c>
      <c r="P49" s="2034" t="s">
        <v>1268</v>
      </c>
      <c r="Q49" s="2070">
        <f ca="1">C29</f>
        <v>0</v>
      </c>
      <c r="R49" s="2070" t="s">
        <v>1256</v>
      </c>
    </row>
    <row r="50" spans="1:18" s="714" customFormat="1">
      <c r="A50" s="1960"/>
      <c r="B50" s="1431"/>
      <c r="C50" s="2391"/>
      <c r="D50" s="1962"/>
      <c r="E50" s="1963" t="s">
        <v>1164</v>
      </c>
      <c r="F50" s="1964">
        <f ca="1">F7</f>
        <v>0</v>
      </c>
      <c r="H50" s="1953"/>
      <c r="I50" s="2035" t="s">
        <v>1269</v>
      </c>
      <c r="J50" s="2042">
        <f>SUMPRODUCT((I63:I65=J47)*(J62:L62=J48)*(J63:L65))</f>
        <v>0</v>
      </c>
      <c r="K50" s="2037" t="s">
        <v>1270</v>
      </c>
      <c r="L50" s="2040"/>
      <c r="M50" s="2043"/>
      <c r="O50" s="2041" t="s">
        <v>1271</v>
      </c>
      <c r="P50" s="2034" t="s">
        <v>1272</v>
      </c>
      <c r="Q50" s="2071" t="e">
        <f ca="1">J58</f>
        <v>#DIV/0!</v>
      </c>
      <c r="R50" s="2070"/>
    </row>
    <row r="51" spans="1:18" s="714" customFormat="1">
      <c r="A51" s="1965"/>
      <c r="B51" s="1431"/>
      <c r="C51" s="1961"/>
      <c r="D51" s="1962"/>
      <c r="E51" s="1966" t="s">
        <v>1165</v>
      </c>
      <c r="F51" s="1856">
        <f ca="1">F8</f>
        <v>0</v>
      </c>
      <c r="I51" s="2044" t="s">
        <v>1273</v>
      </c>
      <c r="J51" s="2038">
        <f>IF(J49="",J50,J49+J50-YEAR('数据-取费表'!B2))</f>
        <v>0</v>
      </c>
      <c r="K51" s="2045" t="s">
        <v>1274</v>
      </c>
      <c r="L51" s="2046">
        <f ca="1">ROUND(-PV(INDIRECT("'数据-取费表'!h"&amp;$G$1),J51,(C39-C13*C76),0),0)</f>
        <v>0</v>
      </c>
      <c r="M51" s="2047"/>
      <c r="O51" s="2041" t="s">
        <v>1275</v>
      </c>
      <c r="P51" s="2034" t="s">
        <v>1276</v>
      </c>
      <c r="Q51" s="2071">
        <f>J52</f>
        <v>0</v>
      </c>
      <c r="R51" s="2070"/>
    </row>
    <row r="52" spans="1:18" s="714" customFormat="1">
      <c r="A52" s="1965"/>
      <c r="B52" s="1431"/>
      <c r="C52" s="1961"/>
      <c r="D52" s="1962"/>
      <c r="E52" s="1966" t="s">
        <v>1166</v>
      </c>
      <c r="F52" s="1967"/>
      <c r="I52" s="2048" t="s">
        <v>1277</v>
      </c>
      <c r="J52" s="2049"/>
      <c r="K52" s="2048" t="s">
        <v>1278</v>
      </c>
      <c r="L52" s="2049"/>
      <c r="O52" s="2041" t="s">
        <v>1279</v>
      </c>
      <c r="P52" s="2034" t="s">
        <v>1280</v>
      </c>
      <c r="Q52" s="2070">
        <f ca="1">J53</f>
        <v>0</v>
      </c>
      <c r="R52" s="2070" t="s">
        <v>1281</v>
      </c>
    </row>
    <row r="53" spans="1:18" s="714" customFormat="1" ht="36">
      <c r="A53" s="2392" t="s">
        <v>1282</v>
      </c>
      <c r="B53" s="2249" t="s">
        <v>1167</v>
      </c>
      <c r="C53" s="1468">
        <f ca="1">ROUND(IF(F53="押一",C49/12*F11,IF(F53="押二",C49/12*2*F11,IF(F53="押三",C49/12*3*F11,C54*F11))),0)</f>
        <v>0</v>
      </c>
      <c r="D53" s="1865" t="s">
        <v>1168</v>
      </c>
      <c r="E53" s="1866" t="s">
        <v>1169</v>
      </c>
      <c r="F53" s="1867"/>
      <c r="I53" s="2050" t="s">
        <v>1283</v>
      </c>
      <c r="J53" s="2051">
        <f ca="1">IF(M47="住宅",IF(D1="——",MAX(J51,L48),MAX(J51,L48-'数据-取费表'!B24)),IF(D1="——",MIN(J51,L48),MIN(J51,L48-'数据-取费表'!B24)))</f>
        <v>0</v>
      </c>
      <c r="K53" s="3385" t="s">
        <v>1284</v>
      </c>
      <c r="L53" s="3386"/>
      <c r="O53" s="2033" t="s">
        <v>1109</v>
      </c>
      <c r="P53" s="2034" t="s">
        <v>1285</v>
      </c>
      <c r="Q53" s="2070" t="e">
        <f ca="1">Q47+Q48</f>
        <v>#DIV/0!</v>
      </c>
      <c r="R53" s="2070" t="s">
        <v>1286</v>
      </c>
    </row>
    <row r="54" spans="1:18" s="714" customFormat="1" ht="24">
      <c r="A54" s="2393"/>
      <c r="B54" s="1869" t="s">
        <v>1170</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t="e">
        <f ca="1">ROUND(IF(J47="钢混",J57/J50,1-(1-2%)*(J50-J57)/J50),3)</f>
        <v>#DIV/0!</v>
      </c>
      <c r="K55" s="2056" t="s">
        <v>1289</v>
      </c>
      <c r="L55" s="2057"/>
      <c r="O55" s="2026" t="s">
        <v>1249</v>
      </c>
      <c r="P55" s="2027" t="s">
        <v>1250</v>
      </c>
      <c r="Q55" s="2069" t="s">
        <v>1251</v>
      </c>
      <c r="R55" s="2069" t="s">
        <v>1252</v>
      </c>
    </row>
    <row r="56" spans="1:18" s="714" customFormat="1" ht="36">
      <c r="A56" s="1972">
        <v>2</v>
      </c>
      <c r="B56" s="1973" t="s">
        <v>1173</v>
      </c>
      <c r="C56" s="378">
        <f ca="1">C13</f>
        <v>0</v>
      </c>
      <c r="D56" s="1974"/>
      <c r="E56" s="1975"/>
      <c r="F56" s="1971"/>
      <c r="I56" s="2058" t="s">
        <v>1290</v>
      </c>
      <c r="J56" s="2059"/>
      <c r="K56" s="2035" t="s">
        <v>1291</v>
      </c>
      <c r="L56" s="2038">
        <f ca="1">IF(L48&lt;J51,"——",L48-J53)</f>
        <v>0</v>
      </c>
      <c r="O56" s="2033" t="s">
        <v>1012</v>
      </c>
      <c r="P56" s="2034" t="s">
        <v>1255</v>
      </c>
      <c r="Q56" s="2070" t="e">
        <f ca="1">C40+J29</f>
        <v>#DIV/0!</v>
      </c>
      <c r="R56" s="2070" t="s">
        <v>1256</v>
      </c>
    </row>
    <row r="57" spans="1:18" s="714" customFormat="1" ht="24">
      <c r="A57" s="1976"/>
      <c r="B57" s="1977" t="s">
        <v>1236</v>
      </c>
      <c r="C57" s="388">
        <f ca="1">C29</f>
        <v>0</v>
      </c>
      <c r="D57" s="1978"/>
      <c r="E57" s="1979"/>
      <c r="F57" s="1980"/>
      <c r="I57" s="2060" t="s">
        <v>1292</v>
      </c>
      <c r="J57" s="2061">
        <f ca="1">IF(OR(M47="住宅",J51&lt;L48,J56="是"),"——",J51-L48)</f>
        <v>0</v>
      </c>
      <c r="K57" s="2035" t="s">
        <v>1293</v>
      </c>
      <c r="L57" s="2038">
        <f ca="1">IF(L48&lt;J51,"——",IF(L55="比较法",L49,IF(L55="基准地价",L50,L51)))</f>
        <v>0</v>
      </c>
      <c r="O57" s="2033" t="s">
        <v>1015</v>
      </c>
      <c r="P57" s="2034" t="s">
        <v>1294</v>
      </c>
      <c r="Q57" s="2070" t="e">
        <f ca="1">L60</f>
        <v>#DIV/0!</v>
      </c>
      <c r="R57" s="2070" t="s">
        <v>1295</v>
      </c>
    </row>
    <row r="58" spans="1:18" s="714" customFormat="1" ht="24">
      <c r="A58" s="1981" t="s">
        <v>1181</v>
      </c>
      <c r="B58" s="1973" t="s">
        <v>1182</v>
      </c>
      <c r="C58" s="1468">
        <f ca="1">ROUND(C59+C64+C65+C66,0)</f>
        <v>0</v>
      </c>
      <c r="D58" s="1982" t="s">
        <v>1183</v>
      </c>
      <c r="E58" s="1983"/>
      <c r="F58" s="1952"/>
      <c r="I58" s="2060" t="s">
        <v>1296</v>
      </c>
      <c r="J58" s="2062" t="e">
        <f ca="1">IF(J55&lt;0.4,0.4,J55)</f>
        <v>#DIV/0!</v>
      </c>
      <c r="K58" s="2045" t="s">
        <v>1297</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f ca="1">IF(项目基本情况!B11="自然人","——",ROUND(C48*F60/(1+'数据-取费表'!C42),2))</f>
        <v>0</v>
      </c>
      <c r="D60" s="1985" t="s">
        <v>1193</v>
      </c>
      <c r="E60" s="1977" t="s">
        <v>1180</v>
      </c>
      <c r="F60" s="1899">
        <f t="shared" ref="F60:F66" si="0">F32</f>
        <v>5.5000000000000007E-2</v>
      </c>
      <c r="I60" s="2063" t="s">
        <v>1301</v>
      </c>
      <c r="J60" s="2064" t="e">
        <f ca="1">IF(OR(M47="住宅",J51&lt;L48,J56="是"),"0",ROUND(J59/(1+J52)^J53,0))</f>
        <v>#DIV/0!</v>
      </c>
      <c r="K60" s="2065" t="s">
        <v>1302</v>
      </c>
      <c r="L60" s="2064" t="e">
        <f ca="1">IF(OR(M47="住宅",L48&lt;J51),0,ROUND(L57*(L58/L59-1),0))</f>
        <v>#DIV/0!</v>
      </c>
      <c r="O60" s="2041" t="s">
        <v>1275</v>
      </c>
      <c r="P60" s="2034" t="s">
        <v>1303</v>
      </c>
      <c r="Q60" s="2070" t="e">
        <f ca="1">L58</f>
        <v>#DIV/0!</v>
      </c>
      <c r="R60" s="2070" t="s">
        <v>1304</v>
      </c>
    </row>
    <row r="61" spans="1:18" s="714" customFormat="1">
      <c r="A61" s="1884" t="s">
        <v>933</v>
      </c>
      <c r="B61" s="1977" t="s">
        <v>1196</v>
      </c>
      <c r="C61" s="1469">
        <f ca="1">IF(项目基本情况!B11="自然人","——",IF(D61="按租金收入计税",ROUND(C49*F61/(1+'数据-取费表'!C42),2),IF(D61="按房产原值计税",ROUND(C57*F61*0.7,2),INDIRECT("'数据-取费表'!Aj"&amp;$G$1))))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f ca="1">IF(项目基本情况!B11="自然人","——",ROUND(F62*F63/10000,2))</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t="e">
        <f ca="1">Q56+Q57</f>
        <v>#DIV/0!</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ROUND(C57*F64,2)</f>
        <v>0</v>
      </c>
      <c r="D64" s="1985" t="s">
        <v>1241</v>
      </c>
      <c r="E64" s="1977" t="s">
        <v>1180</v>
      </c>
      <c r="F64" s="1920">
        <f t="shared" ca="1" si="0"/>
        <v>0</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ROUND(C56*F65,2)</f>
        <v>0</v>
      </c>
      <c r="D65" s="1985" t="s">
        <v>1213</v>
      </c>
      <c r="E65" s="1977" t="s">
        <v>1180</v>
      </c>
      <c r="F65" s="1921">
        <f t="shared" ca="1" si="0"/>
        <v>0</v>
      </c>
      <c r="I65" s="2066" t="s">
        <v>1314</v>
      </c>
      <c r="J65" s="1032">
        <v>40</v>
      </c>
      <c r="K65" s="1032">
        <v>30</v>
      </c>
      <c r="L65" s="1032">
        <v>50</v>
      </c>
      <c r="M65" s="2068">
        <v>0.02</v>
      </c>
      <c r="O65" s="2033" t="s">
        <v>1012</v>
      </c>
      <c r="P65" s="2034" t="s">
        <v>1255</v>
      </c>
      <c r="Q65" s="2070" t="e">
        <f ca="1">C40+J29</f>
        <v>#DIV/0!</v>
      </c>
      <c r="R65" s="2070" t="s">
        <v>1256</v>
      </c>
    </row>
    <row r="66" spans="1:18" s="714" customFormat="1" ht="15.6">
      <c r="A66" s="1884" t="s">
        <v>959</v>
      </c>
      <c r="B66" s="1977" t="s">
        <v>1198</v>
      </c>
      <c r="C66" s="1469">
        <f ca="1">ROUND(C48*F66,2)</f>
        <v>0</v>
      </c>
      <c r="D66" s="1985" t="s">
        <v>1216</v>
      </c>
      <c r="E66" s="1977" t="s">
        <v>1180</v>
      </c>
      <c r="F66" s="1863">
        <f t="shared" ca="1" si="0"/>
        <v>0</v>
      </c>
      <c r="O66" s="2033" t="s">
        <v>1015</v>
      </c>
      <c r="P66" s="2034" t="s">
        <v>1294</v>
      </c>
      <c r="Q66" s="2070" t="e">
        <f ca="1">L60</f>
        <v>#DIV/0!</v>
      </c>
      <c r="R66" s="2070" t="s">
        <v>1295</v>
      </c>
    </row>
    <row r="67" spans="1:18" s="714" customFormat="1" ht="24">
      <c r="A67" s="1972" t="s">
        <v>1219</v>
      </c>
      <c r="B67" s="2072" t="s">
        <v>1220</v>
      </c>
      <c r="C67" s="1468">
        <f ca="1">C48-C58</f>
        <v>0</v>
      </c>
      <c r="D67" s="1984" t="s">
        <v>1221</v>
      </c>
      <c r="E67" s="2073"/>
      <c r="F67" s="2074"/>
      <c r="O67" s="2041" t="s">
        <v>1267</v>
      </c>
      <c r="P67" s="2034" t="s">
        <v>1298</v>
      </c>
      <c r="Q67" s="2094">
        <f ca="1">L51</f>
        <v>0</v>
      </c>
      <c r="R67" s="2070" t="s">
        <v>1315</v>
      </c>
    </row>
    <row r="68" spans="1:18" s="714" customFormat="1" ht="15.6">
      <c r="A68" s="2075" t="s">
        <v>1225</v>
      </c>
      <c r="B68" s="2076" t="s">
        <v>1242</v>
      </c>
      <c r="C68" s="1926" t="e">
        <f ca="1">ROUND(C67*(1-((1+F70)/(1+F68))^F69)/(F68-F70),0)</f>
        <v>#DIV/0!</v>
      </c>
      <c r="D68" s="1987" t="s">
        <v>1227</v>
      </c>
      <c r="E68" s="1977" t="s">
        <v>1228</v>
      </c>
      <c r="F68" s="1863">
        <f ca="1">F40</f>
        <v>0</v>
      </c>
      <c r="O68" s="2041" t="s">
        <v>1271</v>
      </c>
      <c r="P68" s="2093" t="s">
        <v>1316</v>
      </c>
      <c r="Q68" s="2070">
        <f ca="1">ROUND(Q69-Q70*Q71,0)</f>
        <v>0</v>
      </c>
      <c r="R68" s="2070" t="s">
        <v>1317</v>
      </c>
    </row>
    <row r="69" spans="1:18" s="714" customFormat="1">
      <c r="A69" s="2077"/>
      <c r="B69" s="2078"/>
      <c r="C69" s="1862"/>
      <c r="D69" s="2079" t="s">
        <v>1231</v>
      </c>
      <c r="E69" s="1977" t="s">
        <v>1232</v>
      </c>
      <c r="F69" s="1930">
        <f ca="1">F41</f>
        <v>0</v>
      </c>
      <c r="O69" s="2041" t="s">
        <v>1318</v>
      </c>
      <c r="P69" s="2093" t="s">
        <v>1319</v>
      </c>
      <c r="Q69" s="2070">
        <f ca="1">C39</f>
        <v>0</v>
      </c>
      <c r="R69" s="2070" t="s">
        <v>1256</v>
      </c>
    </row>
    <row r="70" spans="1:18" s="714" customFormat="1">
      <c r="A70" s="2080"/>
      <c r="B70" s="2081"/>
      <c r="C70" s="1881"/>
      <c r="D70" s="1989"/>
      <c r="E70" s="1977" t="s">
        <v>1235</v>
      </c>
      <c r="F70" s="1967"/>
      <c r="O70" s="2041" t="s">
        <v>1320</v>
      </c>
      <c r="P70" s="2093" t="s">
        <v>1321</v>
      </c>
      <c r="Q70" s="2070">
        <f ca="1">C13</f>
        <v>0</v>
      </c>
      <c r="R70" s="2070" t="s">
        <v>1256</v>
      </c>
    </row>
    <row r="71" spans="1:18" s="714" customFormat="1">
      <c r="A71" s="2082" t="s">
        <v>1237</v>
      </c>
      <c r="B71" s="2083" t="s">
        <v>1243</v>
      </c>
      <c r="C71" s="1933" t="e">
        <f ca="1">ROUND(C68*10000/F71,0)</f>
        <v>#DIV/0!</v>
      </c>
      <c r="D71" s="2084" t="s">
        <v>1244</v>
      </c>
      <c r="E71" s="2085" t="s">
        <v>1245</v>
      </c>
      <c r="F71" s="1936">
        <f ca="1">F43</f>
        <v>0</v>
      </c>
      <c r="O71" s="2041" t="s">
        <v>1322</v>
      </c>
      <c r="P71" s="2093" t="s">
        <v>1323</v>
      </c>
      <c r="Q71" s="2071">
        <f ca="1">C76</f>
        <v>0</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0</v>
      </c>
      <c r="D75" s="714"/>
      <c r="E75" s="714"/>
      <c r="F75" s="714"/>
      <c r="K75" s="2020"/>
      <c r="L75" s="714"/>
      <c r="O75" s="2033" t="s">
        <v>1109</v>
      </c>
      <c r="P75" s="2034" t="s">
        <v>1285</v>
      </c>
      <c r="Q75" s="2070" t="e">
        <f ca="1">Q65+Q66</f>
        <v>#DIV/0!</v>
      </c>
      <c r="R75" s="2070" t="s">
        <v>1286</v>
      </c>
    </row>
    <row r="76" spans="1:18">
      <c r="B76" s="506" t="s">
        <v>1327</v>
      </c>
      <c r="C76" s="2089">
        <f ca="1">INDIRECT("'数据-取费表'!j"&amp;$G$1)</f>
        <v>0</v>
      </c>
      <c r="I76" s="714"/>
      <c r="J76" s="714"/>
      <c r="K76" s="2020"/>
      <c r="L76" s="714"/>
    </row>
    <row r="77" spans="1:18">
      <c r="B77" s="2090" t="s">
        <v>1328</v>
      </c>
      <c r="C77" s="2091"/>
      <c r="I77" s="714"/>
      <c r="J77" s="714"/>
      <c r="K77" s="2020"/>
      <c r="L77" s="714"/>
    </row>
    <row r="78" spans="1:18">
      <c r="B78" s="418" t="s">
        <v>1329</v>
      </c>
      <c r="C78" s="2092"/>
    </row>
    <row r="79" spans="1:18">
      <c r="B79" s="2087" t="s">
        <v>1330</v>
      </c>
      <c r="C79" s="421" t="e">
        <f ca="1">1-C80</f>
        <v>#DIV/0!</v>
      </c>
    </row>
    <row r="80" spans="1:18">
      <c r="B80" s="2087" t="s">
        <v>1331</v>
      </c>
      <c r="C80" s="421" t="e">
        <f ca="1">ROUND(C75/C39,3)</f>
        <v>#DIV/0!</v>
      </c>
    </row>
    <row r="81" spans="2:3">
      <c r="B81" s="418" t="s">
        <v>1332</v>
      </c>
      <c r="C81" s="388"/>
    </row>
    <row r="82" spans="2:3">
      <c r="B82" s="420" t="s">
        <v>1091</v>
      </c>
      <c r="C82" s="422" t="e">
        <f ca="1">1-C83</f>
        <v>#DIV/0!</v>
      </c>
    </row>
    <row r="83" spans="2:3">
      <c r="B83" s="420" t="s">
        <v>1092</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3" priority="3">
      <formula>$F$10="自定义"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J11">
    <cfRule type="expression" dxfId="180" priority="2">
      <formula>$M$10="自定义"</formula>
    </cfRule>
  </conditionalFormatting>
  <conditionalFormatting sqref="K55 K60">
    <cfRule type="expression" dxfId="179"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1340</v>
      </c>
      <c r="C1" s="1262" t="s">
        <v>1341</v>
      </c>
      <c r="D1" s="1263">
        <v>604</v>
      </c>
      <c r="E1" s="1264" t="s">
        <v>1342</v>
      </c>
      <c r="F1" s="1265" t="s">
        <v>1343</v>
      </c>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f>IF(C2="——",C50,ROUND(B2*10000/D3,0))</f>
        <v>36273</v>
      </c>
      <c r="C3" s="1273" t="s">
        <v>1345</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1346</v>
      </c>
      <c r="B4" s="919"/>
      <c r="C4" s="3432" t="s">
        <v>1347</v>
      </c>
      <c r="D4" s="3433"/>
      <c r="E4" s="3434" t="s">
        <v>1348</v>
      </c>
      <c r="F4" s="3435"/>
      <c r="G4" s="3432" t="s">
        <v>1349</v>
      </c>
      <c r="H4" s="3433"/>
      <c r="I4" s="3432" t="s">
        <v>1350</v>
      </c>
      <c r="J4" s="3433"/>
      <c r="K4" s="1064" t="s">
        <v>1351</v>
      </c>
      <c r="L4" s="1065"/>
      <c r="M4" s="1015"/>
      <c r="N4" s="1015"/>
      <c r="O4" s="1015"/>
      <c r="P4" s="3396" t="s">
        <v>1352</v>
      </c>
      <c r="Q4" s="3397"/>
      <c r="R4" s="3402" t="s">
        <v>1348</v>
      </c>
      <c r="S4" s="3403"/>
      <c r="T4" s="3402" t="s">
        <v>1349</v>
      </c>
      <c r="U4" s="3403"/>
      <c r="V4" s="3408" t="s">
        <v>1350</v>
      </c>
      <c r="W4" s="3408"/>
      <c r="X4" s="2102"/>
      <c r="Y4" s="3402" t="s">
        <v>1352</v>
      </c>
      <c r="Z4" s="3403"/>
      <c r="AA4" s="3390" t="s">
        <v>1348</v>
      </c>
      <c r="AB4" s="3390" t="s">
        <v>1349</v>
      </c>
      <c r="AC4" s="3393" t="s">
        <v>1350</v>
      </c>
    </row>
    <row r="5" spans="1:29" ht="13.95" customHeight="1">
      <c r="A5" s="922"/>
      <c r="B5" s="923"/>
      <c r="C5" s="3436" t="s">
        <v>2790</v>
      </c>
      <c r="D5" s="3437"/>
      <c r="E5" s="3436" t="s">
        <v>2790</v>
      </c>
      <c r="F5" s="3437"/>
      <c r="G5" s="3436" t="s">
        <v>2790</v>
      </c>
      <c r="H5" s="3437"/>
      <c r="I5" s="3436" t="s">
        <v>2792</v>
      </c>
      <c r="J5" s="3437"/>
      <c r="K5" s="1064"/>
      <c r="L5" s="1065"/>
      <c r="M5" s="1015"/>
      <c r="N5" s="1015"/>
      <c r="O5" s="1015"/>
      <c r="P5" s="3398"/>
      <c r="Q5" s="3399"/>
      <c r="R5" s="3404"/>
      <c r="S5" s="3405"/>
      <c r="T5" s="3404"/>
      <c r="U5" s="3405"/>
      <c r="V5" s="3409"/>
      <c r="W5" s="3409"/>
      <c r="X5" s="1113"/>
      <c r="Y5" s="3404"/>
      <c r="Z5" s="3405"/>
      <c r="AA5" s="3391"/>
      <c r="AB5" s="3391"/>
      <c r="AC5" s="3394"/>
    </row>
    <row r="6" spans="1:29" ht="14.4">
      <c r="A6" s="924"/>
      <c r="B6" s="925"/>
      <c r="C6" s="3427" t="s">
        <v>1354</v>
      </c>
      <c r="D6" s="3428"/>
      <c r="E6" s="3429" t="s">
        <v>1354</v>
      </c>
      <c r="F6" s="3430"/>
      <c r="G6" s="3427" t="s">
        <v>1354</v>
      </c>
      <c r="H6" s="3428"/>
      <c r="I6" s="3427" t="s">
        <v>1354</v>
      </c>
      <c r="J6" s="3428"/>
      <c r="K6" s="1064" t="s">
        <v>1355</v>
      </c>
      <c r="L6" s="1065"/>
      <c r="M6" s="1015"/>
      <c r="N6" s="1015"/>
      <c r="O6" s="1015"/>
      <c r="P6" s="3400"/>
      <c r="Q6" s="3401"/>
      <c r="R6" s="3404"/>
      <c r="S6" s="3405"/>
      <c r="T6" s="3406"/>
      <c r="U6" s="3407"/>
      <c r="V6" s="3409"/>
      <c r="W6" s="3409"/>
      <c r="X6" s="1113"/>
      <c r="Y6" s="3406"/>
      <c r="Z6" s="3407"/>
      <c r="AA6" s="3392"/>
      <c r="AB6" s="3392"/>
      <c r="AC6" s="3395"/>
    </row>
    <row r="7" spans="1:29" s="899" customFormat="1" ht="14.4">
      <c r="A7" s="927" t="s">
        <v>1356</v>
      </c>
      <c r="B7" s="928"/>
      <c r="C7" s="929">
        <f>'数据-取费表'!B2</f>
        <v>45839</v>
      </c>
      <c r="D7" s="930">
        <v>100</v>
      </c>
      <c r="E7" s="931">
        <f>C7</f>
        <v>45839</v>
      </c>
      <c r="F7" s="932">
        <f>SUMIF(59:59,YEAR(E7)&amp;"-"&amp;MONTH(E7),60:60)</f>
        <v>100</v>
      </c>
      <c r="G7" s="931">
        <f>C7</f>
        <v>45839</v>
      </c>
      <c r="H7" s="930">
        <f>SUMIF(59:59,YEAR(G7)&amp;"-"&amp;MONTH(G7),60:60)</f>
        <v>100</v>
      </c>
      <c r="I7" s="931">
        <f>C7</f>
        <v>45839</v>
      </c>
      <c r="J7" s="930">
        <f>SUMIF(59:59,YEAR(I7)&amp;"-"&amp;MONTH(I7),60:60)</f>
        <v>100</v>
      </c>
      <c r="K7" s="1069"/>
      <c r="L7" s="1070"/>
      <c r="M7" s="1071"/>
      <c r="N7" s="1071"/>
      <c r="O7" s="1071"/>
      <c r="P7" s="3417" t="s">
        <v>1357</v>
      </c>
      <c r="Q7" s="3431"/>
      <c r="R7" s="1114" t="s">
        <v>1358</v>
      </c>
      <c r="S7" s="1115">
        <f t="shared" ref="S7:S15" si="0">F7</f>
        <v>100</v>
      </c>
      <c r="T7" s="1114" t="s">
        <v>1358</v>
      </c>
      <c r="U7" s="1115">
        <f t="shared" ref="U7:U15" si="1">H7</f>
        <v>100</v>
      </c>
      <c r="V7" s="1114" t="s">
        <v>1358</v>
      </c>
      <c r="W7" s="1115">
        <f t="shared" ref="W7:W15" si="2">J7</f>
        <v>100</v>
      </c>
      <c r="X7" s="1116"/>
      <c r="Y7" s="3415" t="s">
        <v>1357</v>
      </c>
      <c r="Z7" s="3416"/>
      <c r="AA7" s="1126">
        <f>D7/F7</f>
        <v>1</v>
      </c>
      <c r="AB7" s="1126">
        <f>D7/H7</f>
        <v>1</v>
      </c>
      <c r="AC7" s="2103">
        <f>D7/J7</f>
        <v>1</v>
      </c>
    </row>
    <row r="8" spans="1:29" s="899" customFormat="1" ht="14.4">
      <c r="A8" s="927" t="s">
        <v>1359</v>
      </c>
      <c r="B8" s="928"/>
      <c r="C8" s="934" t="s">
        <v>884</v>
      </c>
      <c r="D8" s="930">
        <v>100</v>
      </c>
      <c r="E8" s="934" t="s">
        <v>1360</v>
      </c>
      <c r="F8" s="932">
        <f>SUMIF(62:62,E8,63:63)-SUMIF(62:62,C8,63:63)+100</f>
        <v>103</v>
      </c>
      <c r="G8" s="934" t="s">
        <v>1360</v>
      </c>
      <c r="H8" s="930">
        <f>SUMIF(62:62,G8,63:63)-SUMIF(62:62,C8,63:63)+100</f>
        <v>103</v>
      </c>
      <c r="I8" s="934" t="s">
        <v>1360</v>
      </c>
      <c r="J8" s="930">
        <f>SUMIF(62:62,I8,63:63)-SUMIF(62:62,C8,63:63)+100</f>
        <v>103</v>
      </c>
      <c r="K8" s="1069"/>
      <c r="L8" s="1070"/>
      <c r="M8" s="1071"/>
      <c r="N8" s="1071"/>
      <c r="O8" s="1071"/>
      <c r="P8" s="3417" t="s">
        <v>1361</v>
      </c>
      <c r="Q8" s="3416"/>
      <c r="R8" s="1114" t="s">
        <v>1358</v>
      </c>
      <c r="S8" s="1115">
        <f t="shared" si="0"/>
        <v>103</v>
      </c>
      <c r="T8" s="1114" t="s">
        <v>1358</v>
      </c>
      <c r="U8" s="1115">
        <f t="shared" si="1"/>
        <v>103</v>
      </c>
      <c r="V8" s="1114" t="s">
        <v>1358</v>
      </c>
      <c r="W8" s="1115">
        <f t="shared" si="2"/>
        <v>103</v>
      </c>
      <c r="X8" s="1116"/>
      <c r="Y8" s="3415" t="s">
        <v>1361</v>
      </c>
      <c r="Z8" s="3416"/>
      <c r="AA8" s="1126">
        <f t="shared" ref="AA8:AA47" si="3">D8/F8</f>
        <v>0.970873786407767</v>
      </c>
      <c r="AB8" s="1126">
        <f t="shared" ref="AB8:AB47" si="4">D8/H8</f>
        <v>0.970873786407767</v>
      </c>
      <c r="AC8" s="2103">
        <f t="shared" ref="AC8:AC47" si="5">D8/J8</f>
        <v>0.970873786407767</v>
      </c>
    </row>
    <row r="9" spans="1:29" s="899" customFormat="1" ht="15" thickBot="1">
      <c r="A9" s="935" t="s">
        <v>1362</v>
      </c>
      <c r="B9" s="936" t="s">
        <v>1363</v>
      </c>
      <c r="C9" s="2095" t="s">
        <v>2791</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10" t="s">
        <v>1364</v>
      </c>
      <c r="Q9" s="790" t="str">
        <f t="shared" ref="Q9:Q15" si="6">B9</f>
        <v>用途</v>
      </c>
      <c r="R9" s="1114" t="s">
        <v>1358</v>
      </c>
      <c r="S9" s="1115">
        <f t="shared" si="0"/>
        <v>100</v>
      </c>
      <c r="T9" s="1114" t="s">
        <v>1358</v>
      </c>
      <c r="U9" s="1115">
        <f t="shared" si="1"/>
        <v>100</v>
      </c>
      <c r="V9" s="1114" t="s">
        <v>1358</v>
      </c>
      <c r="W9" s="1115">
        <f t="shared" si="2"/>
        <v>100</v>
      </c>
      <c r="X9" s="1116"/>
      <c r="Y9" s="3297" t="s">
        <v>1365</v>
      </c>
      <c r="Z9" s="1126" t="str">
        <f t="shared" ref="Z9:Z15" si="7">Q9</f>
        <v>用途</v>
      </c>
      <c r="AA9" s="1126">
        <f t="shared" si="3"/>
        <v>1</v>
      </c>
      <c r="AB9" s="1126">
        <f t="shared" si="4"/>
        <v>1</v>
      </c>
      <c r="AC9" s="2103">
        <f t="shared" si="5"/>
        <v>1</v>
      </c>
    </row>
    <row r="10" spans="1:29" s="900" customFormat="1" ht="29.4" thickTop="1">
      <c r="A10" s="939"/>
      <c r="B10" s="940" t="s">
        <v>1366</v>
      </c>
      <c r="C10" s="1170" t="s">
        <v>1412</v>
      </c>
      <c r="D10" s="942">
        <v>100</v>
      </c>
      <c r="E10" s="1170" t="s">
        <v>1412</v>
      </c>
      <c r="F10" s="942">
        <f>SUMIF(66:66,E10,67:67)-SUMIF(66:66,C10,67:67)+100</f>
        <v>100</v>
      </c>
      <c r="G10" s="1170" t="s">
        <v>1412</v>
      </c>
      <c r="H10" s="942">
        <f>SUMIF(66:66,G10,67:67)-SUMIF(66:66,C10,67:67)+100</f>
        <v>100</v>
      </c>
      <c r="I10" s="1170" t="s">
        <v>1412</v>
      </c>
      <c r="J10" s="942">
        <f>SUMIF(66:66,I10,67:67)-SUMIF(66:66,C10,67:67)+100</f>
        <v>100</v>
      </c>
      <c r="K10" s="1069"/>
      <c r="L10" s="1075"/>
      <c r="M10" s="1076"/>
      <c r="N10" s="1076"/>
      <c r="O10" s="1076"/>
      <c r="P10" s="3410"/>
      <c r="Q10" s="790" t="str">
        <f t="shared" si="6"/>
        <v>土地使用年限（年）</v>
      </c>
      <c r="R10" s="1114" t="s">
        <v>1358</v>
      </c>
      <c r="S10" s="1115">
        <f t="shared" si="0"/>
        <v>100</v>
      </c>
      <c r="T10" s="1114" t="s">
        <v>1358</v>
      </c>
      <c r="U10" s="1115">
        <f t="shared" si="1"/>
        <v>100</v>
      </c>
      <c r="V10" s="1114" t="s">
        <v>1358</v>
      </c>
      <c r="W10" s="1115">
        <f t="shared" si="2"/>
        <v>100</v>
      </c>
      <c r="X10" s="1116"/>
      <c r="Y10" s="3297"/>
      <c r="Z10" s="1126" t="str">
        <f t="shared" si="7"/>
        <v>土地使用年限（年）</v>
      </c>
      <c r="AA10" s="1126">
        <f t="shared" si="3"/>
        <v>1</v>
      </c>
      <c r="AB10" s="1126">
        <f t="shared" si="4"/>
        <v>1</v>
      </c>
      <c r="AC10" s="2103">
        <f t="shared" si="5"/>
        <v>1</v>
      </c>
    </row>
    <row r="11" spans="1:29" ht="15">
      <c r="A11" s="943"/>
      <c r="B11" s="940" t="s">
        <v>1367</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10"/>
      <c r="Q11" s="790" t="str">
        <f t="shared" si="6"/>
        <v>容积率</v>
      </c>
      <c r="R11" s="1114" t="s">
        <v>1358</v>
      </c>
      <c r="S11" s="1115">
        <f t="shared" si="0"/>
        <v>100</v>
      </c>
      <c r="T11" s="1114" t="s">
        <v>1358</v>
      </c>
      <c r="U11" s="1115">
        <f t="shared" si="1"/>
        <v>100</v>
      </c>
      <c r="V11" s="1114" t="s">
        <v>1358</v>
      </c>
      <c r="W11" s="1115">
        <f t="shared" si="2"/>
        <v>100</v>
      </c>
      <c r="X11" s="1116"/>
      <c r="Y11" s="3297"/>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10"/>
      <c r="Q12" s="790">
        <f t="shared" si="6"/>
        <v>111</v>
      </c>
      <c r="R12" s="1114" t="s">
        <v>1358</v>
      </c>
      <c r="S12" s="1115">
        <f t="shared" si="0"/>
        <v>100</v>
      </c>
      <c r="T12" s="1114" t="s">
        <v>1358</v>
      </c>
      <c r="U12" s="1115">
        <f t="shared" si="1"/>
        <v>100</v>
      </c>
      <c r="V12" s="1114" t="s">
        <v>1358</v>
      </c>
      <c r="W12" s="1115">
        <f t="shared" si="2"/>
        <v>100</v>
      </c>
      <c r="X12" s="1116"/>
      <c r="Y12" s="3297"/>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10"/>
      <c r="Q13" s="790">
        <f t="shared" si="6"/>
        <v>111</v>
      </c>
      <c r="R13" s="1114" t="s">
        <v>1358</v>
      </c>
      <c r="S13" s="1115">
        <f t="shared" si="0"/>
        <v>100</v>
      </c>
      <c r="T13" s="1114" t="s">
        <v>1358</v>
      </c>
      <c r="U13" s="1115">
        <f t="shared" si="1"/>
        <v>100</v>
      </c>
      <c r="V13" s="1114" t="s">
        <v>1358</v>
      </c>
      <c r="W13" s="1115">
        <f t="shared" si="2"/>
        <v>100</v>
      </c>
      <c r="X13" s="1116"/>
      <c r="Y13" s="3297"/>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10"/>
      <c r="Q14" s="790">
        <f t="shared" si="6"/>
        <v>111</v>
      </c>
      <c r="R14" s="1114" t="s">
        <v>1358</v>
      </c>
      <c r="S14" s="1115">
        <f t="shared" si="0"/>
        <v>100</v>
      </c>
      <c r="T14" s="1114" t="s">
        <v>1358</v>
      </c>
      <c r="U14" s="1115">
        <f t="shared" si="1"/>
        <v>100</v>
      </c>
      <c r="V14" s="1114" t="s">
        <v>1358</v>
      </c>
      <c r="W14" s="1115">
        <f t="shared" si="2"/>
        <v>100</v>
      </c>
      <c r="X14" s="1116"/>
      <c r="Y14" s="3297"/>
      <c r="Z14" s="1126">
        <f t="shared" si="7"/>
        <v>111</v>
      </c>
      <c r="AA14" s="1126">
        <f t="shared" si="3"/>
        <v>1</v>
      </c>
      <c r="AB14" s="1126">
        <f t="shared" si="4"/>
        <v>1</v>
      </c>
      <c r="AC14" s="2103">
        <f t="shared" si="5"/>
        <v>1</v>
      </c>
    </row>
    <row r="15" spans="1:29" ht="15">
      <c r="A15" s="956" t="s">
        <v>1368</v>
      </c>
      <c r="B15" s="957" t="s">
        <v>1369</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18" t="s">
        <v>1370</v>
      </c>
      <c r="Q15" s="621" t="str">
        <f t="shared" si="6"/>
        <v>办公集聚程度</v>
      </c>
      <c r="R15" s="1118" t="s">
        <v>1358</v>
      </c>
      <c r="S15" s="1119">
        <f t="shared" si="0"/>
        <v>100</v>
      </c>
      <c r="T15" s="1118" t="s">
        <v>1358</v>
      </c>
      <c r="U15" s="1119">
        <f t="shared" si="1"/>
        <v>100</v>
      </c>
      <c r="V15" s="1118" t="s">
        <v>1358</v>
      </c>
      <c r="W15" s="1119">
        <f t="shared" si="2"/>
        <v>100</v>
      </c>
      <c r="X15" s="1113"/>
      <c r="Y15" s="3423" t="s">
        <v>1370</v>
      </c>
      <c r="Z15" s="1102" t="str">
        <f t="shared" si="7"/>
        <v>办公集聚程度</v>
      </c>
      <c r="AA15" s="1102">
        <f t="shared" si="3"/>
        <v>1</v>
      </c>
      <c r="AB15" s="1102">
        <f t="shared" si="4"/>
        <v>1</v>
      </c>
      <c r="AC15" s="2104">
        <f t="shared" si="5"/>
        <v>1</v>
      </c>
    </row>
    <row r="16" spans="1:29" ht="15">
      <c r="A16" s="943"/>
      <c r="B16" s="961"/>
      <c r="C16" s="964" t="s">
        <v>1374</v>
      </c>
      <c r="D16" s="963"/>
      <c r="E16" s="964" t="s">
        <v>1374</v>
      </c>
      <c r="F16" s="963"/>
      <c r="G16" s="964" t="s">
        <v>1374</v>
      </c>
      <c r="H16" s="965"/>
      <c r="I16" s="964" t="s">
        <v>1374</v>
      </c>
      <c r="J16" s="963"/>
      <c r="K16" s="1306"/>
      <c r="L16" s="1081"/>
      <c r="M16" s="1015"/>
      <c r="N16" s="1015"/>
      <c r="O16" s="1015"/>
      <c r="P16" s="3419"/>
      <c r="Q16" s="621"/>
      <c r="R16" s="1118"/>
      <c r="S16" s="1119"/>
      <c r="T16" s="1118"/>
      <c r="U16" s="1119"/>
      <c r="V16" s="1118"/>
      <c r="W16" s="1119"/>
      <c r="X16" s="1113"/>
      <c r="Y16" s="3424"/>
      <c r="Z16" s="1102"/>
      <c r="AA16" s="1102">
        <v>1</v>
      </c>
      <c r="AB16" s="1102">
        <v>1</v>
      </c>
      <c r="AC16" s="2104">
        <v>1</v>
      </c>
    </row>
    <row r="17" spans="1:29" ht="15">
      <c r="A17" s="943"/>
      <c r="B17" s="966" t="s">
        <v>1372</v>
      </c>
      <c r="C17" s="1112" t="str">
        <f>估价对象房地状况!C6</f>
        <v>一般</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19"/>
      <c r="Q17" s="621" t="str">
        <f>B17</f>
        <v>交通便捷度</v>
      </c>
      <c r="R17" s="1118" t="s">
        <v>1358</v>
      </c>
      <c r="S17" s="1119">
        <f>F17</f>
        <v>100</v>
      </c>
      <c r="T17" s="1118" t="s">
        <v>1358</v>
      </c>
      <c r="U17" s="1119">
        <f>H17</f>
        <v>100</v>
      </c>
      <c r="V17" s="1118" t="s">
        <v>1358</v>
      </c>
      <c r="W17" s="1119">
        <f>J17</f>
        <v>100</v>
      </c>
      <c r="X17" s="1113"/>
      <c r="Y17" s="3424"/>
      <c r="Z17" s="1102" t="str">
        <f>Q17</f>
        <v>交通便捷度</v>
      </c>
      <c r="AA17" s="1102">
        <f t="shared" si="3"/>
        <v>1</v>
      </c>
      <c r="AB17" s="1102">
        <f t="shared" si="4"/>
        <v>1</v>
      </c>
      <c r="AC17" s="2104">
        <f t="shared" si="5"/>
        <v>1</v>
      </c>
    </row>
    <row r="18" spans="1:29" ht="15">
      <c r="A18" s="943"/>
      <c r="B18" s="970"/>
      <c r="C18" s="964" t="s">
        <v>1374</v>
      </c>
      <c r="D18" s="965"/>
      <c r="E18" s="964" t="s">
        <v>1374</v>
      </c>
      <c r="F18" s="965"/>
      <c r="G18" s="964" t="s">
        <v>1374</v>
      </c>
      <c r="H18" s="963"/>
      <c r="I18" s="964" t="s">
        <v>1374</v>
      </c>
      <c r="J18" s="963"/>
      <c r="K18" s="1306"/>
      <c r="L18" s="1081"/>
      <c r="M18" s="1015"/>
      <c r="N18" s="1015"/>
      <c r="O18" s="1015"/>
      <c r="P18" s="3419"/>
      <c r="Q18" s="621"/>
      <c r="R18" s="1118"/>
      <c r="S18" s="1119"/>
      <c r="T18" s="1118"/>
      <c r="U18" s="1119"/>
      <c r="V18" s="1118"/>
      <c r="W18" s="1119"/>
      <c r="X18" s="1113"/>
      <c r="Y18" s="3424"/>
      <c r="Z18" s="1102"/>
      <c r="AA18" s="1102">
        <v>1</v>
      </c>
      <c r="AB18" s="1102">
        <v>1</v>
      </c>
      <c r="AC18" s="2104">
        <v>1</v>
      </c>
    </row>
    <row r="19" spans="1:29" ht="15">
      <c r="A19" s="943"/>
      <c r="B19" s="966" t="s">
        <v>1373</v>
      </c>
      <c r="C19" s="1112" t="str">
        <f>估价对象房地状况!C7</f>
        <v>一般</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19"/>
      <c r="Q19" s="621" t="str">
        <f>B19</f>
        <v>公共配套设施</v>
      </c>
      <c r="R19" s="1118" t="s">
        <v>1358</v>
      </c>
      <c r="S19" s="1119">
        <f>F19</f>
        <v>100</v>
      </c>
      <c r="T19" s="1118" t="s">
        <v>1358</v>
      </c>
      <c r="U19" s="1119">
        <f>H19</f>
        <v>100</v>
      </c>
      <c r="V19" s="1118" t="s">
        <v>1358</v>
      </c>
      <c r="W19" s="1119">
        <f>J19</f>
        <v>100</v>
      </c>
      <c r="X19" s="1113"/>
      <c r="Y19" s="3424"/>
      <c r="Z19" s="1102" t="str">
        <f>Q19</f>
        <v>公共配套设施</v>
      </c>
      <c r="AA19" s="1102">
        <f t="shared" si="3"/>
        <v>1</v>
      </c>
      <c r="AB19" s="1102">
        <f t="shared" si="4"/>
        <v>1</v>
      </c>
      <c r="AC19" s="2104">
        <f t="shared" si="5"/>
        <v>1</v>
      </c>
    </row>
    <row r="20" spans="1:29" ht="15">
      <c r="A20" s="943"/>
      <c r="B20" s="970"/>
      <c r="C20" s="964" t="s">
        <v>1374</v>
      </c>
      <c r="D20" s="963"/>
      <c r="E20" s="964" t="s">
        <v>1374</v>
      </c>
      <c r="F20" s="963"/>
      <c r="G20" s="964" t="s">
        <v>1374</v>
      </c>
      <c r="H20" s="963"/>
      <c r="I20" s="964" t="s">
        <v>1374</v>
      </c>
      <c r="J20" s="963"/>
      <c r="K20" s="1306"/>
      <c r="L20" s="1081"/>
      <c r="M20" s="1015"/>
      <c r="N20" s="1015"/>
      <c r="O20" s="1015"/>
      <c r="P20" s="3419"/>
      <c r="Q20" s="621"/>
      <c r="R20" s="1118"/>
      <c r="S20" s="1119"/>
      <c r="T20" s="1118"/>
      <c r="U20" s="1119"/>
      <c r="V20" s="1118"/>
      <c r="W20" s="1119"/>
      <c r="X20" s="1113"/>
      <c r="Y20" s="3424"/>
      <c r="Z20" s="1102"/>
      <c r="AA20" s="1102">
        <v>1</v>
      </c>
      <c r="AB20" s="1102">
        <v>1</v>
      </c>
      <c r="AC20" s="2104">
        <v>1</v>
      </c>
    </row>
    <row r="21" spans="1:29" ht="15">
      <c r="A21" s="943"/>
      <c r="B21" s="973" t="s">
        <v>1375</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19"/>
      <c r="Q21" s="621" t="str">
        <f>B21</f>
        <v>基础设施水平</v>
      </c>
      <c r="R21" s="1118" t="s">
        <v>1358</v>
      </c>
      <c r="S21" s="1119">
        <f>F21</f>
        <v>100</v>
      </c>
      <c r="T21" s="1118" t="s">
        <v>1358</v>
      </c>
      <c r="U21" s="1119">
        <f>H21</f>
        <v>100</v>
      </c>
      <c r="V21" s="1118" t="s">
        <v>1358</v>
      </c>
      <c r="W21" s="1119">
        <f>J21</f>
        <v>100</v>
      </c>
      <c r="X21" s="1113"/>
      <c r="Y21" s="3424"/>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19"/>
      <c r="Q22" s="621"/>
      <c r="R22" s="1118"/>
      <c r="S22" s="1119"/>
      <c r="T22" s="1118"/>
      <c r="U22" s="1119"/>
      <c r="V22" s="1118"/>
      <c r="W22" s="1119"/>
      <c r="X22" s="1113"/>
      <c r="Y22" s="3424"/>
      <c r="Z22" s="1102"/>
      <c r="AA22" s="1102">
        <v>1</v>
      </c>
      <c r="AB22" s="1102">
        <v>1</v>
      </c>
      <c r="AC22" s="2104">
        <v>1</v>
      </c>
    </row>
    <row r="23" spans="1:29" ht="15">
      <c r="A23" s="943"/>
      <c r="B23" s="966" t="s">
        <v>1376</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19"/>
      <c r="Q23" s="621" t="str">
        <f>B23</f>
        <v>环境质量</v>
      </c>
      <c r="R23" s="1118" t="s">
        <v>1358</v>
      </c>
      <c r="S23" s="1119">
        <f>F23</f>
        <v>100</v>
      </c>
      <c r="T23" s="1118" t="s">
        <v>1358</v>
      </c>
      <c r="U23" s="1119">
        <f>H23</f>
        <v>100</v>
      </c>
      <c r="V23" s="1118" t="s">
        <v>1358</v>
      </c>
      <c r="W23" s="1119">
        <f>J23</f>
        <v>100</v>
      </c>
      <c r="X23" s="1113"/>
      <c r="Y23" s="3424"/>
      <c r="Z23" s="1102" t="str">
        <f>Q23</f>
        <v>环境质量</v>
      </c>
      <c r="AA23" s="1102">
        <f t="shared" si="3"/>
        <v>1</v>
      </c>
      <c r="AB23" s="1102">
        <f t="shared" si="4"/>
        <v>1</v>
      </c>
      <c r="AC23" s="2104">
        <f t="shared" si="5"/>
        <v>1</v>
      </c>
    </row>
    <row r="24" spans="1:29" ht="15">
      <c r="A24" s="943"/>
      <c r="B24" s="973"/>
      <c r="C24" s="964" t="s">
        <v>1371</v>
      </c>
      <c r="D24" s="963"/>
      <c r="E24" s="964" t="s">
        <v>1371</v>
      </c>
      <c r="F24" s="963"/>
      <c r="G24" s="964" t="s">
        <v>1371</v>
      </c>
      <c r="H24" s="963"/>
      <c r="I24" s="964" t="s">
        <v>1371</v>
      </c>
      <c r="J24" s="963"/>
      <c r="K24" s="1306"/>
      <c r="L24" s="1081"/>
      <c r="M24" s="1015"/>
      <c r="N24" s="1015"/>
      <c r="O24" s="1015"/>
      <c r="P24" s="3419"/>
      <c r="Q24" s="621"/>
      <c r="R24" s="1118"/>
      <c r="S24" s="1119"/>
      <c r="T24" s="1118"/>
      <c r="U24" s="1119"/>
      <c r="V24" s="1118"/>
      <c r="W24" s="1119"/>
      <c r="X24" s="1113"/>
      <c r="Y24" s="3424"/>
      <c r="Z24" s="1102"/>
      <c r="AA24" s="1102">
        <v>1</v>
      </c>
      <c r="AB24" s="1102">
        <v>1</v>
      </c>
      <c r="AC24" s="2104">
        <v>1</v>
      </c>
    </row>
    <row r="25" spans="1:29" ht="28.8">
      <c r="A25" s="922"/>
      <c r="B25" s="966" t="s">
        <v>1377</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19"/>
      <c r="Q25" s="621" t="str">
        <f>B25</f>
        <v>毗邻道路的类型与等级</v>
      </c>
      <c r="R25" s="1118" t="s">
        <v>1358</v>
      </c>
      <c r="S25" s="1119">
        <f>F25</f>
        <v>100</v>
      </c>
      <c r="T25" s="1118" t="s">
        <v>1358</v>
      </c>
      <c r="U25" s="1119">
        <f>H25</f>
        <v>100</v>
      </c>
      <c r="V25" s="1118" t="s">
        <v>1358</v>
      </c>
      <c r="W25" s="1119">
        <f>J25</f>
        <v>100</v>
      </c>
      <c r="X25" s="1113"/>
      <c r="Y25" s="3424"/>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19"/>
      <c r="Q26" s="621"/>
      <c r="R26" s="1118"/>
      <c r="S26" s="1119"/>
      <c r="T26" s="1118"/>
      <c r="U26" s="1119"/>
      <c r="V26" s="1118"/>
      <c r="W26" s="1119"/>
      <c r="X26" s="1113"/>
      <c r="Y26" s="3424"/>
      <c r="Z26" s="1102"/>
      <c r="AA26" s="1102">
        <v>1</v>
      </c>
      <c r="AB26" s="1102">
        <v>1</v>
      </c>
      <c r="AC26" s="2104">
        <v>1</v>
      </c>
    </row>
    <row r="27" spans="1:29" ht="15">
      <c r="A27" s="943"/>
      <c r="B27" s="970" t="s">
        <v>1378</v>
      </c>
      <c r="C27" s="977" t="s">
        <v>1337</v>
      </c>
      <c r="D27" s="755">
        <v>100</v>
      </c>
      <c r="E27" s="976" t="s">
        <v>1337</v>
      </c>
      <c r="F27" s="755">
        <f>SUMIF(89:89,E27,90:90)-SUMIF(89:89,C27,90:90)+100</f>
        <v>100</v>
      </c>
      <c r="G27" s="976" t="s">
        <v>1337</v>
      </c>
      <c r="H27" s="755">
        <f>SUMIF(89:89,G27,90:90)-SUMIF(89:89,C27,90:90)+100</f>
        <v>100</v>
      </c>
      <c r="I27" s="976" t="s">
        <v>1430</v>
      </c>
      <c r="J27" s="755">
        <f>SUMIF(89:89,I27,90:90)-SUMIF(89:89,C27,90:90)+100</f>
        <v>97</v>
      </c>
      <c r="K27" s="1088">
        <v>3</v>
      </c>
      <c r="L27" s="1081"/>
      <c r="M27" s="1015"/>
      <c r="N27" s="1015"/>
      <c r="O27" s="1015"/>
      <c r="P27" s="3419"/>
      <c r="Q27" s="621" t="str">
        <f t="shared" ref="Q27:Q47" si="11">B27</f>
        <v>楼层</v>
      </c>
      <c r="R27" s="1118" t="s">
        <v>1358</v>
      </c>
      <c r="S27" s="1119">
        <f>F27</f>
        <v>100</v>
      </c>
      <c r="T27" s="1118" t="s">
        <v>1358</v>
      </c>
      <c r="U27" s="1119">
        <f>H27</f>
        <v>100</v>
      </c>
      <c r="V27" s="1118" t="s">
        <v>1358</v>
      </c>
      <c r="W27" s="1119">
        <f>J27</f>
        <v>97</v>
      </c>
      <c r="X27" s="1113"/>
      <c r="Y27" s="3424"/>
      <c r="Z27" s="1102" t="str">
        <f>Q27</f>
        <v>楼层</v>
      </c>
      <c r="AA27" s="1102">
        <f t="shared" si="3"/>
        <v>1</v>
      </c>
      <c r="AB27" s="1102">
        <f t="shared" si="4"/>
        <v>1</v>
      </c>
      <c r="AC27" s="2104">
        <f t="shared" si="5"/>
        <v>1.0309278350515463</v>
      </c>
    </row>
    <row r="28" spans="1:29" s="899" customFormat="1" ht="15">
      <c r="A28" s="946"/>
      <c r="B28" s="966" t="s">
        <v>1380</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19"/>
      <c r="Q28" s="790" t="str">
        <f t="shared" si="11"/>
        <v>朝向</v>
      </c>
      <c r="R28" s="1114" t="s">
        <v>1358</v>
      </c>
      <c r="S28" s="1115">
        <f>F28</f>
        <v>100</v>
      </c>
      <c r="T28" s="1114" t="s">
        <v>1358</v>
      </c>
      <c r="U28" s="1115">
        <f>H28</f>
        <v>100</v>
      </c>
      <c r="V28" s="1114" t="s">
        <v>1358</v>
      </c>
      <c r="W28" s="1115">
        <f>J28</f>
        <v>100</v>
      </c>
      <c r="X28" s="1116"/>
      <c r="Y28" s="3424"/>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19"/>
      <c r="Q29" s="621">
        <f t="shared" si="11"/>
        <v>111</v>
      </c>
      <c r="R29" s="1118" t="s">
        <v>1358</v>
      </c>
      <c r="S29" s="1119">
        <f t="shared" ref="S29:S47" si="12">F29</f>
        <v>100</v>
      </c>
      <c r="T29" s="1118" t="s">
        <v>1358</v>
      </c>
      <c r="U29" s="1119">
        <f t="shared" ref="U29:U47" si="13">H29</f>
        <v>100</v>
      </c>
      <c r="V29" s="1118" t="s">
        <v>1358</v>
      </c>
      <c r="W29" s="1119">
        <f t="shared" ref="W29:W47" si="14">J29</f>
        <v>100</v>
      </c>
      <c r="X29" s="1113"/>
      <c r="Y29" s="3424"/>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19"/>
      <c r="Q30" s="621">
        <f t="shared" si="11"/>
        <v>111</v>
      </c>
      <c r="R30" s="1118" t="s">
        <v>1358</v>
      </c>
      <c r="S30" s="1119">
        <f t="shared" si="12"/>
        <v>100</v>
      </c>
      <c r="T30" s="1118" t="s">
        <v>1358</v>
      </c>
      <c r="U30" s="1119">
        <f t="shared" si="13"/>
        <v>100</v>
      </c>
      <c r="V30" s="1118" t="s">
        <v>1358</v>
      </c>
      <c r="W30" s="1119">
        <f t="shared" si="14"/>
        <v>100</v>
      </c>
      <c r="X30" s="1113"/>
      <c r="Y30" s="3424"/>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19"/>
      <c r="Q31" s="621">
        <f t="shared" si="11"/>
        <v>111</v>
      </c>
      <c r="R31" s="1118" t="s">
        <v>1358</v>
      </c>
      <c r="S31" s="1119">
        <f t="shared" si="12"/>
        <v>100</v>
      </c>
      <c r="T31" s="1118" t="s">
        <v>1358</v>
      </c>
      <c r="U31" s="1119">
        <f t="shared" si="13"/>
        <v>100</v>
      </c>
      <c r="V31" s="1118" t="s">
        <v>1358</v>
      </c>
      <c r="W31" s="1119">
        <f t="shared" si="14"/>
        <v>100</v>
      </c>
      <c r="X31" s="1113"/>
      <c r="Y31" s="3424"/>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19"/>
      <c r="Q32" s="621">
        <f t="shared" si="11"/>
        <v>111</v>
      </c>
      <c r="R32" s="1118" t="s">
        <v>1358</v>
      </c>
      <c r="S32" s="1119">
        <f t="shared" si="12"/>
        <v>100</v>
      </c>
      <c r="T32" s="1118" t="s">
        <v>1358</v>
      </c>
      <c r="U32" s="1119">
        <f t="shared" si="13"/>
        <v>100</v>
      </c>
      <c r="V32" s="1118" t="s">
        <v>1358</v>
      </c>
      <c r="W32" s="1119">
        <f t="shared" si="14"/>
        <v>100</v>
      </c>
      <c r="X32" s="1113"/>
      <c r="Y32" s="3424"/>
      <c r="Z32" s="1102">
        <f t="shared" si="15"/>
        <v>111</v>
      </c>
      <c r="AA32" s="1102">
        <f t="shared" si="3"/>
        <v>1</v>
      </c>
      <c r="AB32" s="1102">
        <f t="shared" si="4"/>
        <v>1</v>
      </c>
      <c r="AC32" s="2104">
        <f t="shared" si="5"/>
        <v>1</v>
      </c>
    </row>
    <row r="33" spans="1:29" ht="15">
      <c r="A33" s="956" t="s">
        <v>1381</v>
      </c>
      <c r="B33" s="936" t="s">
        <v>1382</v>
      </c>
      <c r="C33" s="1283" t="s">
        <v>1383</v>
      </c>
      <c r="D33" s="920">
        <v>100</v>
      </c>
      <c r="E33" s="1283" t="s">
        <v>1383</v>
      </c>
      <c r="F33" s="1097">
        <f>SUMIF(101:101,E33,102:102)-SUMIF(101:101,C33,102:102)+100</f>
        <v>100</v>
      </c>
      <c r="G33" s="1283" t="s">
        <v>1383</v>
      </c>
      <c r="H33" s="755">
        <f>SUMIF(101:101,G33,102:102)-SUMIF(101:101,C33,102:102)+100</f>
        <v>100</v>
      </c>
      <c r="I33" s="1283" t="s">
        <v>1383</v>
      </c>
      <c r="J33" s="920">
        <f>SUMIF(101:101,I33,102:102)-SUMIF(101:101,C33,102:102)+100</f>
        <v>100</v>
      </c>
      <c r="K33" s="1088">
        <v>2</v>
      </c>
      <c r="L33" s="1081"/>
      <c r="M33" s="1015"/>
      <c r="N33" s="1015"/>
      <c r="O33" s="1015"/>
      <c r="P33" s="3420" t="s">
        <v>1384</v>
      </c>
      <c r="Q33" s="621" t="str">
        <f t="shared" si="11"/>
        <v>建筑类型</v>
      </c>
      <c r="R33" s="1118" t="s">
        <v>1358</v>
      </c>
      <c r="S33" s="1119">
        <f t="shared" si="12"/>
        <v>100</v>
      </c>
      <c r="T33" s="1118" t="s">
        <v>1358</v>
      </c>
      <c r="U33" s="1119">
        <f t="shared" si="13"/>
        <v>100</v>
      </c>
      <c r="V33" s="1118" t="s">
        <v>1358</v>
      </c>
      <c r="W33" s="1119">
        <f t="shared" si="14"/>
        <v>100</v>
      </c>
      <c r="X33" s="1113"/>
      <c r="Y33" s="3425" t="s">
        <v>1384</v>
      </c>
      <c r="Z33" s="1102" t="str">
        <f t="shared" si="15"/>
        <v>建筑类型</v>
      </c>
      <c r="AA33" s="1102">
        <f t="shared" si="3"/>
        <v>1</v>
      </c>
      <c r="AB33" s="1102">
        <f t="shared" si="4"/>
        <v>1</v>
      </c>
      <c r="AC33" s="2104">
        <f t="shared" si="5"/>
        <v>1</v>
      </c>
    </row>
    <row r="34" spans="1:29" s="901" customFormat="1" ht="15">
      <c r="A34" s="996"/>
      <c r="B34" s="940" t="s">
        <v>1385</v>
      </c>
      <c r="C34" s="1278">
        <f>'数据-汇总表'!E19</f>
        <v>355.32</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21"/>
      <c r="Q34" s="1308" t="str">
        <f t="shared" si="11"/>
        <v>项目建筑规模</v>
      </c>
      <c r="R34" s="1120" t="s">
        <v>1358</v>
      </c>
      <c r="S34" s="1121">
        <f t="shared" si="12"/>
        <v>100</v>
      </c>
      <c r="T34" s="1120" t="s">
        <v>1358</v>
      </c>
      <c r="U34" s="1121">
        <f t="shared" si="13"/>
        <v>100</v>
      </c>
      <c r="V34" s="1120" t="s">
        <v>1358</v>
      </c>
      <c r="W34" s="1121">
        <f t="shared" si="14"/>
        <v>100</v>
      </c>
      <c r="X34" s="1122"/>
      <c r="Y34" s="3425"/>
      <c r="Z34" s="1127" t="str">
        <f t="shared" si="15"/>
        <v>项目建筑规模</v>
      </c>
      <c r="AA34" s="1102">
        <f t="shared" si="3"/>
        <v>1</v>
      </c>
      <c r="AB34" s="1102">
        <f t="shared" si="4"/>
        <v>1</v>
      </c>
      <c r="AC34" s="2104">
        <f t="shared" si="5"/>
        <v>1</v>
      </c>
    </row>
    <row r="35" spans="1:29" ht="15">
      <c r="A35" s="991"/>
      <c r="B35" s="940" t="s">
        <v>1386</v>
      </c>
      <c r="C35" s="1287" t="s">
        <v>1336</v>
      </c>
      <c r="D35" s="755">
        <v>100</v>
      </c>
      <c r="E35" s="1287" t="s">
        <v>1336</v>
      </c>
      <c r="F35" s="1097">
        <f>SUMIF(106:106,E35,107:107)-SUMIF(106:106,C35,107:107)+100</f>
        <v>100</v>
      </c>
      <c r="G35" s="1287" t="s">
        <v>1336</v>
      </c>
      <c r="H35" s="755">
        <f>SUMIF(106:106,G35,107:107)-SUMIF(106:106,C35,107:107)+100</f>
        <v>100</v>
      </c>
      <c r="I35" s="1287" t="s">
        <v>1336</v>
      </c>
      <c r="J35" s="755">
        <f>SUMIF(106:106,I35,107:107)-SUMIF(106:106,C35,107:107)+100</f>
        <v>100</v>
      </c>
      <c r="K35" s="1088">
        <v>2</v>
      </c>
      <c r="L35" s="1081"/>
      <c r="M35" s="1015"/>
      <c r="N35" s="1015"/>
      <c r="O35" s="1015"/>
      <c r="P35" s="3421"/>
      <c r="Q35" s="621" t="str">
        <f t="shared" si="11"/>
        <v>建筑结构</v>
      </c>
      <c r="R35" s="1118" t="s">
        <v>1358</v>
      </c>
      <c r="S35" s="1119">
        <f t="shared" si="12"/>
        <v>100</v>
      </c>
      <c r="T35" s="1118" t="s">
        <v>1358</v>
      </c>
      <c r="U35" s="1119">
        <f t="shared" si="13"/>
        <v>100</v>
      </c>
      <c r="V35" s="1118" t="s">
        <v>1358</v>
      </c>
      <c r="W35" s="1119">
        <f t="shared" si="14"/>
        <v>100</v>
      </c>
      <c r="X35" s="1113"/>
      <c r="Y35" s="3425"/>
      <c r="Z35" s="1102" t="str">
        <f t="shared" si="15"/>
        <v>建筑结构</v>
      </c>
      <c r="AA35" s="1102">
        <f t="shared" si="3"/>
        <v>1</v>
      </c>
      <c r="AB35" s="1102">
        <f t="shared" si="4"/>
        <v>1</v>
      </c>
      <c r="AC35" s="2104">
        <f t="shared" si="5"/>
        <v>1</v>
      </c>
    </row>
    <row r="36" spans="1:29" ht="15">
      <c r="A36" s="991"/>
      <c r="B36" s="940" t="s">
        <v>1387</v>
      </c>
      <c r="C36" s="1287" t="s">
        <v>1388</v>
      </c>
      <c r="D36" s="755">
        <v>100</v>
      </c>
      <c r="E36" s="1287" t="s">
        <v>1388</v>
      </c>
      <c r="F36" s="1097">
        <f>SUMIF(108:108,E36,109:109)-SUMIF(108:108,C36,109:109)+100</f>
        <v>100</v>
      </c>
      <c r="G36" s="1287" t="s">
        <v>1388</v>
      </c>
      <c r="H36" s="755">
        <f>SUMIF(108:108,G36,109:109)-SUMIF(108:108,C36,109:109)+100</f>
        <v>100</v>
      </c>
      <c r="I36" s="1287" t="s">
        <v>1388</v>
      </c>
      <c r="J36" s="755">
        <f>SUMIF(108:108,I36,109:109)-SUMIF(108:108,C36,109:109)+100</f>
        <v>100</v>
      </c>
      <c r="K36" s="1088">
        <v>2</v>
      </c>
      <c r="L36" s="1081"/>
      <c r="M36" s="1015"/>
      <c r="N36" s="1015"/>
      <c r="O36" s="1015"/>
      <c r="P36" s="3421"/>
      <c r="Q36" s="621" t="str">
        <f t="shared" si="11"/>
        <v>公共部分装修</v>
      </c>
      <c r="R36" s="1118" t="s">
        <v>1358</v>
      </c>
      <c r="S36" s="1119">
        <f t="shared" si="12"/>
        <v>100</v>
      </c>
      <c r="T36" s="1118" t="s">
        <v>1358</v>
      </c>
      <c r="U36" s="1119">
        <f t="shared" si="13"/>
        <v>100</v>
      </c>
      <c r="V36" s="1118" t="s">
        <v>1358</v>
      </c>
      <c r="W36" s="1119">
        <f t="shared" si="14"/>
        <v>100</v>
      </c>
      <c r="X36" s="1113"/>
      <c r="Y36" s="3425"/>
      <c r="Z36" s="1102" t="str">
        <f t="shared" si="15"/>
        <v>公共部分装修</v>
      </c>
      <c r="AA36" s="1102">
        <f t="shared" si="3"/>
        <v>1</v>
      </c>
      <c r="AB36" s="1102">
        <f t="shared" si="4"/>
        <v>1</v>
      </c>
      <c r="AC36" s="2104">
        <f t="shared" si="5"/>
        <v>1</v>
      </c>
    </row>
    <row r="37" spans="1:29" ht="15">
      <c r="A37" s="991"/>
      <c r="B37" s="940" t="s">
        <v>648</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21"/>
      <c r="Q37" s="621" t="str">
        <f t="shared" si="11"/>
        <v>成新度</v>
      </c>
      <c r="R37" s="1118" t="s">
        <v>1358</v>
      </c>
      <c r="S37" s="1119">
        <f t="shared" si="12"/>
        <v>100</v>
      </c>
      <c r="T37" s="1118" t="s">
        <v>1358</v>
      </c>
      <c r="U37" s="1119">
        <f t="shared" si="13"/>
        <v>100</v>
      </c>
      <c r="V37" s="1118" t="s">
        <v>1358</v>
      </c>
      <c r="W37" s="1119">
        <f t="shared" si="14"/>
        <v>100</v>
      </c>
      <c r="X37" s="1113"/>
      <c r="Y37" s="3425"/>
      <c r="Z37" s="1102" t="str">
        <f t="shared" si="15"/>
        <v>成新度</v>
      </c>
      <c r="AA37" s="1102">
        <f t="shared" si="3"/>
        <v>1</v>
      </c>
      <c r="AB37" s="1102">
        <f t="shared" si="4"/>
        <v>1</v>
      </c>
      <c r="AC37" s="2104">
        <f t="shared" si="5"/>
        <v>1</v>
      </c>
    </row>
    <row r="38" spans="1:29" s="899" customFormat="1" ht="15">
      <c r="A38" s="993"/>
      <c r="B38" s="940" t="s">
        <v>1389</v>
      </c>
      <c r="C38" s="1287" t="s">
        <v>1390</v>
      </c>
      <c r="D38" s="942">
        <v>100</v>
      </c>
      <c r="E38" s="1287" t="s">
        <v>1390</v>
      </c>
      <c r="F38" s="1097">
        <f>SUMIF(113:113,E38,114:114)-SUMIF(113:113,C38,114:114)+100</f>
        <v>100</v>
      </c>
      <c r="G38" s="1287" t="s">
        <v>1390</v>
      </c>
      <c r="H38" s="755">
        <f>SUMIF(113:113,G38,114:114)-SUMIF(113:113,C38,114:114)+100</f>
        <v>100</v>
      </c>
      <c r="I38" s="1287" t="s">
        <v>1390</v>
      </c>
      <c r="J38" s="755">
        <f>SUMIF(113:113,I38,114:114)-SUMIF(113:113,C38,114:114)+100</f>
        <v>100</v>
      </c>
      <c r="K38" s="1088">
        <v>2</v>
      </c>
      <c r="L38" s="1070"/>
      <c r="M38" s="1071"/>
      <c r="N38" s="1071"/>
      <c r="O38" s="1071"/>
      <c r="P38" s="3421"/>
      <c r="Q38" s="790" t="str">
        <f t="shared" si="11"/>
        <v>写字楼等级</v>
      </c>
      <c r="R38" s="1114" t="s">
        <v>1358</v>
      </c>
      <c r="S38" s="1115">
        <f t="shared" si="12"/>
        <v>100</v>
      </c>
      <c r="T38" s="1114" t="s">
        <v>1358</v>
      </c>
      <c r="U38" s="1115">
        <f t="shared" si="13"/>
        <v>100</v>
      </c>
      <c r="V38" s="1114" t="s">
        <v>1358</v>
      </c>
      <c r="W38" s="1115">
        <f t="shared" si="14"/>
        <v>100</v>
      </c>
      <c r="X38" s="1116"/>
      <c r="Y38" s="3425"/>
      <c r="Z38" s="1126" t="str">
        <f t="shared" si="15"/>
        <v>写字楼等级</v>
      </c>
      <c r="AA38" s="1126">
        <f t="shared" si="3"/>
        <v>1</v>
      </c>
      <c r="AB38" s="1126">
        <f t="shared" si="4"/>
        <v>1</v>
      </c>
      <c r="AC38" s="2103">
        <f t="shared" si="5"/>
        <v>1</v>
      </c>
    </row>
    <row r="39" spans="1:29" ht="15">
      <c r="A39" s="991"/>
      <c r="B39" s="940" t="s">
        <v>1391</v>
      </c>
      <c r="C39" s="1287" t="s">
        <v>1392</v>
      </c>
      <c r="D39" s="755">
        <v>100</v>
      </c>
      <c r="E39" s="1287" t="s">
        <v>1392</v>
      </c>
      <c r="F39" s="1097">
        <f>SUMIF(115:115,E39,116:116)-SUMIF(115:115,C39,116:116)+100</f>
        <v>100</v>
      </c>
      <c r="G39" s="1287" t="s">
        <v>1392</v>
      </c>
      <c r="H39" s="755">
        <f>SUMIF(115:115,G39,116:116)-SUMIF(115:115,C39,116:116)+100</f>
        <v>100</v>
      </c>
      <c r="I39" s="1287" t="s">
        <v>1392</v>
      </c>
      <c r="J39" s="755">
        <f>SUMIF(115:115,I39,116:116)-SUMIF(115:115,C39,116:116)+100</f>
        <v>100</v>
      </c>
      <c r="K39" s="1088">
        <v>2</v>
      </c>
      <c r="L39" s="1081"/>
      <c r="M39" s="1015"/>
      <c r="N39" s="1015"/>
      <c r="O39" s="1015"/>
      <c r="P39" s="3421" t="s">
        <v>1384</v>
      </c>
      <c r="Q39" s="621" t="str">
        <f t="shared" si="11"/>
        <v>物业管理</v>
      </c>
      <c r="R39" s="1118" t="s">
        <v>1358</v>
      </c>
      <c r="S39" s="1119">
        <f t="shared" si="12"/>
        <v>100</v>
      </c>
      <c r="T39" s="1118" t="s">
        <v>1358</v>
      </c>
      <c r="U39" s="1119">
        <f t="shared" si="13"/>
        <v>100</v>
      </c>
      <c r="V39" s="1118" t="s">
        <v>1358</v>
      </c>
      <c r="W39" s="1119">
        <f t="shared" si="14"/>
        <v>100</v>
      </c>
      <c r="X39" s="1113"/>
      <c r="Y39" s="3425" t="s">
        <v>1384</v>
      </c>
      <c r="Z39" s="1102" t="str">
        <f t="shared" si="15"/>
        <v>物业管理</v>
      </c>
      <c r="AA39" s="1102">
        <f t="shared" si="3"/>
        <v>1</v>
      </c>
      <c r="AB39" s="1102">
        <f t="shared" si="4"/>
        <v>1</v>
      </c>
      <c r="AC39" s="2104">
        <f t="shared" si="5"/>
        <v>1</v>
      </c>
    </row>
    <row r="40" spans="1:29" ht="15">
      <c r="A40" s="991"/>
      <c r="B40" s="940" t="s">
        <v>1393</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21"/>
      <c r="Q40" s="621" t="str">
        <f t="shared" si="11"/>
        <v>市政基础设施</v>
      </c>
      <c r="R40" s="1118" t="s">
        <v>1358</v>
      </c>
      <c r="S40" s="1119">
        <f t="shared" si="12"/>
        <v>100</v>
      </c>
      <c r="T40" s="1118" t="s">
        <v>1358</v>
      </c>
      <c r="U40" s="1119">
        <f t="shared" si="13"/>
        <v>100</v>
      </c>
      <c r="V40" s="1118" t="s">
        <v>1358</v>
      </c>
      <c r="W40" s="1119">
        <f t="shared" si="14"/>
        <v>100</v>
      </c>
      <c r="X40" s="1113"/>
      <c r="Y40" s="3425"/>
      <c r="Z40" s="1102" t="str">
        <f t="shared" si="15"/>
        <v>市政基础设施</v>
      </c>
      <c r="AA40" s="1102">
        <f t="shared" si="3"/>
        <v>1</v>
      </c>
      <c r="AB40" s="1102">
        <f t="shared" si="4"/>
        <v>1</v>
      </c>
      <c r="AC40" s="2104">
        <f t="shared" si="5"/>
        <v>1</v>
      </c>
    </row>
    <row r="41" spans="1:29" ht="15">
      <c r="A41" s="991"/>
      <c r="B41" s="940" t="s">
        <v>1394</v>
      </c>
      <c r="C41" s="976" t="s">
        <v>1395</v>
      </c>
      <c r="D41" s="755">
        <v>100</v>
      </c>
      <c r="E41" s="976" t="s">
        <v>1395</v>
      </c>
      <c r="F41" s="1097">
        <f>SUMIF(119:119,E41,120:120)-SUMIF(119:119,C41,120:120)+100</f>
        <v>100</v>
      </c>
      <c r="G41" s="976" t="s">
        <v>1395</v>
      </c>
      <c r="H41" s="755">
        <f>SUMIF(119:119,G41,120:120)-SUMIF(119:119,C41,120:120)+100</f>
        <v>100</v>
      </c>
      <c r="I41" s="976" t="s">
        <v>1395</v>
      </c>
      <c r="J41" s="755">
        <f>SUMIF(119:119,I41,120:120)-SUMIF(119:119,C41,120:120)+100</f>
        <v>100</v>
      </c>
      <c r="K41" s="1088">
        <v>5</v>
      </c>
      <c r="L41" s="1081"/>
      <c r="M41" s="1015"/>
      <c r="N41" s="1015"/>
      <c r="O41" s="1015"/>
      <c r="P41" s="3421"/>
      <c r="Q41" s="621" t="str">
        <f t="shared" si="11"/>
        <v>层高</v>
      </c>
      <c r="R41" s="1118" t="s">
        <v>1358</v>
      </c>
      <c r="S41" s="1119">
        <f t="shared" si="12"/>
        <v>100</v>
      </c>
      <c r="T41" s="1118" t="s">
        <v>1358</v>
      </c>
      <c r="U41" s="1119">
        <f t="shared" si="13"/>
        <v>100</v>
      </c>
      <c r="V41" s="1118" t="s">
        <v>1358</v>
      </c>
      <c r="W41" s="1119">
        <f t="shared" si="14"/>
        <v>100</v>
      </c>
      <c r="X41" s="1113"/>
      <c r="Y41" s="3425"/>
      <c r="Z41" s="1102" t="str">
        <f t="shared" si="15"/>
        <v>层高</v>
      </c>
      <c r="AA41" s="1102">
        <f t="shared" si="3"/>
        <v>1</v>
      </c>
      <c r="AB41" s="1102">
        <f t="shared" si="4"/>
        <v>1</v>
      </c>
      <c r="AC41" s="2104">
        <f t="shared" si="5"/>
        <v>1</v>
      </c>
    </row>
    <row r="42" spans="1:29" s="901" customFormat="1" ht="15">
      <c r="A42" s="996"/>
      <c r="B42" s="1097" t="s">
        <v>1396</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21"/>
      <c r="Q42" s="1308" t="str">
        <f t="shared" si="11"/>
        <v>单套建筑面积</v>
      </c>
      <c r="R42" s="1120" t="s">
        <v>1358</v>
      </c>
      <c r="S42" s="1121">
        <f t="shared" si="12"/>
        <v>100</v>
      </c>
      <c r="T42" s="1120" t="s">
        <v>1358</v>
      </c>
      <c r="U42" s="1121">
        <f t="shared" si="13"/>
        <v>100</v>
      </c>
      <c r="V42" s="1120" t="s">
        <v>1358</v>
      </c>
      <c r="W42" s="1121">
        <f t="shared" si="14"/>
        <v>100</v>
      </c>
      <c r="X42" s="1122"/>
      <c r="Y42" s="3425"/>
      <c r="Z42" s="1127" t="str">
        <f t="shared" si="15"/>
        <v>单套建筑面积</v>
      </c>
      <c r="AA42" s="1102">
        <f t="shared" si="3"/>
        <v>1</v>
      </c>
      <c r="AB42" s="1102">
        <f t="shared" si="4"/>
        <v>1</v>
      </c>
      <c r="AC42" s="2104">
        <f t="shared" si="5"/>
        <v>1</v>
      </c>
    </row>
    <row r="43" spans="1:29" ht="15">
      <c r="A43" s="991"/>
      <c r="B43" s="940" t="s">
        <v>1397</v>
      </c>
      <c r="C43" s="1287" t="s">
        <v>1398</v>
      </c>
      <c r="D43" s="755">
        <v>100</v>
      </c>
      <c r="E43" s="1287" t="s">
        <v>1388</v>
      </c>
      <c r="F43" s="1097">
        <f>SUMIF(123:123,E43,124:124)-SUMIF(123:123,C43,124:124)+100</f>
        <v>102</v>
      </c>
      <c r="G43" s="1287" t="s">
        <v>1437</v>
      </c>
      <c r="H43" s="755">
        <f>SUMIF(123:123,G43,124:124)-SUMIF(123:123,C43,124:124)+100</f>
        <v>98</v>
      </c>
      <c r="I43" s="1287" t="s">
        <v>1398</v>
      </c>
      <c r="J43" s="755">
        <f>SUMIF(123:123,I43,124:124)-SUMIF(123:123,C43,124:124)+100</f>
        <v>100</v>
      </c>
      <c r="K43" s="2101">
        <v>2</v>
      </c>
      <c r="L43" s="1081"/>
      <c r="M43" s="1015"/>
      <c r="N43" s="1015"/>
      <c r="O43" s="1015"/>
      <c r="P43" s="3421"/>
      <c r="Q43" s="621" t="str">
        <f t="shared" si="11"/>
        <v>内部装修</v>
      </c>
      <c r="R43" s="1118" t="s">
        <v>1358</v>
      </c>
      <c r="S43" s="1119">
        <f t="shared" si="12"/>
        <v>102</v>
      </c>
      <c r="T43" s="1118" t="s">
        <v>1358</v>
      </c>
      <c r="U43" s="1119">
        <f t="shared" si="13"/>
        <v>98</v>
      </c>
      <c r="V43" s="1118" t="s">
        <v>1358</v>
      </c>
      <c r="W43" s="1119">
        <f t="shared" si="14"/>
        <v>100</v>
      </c>
      <c r="X43" s="1113"/>
      <c r="Y43" s="3425"/>
      <c r="Z43" s="1102" t="str">
        <f t="shared" si="15"/>
        <v>内部装修</v>
      </c>
      <c r="AA43" s="1102">
        <f t="shared" si="3"/>
        <v>0.98039215686274506</v>
      </c>
      <c r="AB43" s="1102">
        <f t="shared" si="4"/>
        <v>1.0204081632653061</v>
      </c>
      <c r="AC43" s="2104">
        <f t="shared" si="5"/>
        <v>1</v>
      </c>
    </row>
    <row r="44" spans="1:29" ht="28.8">
      <c r="A44" s="991"/>
      <c r="B44" s="940" t="s">
        <v>1399</v>
      </c>
      <c r="C44" s="1287" t="s">
        <v>1374</v>
      </c>
      <c r="D44" s="755">
        <v>100</v>
      </c>
      <c r="E44" s="1287" t="s">
        <v>1374</v>
      </c>
      <c r="F44" s="1097">
        <f>SUMIF(125:125,E44,126:126)-SUMIF(125:125,C44,126:126)+100</f>
        <v>100</v>
      </c>
      <c r="G44" s="1287" t="s">
        <v>1374</v>
      </c>
      <c r="H44" s="755">
        <f>SUMIF(125:125,G44,126:126)-SUMIF(125:125,C44,126:126)+100</f>
        <v>100</v>
      </c>
      <c r="I44" s="1287" t="s">
        <v>1374</v>
      </c>
      <c r="J44" s="755">
        <f>SUMIF(125:125,I44,126:126)-SUMIF(125:125,C44,126:126)+100</f>
        <v>100</v>
      </c>
      <c r="K44" s="1088">
        <v>2</v>
      </c>
      <c r="L44" s="1081"/>
      <c r="M44" s="1015"/>
      <c r="N44" s="1015"/>
      <c r="O44" s="1015"/>
      <c r="P44" s="3421"/>
      <c r="Q44" s="621" t="str">
        <f t="shared" si="11"/>
        <v>内部装修维护情况</v>
      </c>
      <c r="R44" s="1118" t="s">
        <v>1358</v>
      </c>
      <c r="S44" s="1119">
        <f t="shared" si="12"/>
        <v>100</v>
      </c>
      <c r="T44" s="1118" t="s">
        <v>1358</v>
      </c>
      <c r="U44" s="1119">
        <f t="shared" si="13"/>
        <v>100</v>
      </c>
      <c r="V44" s="1118" t="s">
        <v>1358</v>
      </c>
      <c r="W44" s="1119">
        <f t="shared" si="14"/>
        <v>100</v>
      </c>
      <c r="X44" s="1113"/>
      <c r="Y44" s="3425"/>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21"/>
      <c r="Q45" s="790">
        <f t="shared" si="11"/>
        <v>111</v>
      </c>
      <c r="R45" s="1114" t="s">
        <v>1358</v>
      </c>
      <c r="S45" s="1115">
        <f t="shared" si="12"/>
        <v>100</v>
      </c>
      <c r="T45" s="1114" t="s">
        <v>1358</v>
      </c>
      <c r="U45" s="1115">
        <f t="shared" si="13"/>
        <v>100</v>
      </c>
      <c r="V45" s="1114" t="s">
        <v>1358</v>
      </c>
      <c r="W45" s="1115">
        <f t="shared" si="14"/>
        <v>100</v>
      </c>
      <c r="X45" s="1116"/>
      <c r="Y45" s="3425"/>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21"/>
      <c r="Q46" s="621">
        <f t="shared" si="11"/>
        <v>111</v>
      </c>
      <c r="R46" s="1118" t="s">
        <v>1358</v>
      </c>
      <c r="S46" s="1119">
        <f t="shared" si="12"/>
        <v>100</v>
      </c>
      <c r="T46" s="1118" t="s">
        <v>1358</v>
      </c>
      <c r="U46" s="1119">
        <f t="shared" si="13"/>
        <v>100</v>
      </c>
      <c r="V46" s="1118" t="s">
        <v>1358</v>
      </c>
      <c r="W46" s="1119">
        <f t="shared" si="14"/>
        <v>100</v>
      </c>
      <c r="X46" s="1113"/>
      <c r="Y46" s="3425"/>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22"/>
      <c r="Q47" s="621">
        <f t="shared" si="11"/>
        <v>111</v>
      </c>
      <c r="R47" s="1118" t="s">
        <v>1358</v>
      </c>
      <c r="S47" s="1119">
        <f t="shared" si="12"/>
        <v>100</v>
      </c>
      <c r="T47" s="1118" t="s">
        <v>1358</v>
      </c>
      <c r="U47" s="1119">
        <f t="shared" si="13"/>
        <v>100</v>
      </c>
      <c r="V47" s="1118" t="s">
        <v>1358</v>
      </c>
      <c r="W47" s="1119">
        <f t="shared" si="14"/>
        <v>100</v>
      </c>
      <c r="X47" s="1113"/>
      <c r="Y47" s="3426"/>
      <c r="Z47" s="1102">
        <f t="shared" si="15"/>
        <v>111</v>
      </c>
      <c r="AA47" s="1102">
        <f t="shared" si="3"/>
        <v>1</v>
      </c>
      <c r="AB47" s="1102">
        <f t="shared" si="4"/>
        <v>1</v>
      </c>
      <c r="AC47" s="2104">
        <f t="shared" si="5"/>
        <v>1</v>
      </c>
    </row>
    <row r="48" spans="1:29" ht="14.4">
      <c r="A48" s="998" t="s">
        <v>1400</v>
      </c>
      <c r="B48" s="1291"/>
      <c r="C48" s="1292" t="s">
        <v>124</v>
      </c>
      <c r="D48" s="1001"/>
      <c r="E48" s="1002">
        <v>39809</v>
      </c>
      <c r="F48" s="1003"/>
      <c r="G48" s="1004">
        <v>36512</v>
      </c>
      <c r="H48" s="1005"/>
      <c r="I48" s="1002">
        <v>34724</v>
      </c>
      <c r="J48" s="1005"/>
      <c r="K48" s="1093"/>
      <c r="L48" s="1094"/>
      <c r="M48" s="1015"/>
      <c r="N48" s="1015"/>
      <c r="O48" s="1015"/>
      <c r="P48" s="3410" t="str">
        <f>A48</f>
        <v>成交单价（元/平方米）</v>
      </c>
      <c r="Q48" s="3411"/>
      <c r="R48" s="3409">
        <f>E48</f>
        <v>39809</v>
      </c>
      <c r="S48" s="3409"/>
      <c r="T48" s="3409">
        <f>G48</f>
        <v>36512</v>
      </c>
      <c r="U48" s="3409"/>
      <c r="V48" s="3409">
        <f>I48</f>
        <v>34724</v>
      </c>
      <c r="W48" s="3409"/>
      <c r="X48" s="1055"/>
      <c r="Y48" s="1128"/>
      <c r="Z48" s="1055"/>
      <c r="AA48" s="1055"/>
      <c r="AB48" s="1055"/>
      <c r="AC48" s="961"/>
    </row>
    <row r="49" spans="1:29" ht="14.4">
      <c r="A49" s="1006" t="s">
        <v>1401</v>
      </c>
      <c r="B49" s="1293"/>
      <c r="C49" s="1294">
        <f>R50</f>
        <v>36273</v>
      </c>
      <c r="D49" s="1009" t="s">
        <v>1402</v>
      </c>
      <c r="E49" s="1295">
        <f>R49</f>
        <v>37892</v>
      </c>
      <c r="F49" s="1010"/>
      <c r="G49" s="1294">
        <f>T49</f>
        <v>36172</v>
      </c>
      <c r="H49" s="1010"/>
      <c r="I49" s="1295">
        <f>V49</f>
        <v>34755</v>
      </c>
      <c r="J49" s="1010"/>
      <c r="K49" s="1095">
        <f>F49+H49+J49</f>
        <v>0</v>
      </c>
      <c r="L49" s="1094"/>
      <c r="M49" s="1015"/>
      <c r="N49" s="1015"/>
      <c r="O49" s="1015"/>
      <c r="P49" s="3410" t="str">
        <f>A49</f>
        <v>比较价值（元/平方米）</v>
      </c>
      <c r="Q49" s="3411"/>
      <c r="R49" s="3409">
        <f>IF(F1="售价",ROUND(PRODUCT(R48,AA7:AA47),0),ROUND(PRODUCT(R48,AA7:AA47),1))</f>
        <v>37892</v>
      </c>
      <c r="S49" s="3409"/>
      <c r="T49" s="3409">
        <f>IF(F1="售价",ROUND(PRODUCT(T48,AB7:AB47),0),ROUND(PRODUCT(T48,AB7:AB47),1))</f>
        <v>36172</v>
      </c>
      <c r="U49" s="3409"/>
      <c r="V49" s="3409">
        <f>IF(F1="售价",ROUND(PRODUCT(V48,AC7:AC47),0),ROUND(PRODUCT(V48,AC7:AC47),1))</f>
        <v>34755</v>
      </c>
      <c r="W49" s="3409"/>
      <c r="X49" s="1055"/>
      <c r="Y49" s="1055"/>
      <c r="Z49" s="1055"/>
      <c r="AA49" s="1055"/>
      <c r="AB49" s="1055"/>
      <c r="AC49" s="961"/>
    </row>
    <row r="50" spans="1:29" ht="14.4">
      <c r="A50" s="1012" t="s">
        <v>1403</v>
      </c>
      <c r="B50" s="1013"/>
      <c r="C50" s="925">
        <f>R50</f>
        <v>36273</v>
      </c>
      <c r="D50" s="925"/>
      <c r="E50" s="925"/>
      <c r="F50" s="925"/>
      <c r="G50" s="925"/>
      <c r="H50" s="925"/>
      <c r="I50" s="925"/>
      <c r="J50" s="1014"/>
      <c r="K50" s="1096"/>
      <c r="L50" s="1094"/>
      <c r="M50" s="1015"/>
      <c r="N50" s="1015"/>
      <c r="O50" s="1015"/>
      <c r="P50" s="3412" t="str">
        <f>A50</f>
        <v>估价对象XX用房的比较价值（楼面单价，元/平方米）</v>
      </c>
      <c r="Q50" s="3413"/>
      <c r="R50" s="3414">
        <f>IF(F1="售价",ROUND(IF(D49="简单平均",AVERAGE(R49:V49),R49*F49+T49*H49+V49*J49),0),ROUND(IF(D49="简单平均",AVERAGE(R49:V49),R49*F49+T49*H49+V49*J49),1))</f>
        <v>36273</v>
      </c>
      <c r="S50" s="3414"/>
      <c r="T50" s="3414"/>
      <c r="U50" s="3414"/>
      <c r="V50" s="3414"/>
      <c r="W50" s="3414"/>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1404</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1405</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1406</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1407</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1356</v>
      </c>
      <c r="B59" s="1298"/>
      <c r="C59" s="1299" t="str">
        <f>YEAR(C7)&amp;"-"&amp;MONTH(C7)</f>
        <v>2025-7</v>
      </c>
      <c r="D59" s="1300">
        <f>EDATE(C59,-1)</f>
        <v>45809</v>
      </c>
      <c r="E59" s="1300">
        <f>EDATE(D59,-1)</f>
        <v>45778</v>
      </c>
      <c r="F59" s="1300">
        <f t="shared" ref="F59:O59" si="16">EDATE(E59,-1)</f>
        <v>45748</v>
      </c>
      <c r="G59" s="1300">
        <f t="shared" si="16"/>
        <v>45717</v>
      </c>
      <c r="H59" s="1300">
        <f t="shared" si="16"/>
        <v>45689</v>
      </c>
      <c r="I59" s="1300">
        <f t="shared" si="16"/>
        <v>45658</v>
      </c>
      <c r="J59" s="1300">
        <f t="shared" si="16"/>
        <v>45627</v>
      </c>
      <c r="K59" s="1300">
        <f t="shared" si="16"/>
        <v>45597</v>
      </c>
      <c r="L59" s="1300">
        <f t="shared" si="16"/>
        <v>45566</v>
      </c>
      <c r="M59" s="1300">
        <f t="shared" si="16"/>
        <v>45536</v>
      </c>
      <c r="N59" s="1300">
        <f t="shared" si="16"/>
        <v>45505</v>
      </c>
      <c r="O59" s="1300">
        <f t="shared" si="16"/>
        <v>45474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1408</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1359</v>
      </c>
      <c r="B62" s="1140"/>
      <c r="C62" s="1141" t="s">
        <v>1409</v>
      </c>
      <c r="D62" s="2100" t="s">
        <v>1360</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1410</v>
      </c>
      <c r="B64" s="1145" t="s">
        <v>1363</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1366</v>
      </c>
      <c r="C66" s="1170" t="s">
        <v>1411</v>
      </c>
      <c r="D66" s="1170" t="s">
        <v>1412</v>
      </c>
      <c r="E66" s="1170" t="s">
        <v>1413</v>
      </c>
      <c r="F66" s="1170" t="s">
        <v>1414</v>
      </c>
      <c r="G66" s="1170" t="s">
        <v>1415</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1367</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1368</v>
      </c>
      <c r="B77" s="1145" t="s">
        <v>1369</v>
      </c>
      <c r="C77" s="1165" t="s">
        <v>1416</v>
      </c>
      <c r="D77" s="1165" t="s">
        <v>1417</v>
      </c>
      <c r="E77" s="1165" t="s">
        <v>1418</v>
      </c>
      <c r="F77" s="1165" t="s">
        <v>1419</v>
      </c>
      <c r="G77" s="1165" t="s">
        <v>1420</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1372</v>
      </c>
      <c r="C79" s="1166" t="s">
        <v>1416</v>
      </c>
      <c r="D79" s="1166" t="s">
        <v>1417</v>
      </c>
      <c r="E79" s="1166" t="s">
        <v>1418</v>
      </c>
      <c r="F79" s="1166" t="s">
        <v>1419</v>
      </c>
      <c r="G79" s="1166" t="s">
        <v>1420</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1373</v>
      </c>
      <c r="C81" s="1166" t="s">
        <v>1416</v>
      </c>
      <c r="D81" s="1166" t="s">
        <v>1417</v>
      </c>
      <c r="E81" s="1166" t="s">
        <v>1418</v>
      </c>
      <c r="F81" s="1166" t="s">
        <v>1419</v>
      </c>
      <c r="G81" s="1166" t="s">
        <v>1420</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1375</v>
      </c>
      <c r="C83" s="1083" t="s">
        <v>1421</v>
      </c>
      <c r="D83" s="1083" t="s">
        <v>1422</v>
      </c>
      <c r="E83" s="1083" t="s">
        <v>1423</v>
      </c>
      <c r="F83" s="1083" t="s">
        <v>1424</v>
      </c>
      <c r="G83" s="1083" t="s">
        <v>1425</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1376</v>
      </c>
      <c r="C85" s="1166" t="s">
        <v>1416</v>
      </c>
      <c r="D85" s="1166" t="s">
        <v>1417</v>
      </c>
      <c r="E85" s="1166" t="s">
        <v>1418</v>
      </c>
      <c r="F85" s="1166" t="s">
        <v>1419</v>
      </c>
      <c r="G85" s="1166" t="s">
        <v>1420</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1377</v>
      </c>
      <c r="C87" s="2105" t="s">
        <v>1426</v>
      </c>
      <c r="D87" s="2106" t="s">
        <v>1427</v>
      </c>
      <c r="E87" s="2106" t="s">
        <v>1428</v>
      </c>
      <c r="F87" s="2106" t="s">
        <v>1429</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6" t="s">
        <v>1379</v>
      </c>
      <c r="D89" s="2106" t="s">
        <v>1337</v>
      </c>
      <c r="E89" s="2106" t="s">
        <v>1430</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1381</v>
      </c>
      <c r="B101" s="1145" t="s">
        <v>1382</v>
      </c>
      <c r="C101" s="2107" t="s">
        <v>1383</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1385</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1386</v>
      </c>
      <c r="C106" s="2106" t="s">
        <v>1336</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1387</v>
      </c>
      <c r="C108" s="2106" t="s">
        <v>1388</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1389</v>
      </c>
      <c r="C113" s="2106" t="s">
        <v>1390</v>
      </c>
      <c r="D113" s="2106" t="s">
        <v>1431</v>
      </c>
      <c r="E113" s="2106" t="s">
        <v>1432</v>
      </c>
      <c r="F113" s="2106" t="s">
        <v>1433</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1391</v>
      </c>
      <c r="C115" s="2106" t="s">
        <v>1392</v>
      </c>
      <c r="D115" s="2106" t="s">
        <v>1434</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1393</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1435</v>
      </c>
      <c r="C119" s="2108" t="s">
        <v>1395</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1436</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1397</v>
      </c>
      <c r="C123" s="2106" t="s">
        <v>1388</v>
      </c>
      <c r="D123" s="2106" t="s">
        <v>1398</v>
      </c>
      <c r="E123" s="2106" t="s">
        <v>1437</v>
      </c>
      <c r="F123" s="2108" t="s">
        <v>1338</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1399</v>
      </c>
      <c r="C125" s="1166" t="s">
        <v>1416</v>
      </c>
      <c r="D125" s="1166" t="s">
        <v>1417</v>
      </c>
      <c r="E125" s="1166" t="s">
        <v>1418</v>
      </c>
      <c r="F125" s="1166" t="s">
        <v>1419</v>
      </c>
      <c r="G125" s="1166" t="s">
        <v>1420</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F7:F47 H7:H47 J7:J47">
    <cfRule type="cellIs" dxfId="175" priority="1" operator="notEqual">
      <formula>100</formula>
    </cfRule>
  </conditionalFormatting>
  <conditionalFormatting sqref="F49">
    <cfRule type="expression" dxfId="174" priority="4">
      <formula>$D$49="简单平均"</formula>
    </cfRule>
  </conditionalFormatting>
  <conditionalFormatting sqref="F53:F55 H53:H55">
    <cfRule type="containsText" dxfId="173" priority="17"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G55">
    <cfRule type="expression" dxfId="170" priority="13" stopIfTrue="1">
      <formula>$H$55="超过30%"</formula>
    </cfRule>
  </conditionalFormatting>
  <conditionalFormatting sqref="H49">
    <cfRule type="expression" dxfId="169" priority="3">
      <formula>$D$49="简单平均"</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J49">
    <cfRule type="expression" dxfId="165" priority="2">
      <formula>$D$49="简单平均"</formula>
    </cfRule>
  </conditionalFormatting>
  <conditionalFormatting sqref="J53:J55">
    <cfRule type="containsText" dxfId="164"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tabSelected="1" view="pageBreakPreview" topLeftCell="C19" zoomScaleNormal="70" zoomScaleSheetLayoutView="100" workbookViewId="0">
      <selection activeCell="C25" sqref="C25:J27"/>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1604</v>
      </c>
      <c r="C1" s="1304" t="s">
        <v>1341</v>
      </c>
      <c r="D1" s="1263">
        <v>110</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997</v>
      </c>
      <c r="B2" s="1269">
        <f>IF(E1="项目模式",IF(C2="——",ROUND(C49*D3/10000,0),ROUND(C49*D3/10000,0)-D2),IF(E1="单套模式",IF(C2="——",ROUND(C49*D3/10000,4),ROUND(C49*D3/10000,4)-D2)))</f>
        <v>1113.4663</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999</v>
      </c>
      <c r="B3" s="916">
        <f>IF(C2="——",C49,ROUND(B2*10000/D3,0))</f>
        <v>31337</v>
      </c>
      <c r="C3" s="1273" t="s">
        <v>1345</v>
      </c>
      <c r="D3" s="1274">
        <f>IF(D1="",'数据-汇总表'!E3,SUMIF('数据-汇总表'!$C19:$C33,D1,'数据-汇总表'!$E19:$E33))</f>
        <v>355.32</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432" t="s">
        <v>1347</v>
      </c>
      <c r="D4" s="3433"/>
      <c r="E4" s="3434" t="s">
        <v>1348</v>
      </c>
      <c r="F4" s="3435"/>
      <c r="G4" s="3432" t="s">
        <v>1349</v>
      </c>
      <c r="H4" s="3433"/>
      <c r="I4" s="3432" t="s">
        <v>1350</v>
      </c>
      <c r="J4" s="3433"/>
      <c r="K4" s="1064" t="s">
        <v>1351</v>
      </c>
      <c r="L4" s="1065"/>
      <c r="M4" s="1015"/>
      <c r="N4" s="1015"/>
      <c r="O4" s="1015"/>
      <c r="P4" s="3439" t="s">
        <v>1352</v>
      </c>
      <c r="Q4" s="3440"/>
      <c r="R4" s="3443" t="s">
        <v>1348</v>
      </c>
      <c r="S4" s="3444"/>
      <c r="T4" s="3443" t="s">
        <v>1349</v>
      </c>
      <c r="U4" s="3444"/>
      <c r="V4" s="3409" t="s">
        <v>1350</v>
      </c>
      <c r="W4" s="3409"/>
      <c r="X4" s="1113"/>
      <c r="Y4" s="3443" t="s">
        <v>1352</v>
      </c>
      <c r="Z4" s="3444"/>
      <c r="AA4" s="3438" t="s">
        <v>1348</v>
      </c>
      <c r="AB4" s="3409" t="s">
        <v>1349</v>
      </c>
      <c r="AC4" s="3438" t="s">
        <v>1350</v>
      </c>
    </row>
    <row r="5" spans="1:29" ht="13.95" customHeight="1">
      <c r="A5" s="922"/>
      <c r="B5" s="923"/>
      <c r="C5" s="3448" t="s">
        <v>1575</v>
      </c>
      <c r="D5" s="3437"/>
      <c r="E5" s="3449" t="s">
        <v>2847</v>
      </c>
      <c r="F5" s="3450"/>
      <c r="G5" s="3436" t="s">
        <v>2848</v>
      </c>
      <c r="H5" s="3437"/>
      <c r="I5" s="3436" t="s">
        <v>2849</v>
      </c>
      <c r="J5" s="3437"/>
      <c r="K5" s="1064"/>
      <c r="L5" s="1065"/>
      <c r="M5" s="1015"/>
      <c r="N5" s="1015"/>
      <c r="O5" s="1015"/>
      <c r="P5" s="3441"/>
      <c r="Q5" s="3399"/>
      <c r="R5" s="3404"/>
      <c r="S5" s="3405"/>
      <c r="T5" s="3404"/>
      <c r="U5" s="3405"/>
      <c r="V5" s="3409"/>
      <c r="W5" s="3409"/>
      <c r="X5" s="1113"/>
      <c r="Y5" s="3404"/>
      <c r="Z5" s="3405"/>
      <c r="AA5" s="3391"/>
      <c r="AB5" s="3409"/>
      <c r="AC5" s="3391"/>
    </row>
    <row r="6" spans="1:29" ht="14.4">
      <c r="A6" s="924"/>
      <c r="B6" s="925"/>
      <c r="C6" s="3427" t="s">
        <v>1354</v>
      </c>
      <c r="D6" s="3428"/>
      <c r="E6" s="3429" t="s">
        <v>2797</v>
      </c>
      <c r="F6" s="3430"/>
      <c r="G6" s="3427" t="s">
        <v>2797</v>
      </c>
      <c r="H6" s="3428"/>
      <c r="I6" s="3427" t="s">
        <v>2797</v>
      </c>
      <c r="J6" s="3428"/>
      <c r="K6" s="1064" t="s">
        <v>1355</v>
      </c>
      <c r="L6" s="1065"/>
      <c r="M6" s="1015"/>
      <c r="N6" s="1015"/>
      <c r="O6" s="1015"/>
      <c r="P6" s="3442"/>
      <c r="Q6" s="3401"/>
      <c r="R6" s="3404"/>
      <c r="S6" s="3405"/>
      <c r="T6" s="3406"/>
      <c r="U6" s="3407"/>
      <c r="V6" s="3409"/>
      <c r="W6" s="3409"/>
      <c r="X6" s="1113"/>
      <c r="Y6" s="3406"/>
      <c r="Z6" s="3407"/>
      <c r="AA6" s="3392"/>
      <c r="AB6" s="3409"/>
      <c r="AC6" s="3392"/>
    </row>
    <row r="7" spans="1:29" s="899" customFormat="1" ht="14.4">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5" t="s">
        <v>1357</v>
      </c>
      <c r="Q7" s="3431"/>
      <c r="R7" s="1114" t="s">
        <v>1358</v>
      </c>
      <c r="S7" s="1115">
        <f t="shared" ref="S7:S15" si="0">F7</f>
        <v>100</v>
      </c>
      <c r="T7" s="1114" t="s">
        <v>1358</v>
      </c>
      <c r="U7" s="1115">
        <f t="shared" ref="U7:U15" si="1">H7</f>
        <v>100</v>
      </c>
      <c r="V7" s="1114" t="s">
        <v>1358</v>
      </c>
      <c r="W7" s="1115">
        <f t="shared" ref="W7:W15" si="2">J7</f>
        <v>100</v>
      </c>
      <c r="X7" s="1116"/>
      <c r="Y7" s="3415" t="s">
        <v>1357</v>
      </c>
      <c r="Z7" s="3416"/>
      <c r="AA7" s="1126">
        <f>D7/F7</f>
        <v>1</v>
      </c>
      <c r="AB7" s="1126">
        <f>D7/H7</f>
        <v>1</v>
      </c>
      <c r="AC7" s="1126">
        <f>D7/J7</f>
        <v>1</v>
      </c>
    </row>
    <row r="8" spans="1:29" s="899" customFormat="1" ht="14.4">
      <c r="A8" s="927" t="s">
        <v>1359</v>
      </c>
      <c r="B8" s="928"/>
      <c r="C8" s="934" t="s">
        <v>884</v>
      </c>
      <c r="D8" s="930">
        <v>100</v>
      </c>
      <c r="E8" s="934" t="s">
        <v>2799</v>
      </c>
      <c r="F8" s="932">
        <f>SUMIF(61:61,E8,62:62)-SUMIF(61:61,C8,62:62)+100</f>
        <v>102</v>
      </c>
      <c r="G8" s="934" t="s">
        <v>2799</v>
      </c>
      <c r="H8" s="930">
        <f>SUMIF(61:61,G8,62:62)-SUMIF(61:61,C8,62:62)+100</f>
        <v>102</v>
      </c>
      <c r="I8" s="934" t="s">
        <v>2799</v>
      </c>
      <c r="J8" s="930">
        <f>SUMIF(61:61,I8,62:62)-SUMIF(61:61,C8,62:62)+100</f>
        <v>102</v>
      </c>
      <c r="K8" s="1069"/>
      <c r="L8" s="1070"/>
      <c r="M8" s="1071"/>
      <c r="N8" s="1071"/>
      <c r="O8" s="1071"/>
      <c r="P8" s="3415" t="s">
        <v>1361</v>
      </c>
      <c r="Q8" s="3416"/>
      <c r="R8" s="1114" t="s">
        <v>1358</v>
      </c>
      <c r="S8" s="1115">
        <f t="shared" si="0"/>
        <v>102</v>
      </c>
      <c r="T8" s="1114" t="s">
        <v>1358</v>
      </c>
      <c r="U8" s="1115">
        <f t="shared" si="1"/>
        <v>102</v>
      </c>
      <c r="V8" s="1114" t="s">
        <v>1358</v>
      </c>
      <c r="W8" s="1115">
        <f t="shared" si="2"/>
        <v>102</v>
      </c>
      <c r="X8" s="1116"/>
      <c r="Y8" s="3415" t="s">
        <v>1361</v>
      </c>
      <c r="Z8" s="3416"/>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2798</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10" t="s">
        <v>1364</v>
      </c>
      <c r="Q9" s="790" t="str">
        <f t="shared" ref="Q9:Q15" si="6">B9</f>
        <v>用途</v>
      </c>
      <c r="R9" s="1114" t="s">
        <v>1358</v>
      </c>
      <c r="S9" s="1115">
        <f t="shared" si="0"/>
        <v>100</v>
      </c>
      <c r="T9" s="1114" t="s">
        <v>1358</v>
      </c>
      <c r="U9" s="1115">
        <f t="shared" si="1"/>
        <v>100</v>
      </c>
      <c r="V9" s="1114" t="s">
        <v>1358</v>
      </c>
      <c r="W9" s="1115">
        <f t="shared" si="2"/>
        <v>100</v>
      </c>
      <c r="X9" s="1116"/>
      <c r="Y9" s="3297" t="s">
        <v>1365</v>
      </c>
      <c r="Z9" s="1126" t="str">
        <f t="shared" ref="Z9:Z15" si="7">Q9</f>
        <v>用途</v>
      </c>
      <c r="AA9" s="1126">
        <f t="shared" si="3"/>
        <v>1</v>
      </c>
      <c r="AB9" s="1126">
        <f t="shared" si="4"/>
        <v>1</v>
      </c>
      <c r="AC9" s="1126">
        <f t="shared" si="5"/>
        <v>1</v>
      </c>
    </row>
    <row r="10" spans="1:29" s="900" customFormat="1" ht="28.8">
      <c r="A10" s="939"/>
      <c r="B10" s="940" t="s">
        <v>1366</v>
      </c>
      <c r="C10" s="1277" t="s">
        <v>2852</v>
      </c>
      <c r="D10" s="942">
        <v>100</v>
      </c>
      <c r="E10" s="3191" t="s">
        <v>2851</v>
      </c>
      <c r="F10" s="940">
        <f>SUMIF(65:65,E10,66:66)-SUMIF(65:65,C10,66:66)+100</f>
        <v>95</v>
      </c>
      <c r="G10" s="3191" t="s">
        <v>2851</v>
      </c>
      <c r="H10" s="942">
        <f>SUMIF(65:65,G10,66:66)-SUMIF(65:65,C10,66:66)+100</f>
        <v>95</v>
      </c>
      <c r="I10" s="1277" t="s">
        <v>2852</v>
      </c>
      <c r="J10" s="942">
        <f>SUMIF(65:65,I10,66:66)-SUMIF(65:65,C10,66:66)+100</f>
        <v>100</v>
      </c>
      <c r="K10" s="1069"/>
      <c r="L10" s="1075"/>
      <c r="M10" s="1076"/>
      <c r="N10" s="1076"/>
      <c r="O10" s="1076"/>
      <c r="P10" s="3410"/>
      <c r="Q10" s="790" t="str">
        <f t="shared" si="6"/>
        <v>土地使用年限（年）</v>
      </c>
      <c r="R10" s="1114" t="s">
        <v>1358</v>
      </c>
      <c r="S10" s="1115">
        <f t="shared" si="0"/>
        <v>95</v>
      </c>
      <c r="T10" s="1114" t="s">
        <v>1358</v>
      </c>
      <c r="U10" s="1115">
        <f t="shared" si="1"/>
        <v>95</v>
      </c>
      <c r="V10" s="1114" t="s">
        <v>1358</v>
      </c>
      <c r="W10" s="1115">
        <f t="shared" si="2"/>
        <v>100</v>
      </c>
      <c r="X10" s="1116"/>
      <c r="Y10" s="3297"/>
      <c r="Z10" s="1126" t="str">
        <f t="shared" si="7"/>
        <v>土地使用年限（年）</v>
      </c>
      <c r="AA10" s="1126">
        <f t="shared" si="3"/>
        <v>1.0526315789473684</v>
      </c>
      <c r="AB10" s="1126">
        <f t="shared" si="4"/>
        <v>1.0526315789473684</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0"/>
      <c r="Q11" s="790" t="str">
        <f t="shared" si="6"/>
        <v>容积率</v>
      </c>
      <c r="R11" s="1114" t="s">
        <v>1358</v>
      </c>
      <c r="S11" s="1115">
        <f t="shared" si="0"/>
        <v>100</v>
      </c>
      <c r="T11" s="1114" t="s">
        <v>1358</v>
      </c>
      <c r="U11" s="1115">
        <f t="shared" si="1"/>
        <v>100</v>
      </c>
      <c r="V11" s="1114" t="s">
        <v>1358</v>
      </c>
      <c r="W11" s="1115">
        <f t="shared" si="2"/>
        <v>100</v>
      </c>
      <c r="X11" s="1116"/>
      <c r="Y11" s="3297"/>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0"/>
      <c r="Q12" s="790">
        <f t="shared" si="6"/>
        <v>111</v>
      </c>
      <c r="R12" s="1114" t="s">
        <v>1358</v>
      </c>
      <c r="S12" s="1115">
        <f t="shared" si="0"/>
        <v>100</v>
      </c>
      <c r="T12" s="1114" t="s">
        <v>1358</v>
      </c>
      <c r="U12" s="1115">
        <f t="shared" si="1"/>
        <v>100</v>
      </c>
      <c r="V12" s="1114" t="s">
        <v>1358</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0"/>
      <c r="Q13" s="790">
        <f t="shared" si="6"/>
        <v>111</v>
      </c>
      <c r="R13" s="1114" t="s">
        <v>1358</v>
      </c>
      <c r="S13" s="1115">
        <f t="shared" si="0"/>
        <v>100</v>
      </c>
      <c r="T13" s="1114" t="s">
        <v>1358</v>
      </c>
      <c r="U13" s="1115">
        <f t="shared" si="1"/>
        <v>100</v>
      </c>
      <c r="V13" s="1114" t="s">
        <v>1358</v>
      </c>
      <c r="W13" s="1115">
        <f t="shared" si="2"/>
        <v>100</v>
      </c>
      <c r="X13" s="1116"/>
      <c r="Y13" s="3297"/>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0"/>
      <c r="Q14" s="790">
        <f t="shared" si="6"/>
        <v>111</v>
      </c>
      <c r="R14" s="1114" t="s">
        <v>1358</v>
      </c>
      <c r="S14" s="1115">
        <f t="shared" si="0"/>
        <v>100</v>
      </c>
      <c r="T14" s="1114" t="s">
        <v>1358</v>
      </c>
      <c r="U14" s="1115">
        <f t="shared" si="1"/>
        <v>100</v>
      </c>
      <c r="V14" s="1114" t="s">
        <v>1358</v>
      </c>
      <c r="W14" s="1115">
        <f t="shared" si="2"/>
        <v>100</v>
      </c>
      <c r="X14" s="1116"/>
      <c r="Y14" s="3297"/>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18" t="s">
        <v>1370</v>
      </c>
      <c r="Q15" s="621" t="str">
        <f t="shared" si="6"/>
        <v>商业繁华度</v>
      </c>
      <c r="R15" s="1118" t="s">
        <v>1358</v>
      </c>
      <c r="S15" s="1119">
        <f t="shared" si="0"/>
        <v>102</v>
      </c>
      <c r="T15" s="1118" t="s">
        <v>1358</v>
      </c>
      <c r="U15" s="1119">
        <f t="shared" si="1"/>
        <v>102</v>
      </c>
      <c r="V15" s="1118" t="s">
        <v>1358</v>
      </c>
      <c r="W15" s="1119">
        <f t="shared" si="2"/>
        <v>102</v>
      </c>
      <c r="X15" s="1113"/>
      <c r="Y15" s="3423"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19"/>
      <c r="Q16" s="621"/>
      <c r="R16" s="1118"/>
      <c r="S16" s="1119"/>
      <c r="T16" s="1118"/>
      <c r="U16" s="1119"/>
      <c r="V16" s="1118"/>
      <c r="W16" s="1119"/>
      <c r="X16" s="1113"/>
      <c r="Y16" s="3424"/>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9"/>
      <c r="Q17" s="621" t="str">
        <f>B17</f>
        <v>交通便捷度</v>
      </c>
      <c r="R17" s="1118" t="s">
        <v>1358</v>
      </c>
      <c r="S17" s="1119">
        <f>F17</f>
        <v>102</v>
      </c>
      <c r="T17" s="1118" t="s">
        <v>1358</v>
      </c>
      <c r="U17" s="1119">
        <f>H17</f>
        <v>102</v>
      </c>
      <c r="V17" s="1118" t="s">
        <v>1358</v>
      </c>
      <c r="W17" s="1119">
        <f>J17</f>
        <v>102</v>
      </c>
      <c r="X17" s="1113"/>
      <c r="Y17" s="3424"/>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19"/>
      <c r="Q18" s="621"/>
      <c r="R18" s="1118"/>
      <c r="S18" s="1119"/>
      <c r="T18" s="1118"/>
      <c r="U18" s="1119"/>
      <c r="V18" s="1118"/>
      <c r="W18" s="1119"/>
      <c r="X18" s="1113"/>
      <c r="Y18" s="3424"/>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9"/>
      <c r="Q19" s="621" t="str">
        <f>B19</f>
        <v>公共配套设施</v>
      </c>
      <c r="R19" s="1118" t="s">
        <v>1358</v>
      </c>
      <c r="S19" s="1119">
        <f>F19</f>
        <v>100</v>
      </c>
      <c r="T19" s="1118" t="s">
        <v>1358</v>
      </c>
      <c r="U19" s="1119">
        <f>H19</f>
        <v>100</v>
      </c>
      <c r="V19" s="1118" t="s">
        <v>1358</v>
      </c>
      <c r="W19" s="1119">
        <f>J19</f>
        <v>100</v>
      </c>
      <c r="X19" s="1113"/>
      <c r="Y19" s="3424"/>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9"/>
      <c r="Q20" s="621"/>
      <c r="R20" s="1118"/>
      <c r="S20" s="1119"/>
      <c r="T20" s="1118"/>
      <c r="U20" s="1119"/>
      <c r="V20" s="1118"/>
      <c r="W20" s="1119"/>
      <c r="X20" s="1113"/>
      <c r="Y20" s="3424"/>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9"/>
      <c r="Q21" s="621" t="str">
        <f>B21</f>
        <v>基础设施水平</v>
      </c>
      <c r="R21" s="1118" t="s">
        <v>1358</v>
      </c>
      <c r="S21" s="1119">
        <f>F21</f>
        <v>100</v>
      </c>
      <c r="T21" s="1118" t="s">
        <v>1358</v>
      </c>
      <c r="U21" s="1119">
        <f>H21</f>
        <v>100</v>
      </c>
      <c r="V21" s="1118" t="s">
        <v>1358</v>
      </c>
      <c r="W21" s="1119">
        <f>J21</f>
        <v>100</v>
      </c>
      <c r="X21" s="1113"/>
      <c r="Y21" s="3424"/>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9"/>
      <c r="Q22" s="621"/>
      <c r="R22" s="1118"/>
      <c r="S22" s="1119"/>
      <c r="T22" s="1118"/>
      <c r="U22" s="1119"/>
      <c r="V22" s="1118"/>
      <c r="W22" s="1119"/>
      <c r="X22" s="1113"/>
      <c r="Y22" s="3424"/>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9"/>
      <c r="Q23" s="621" t="str">
        <f>B23</f>
        <v>自然及人文环境</v>
      </c>
      <c r="R23" s="1118" t="s">
        <v>1358</v>
      </c>
      <c r="S23" s="1119">
        <f>F23</f>
        <v>100</v>
      </c>
      <c r="T23" s="1118" t="s">
        <v>1358</v>
      </c>
      <c r="U23" s="1119">
        <f>H23</f>
        <v>100</v>
      </c>
      <c r="V23" s="1118" t="s">
        <v>1358</v>
      </c>
      <c r="W23" s="1119">
        <f>J23</f>
        <v>100</v>
      </c>
      <c r="X23" s="1113"/>
      <c r="Y23" s="3424"/>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9"/>
      <c r="Q24" s="621"/>
      <c r="R24" s="1118"/>
      <c r="S24" s="1119"/>
      <c r="T24" s="1118"/>
      <c r="U24" s="1119"/>
      <c r="V24" s="1118"/>
      <c r="W24" s="1119"/>
      <c r="X24" s="1113"/>
      <c r="Y24" s="3424"/>
      <c r="Z24" s="1102"/>
      <c r="AA24" s="1102">
        <v>1</v>
      </c>
      <c r="AB24" s="1102">
        <v>1</v>
      </c>
      <c r="AC24" s="1102">
        <v>1</v>
      </c>
    </row>
    <row r="25" spans="1:29" ht="15">
      <c r="A25" s="943"/>
      <c r="B25" s="3194" t="s">
        <v>1606</v>
      </c>
      <c r="C25" s="976" t="s">
        <v>2863</v>
      </c>
      <c r="D25" s="755">
        <v>100</v>
      </c>
      <c r="E25" s="976" t="s">
        <v>2861</v>
      </c>
      <c r="F25" s="1097">
        <f>SUMIF(86:86,E25,87:87)-SUMIF(86:86,C25,87:87)+100</f>
        <v>102</v>
      </c>
      <c r="G25" s="976" t="s">
        <v>2861</v>
      </c>
      <c r="H25" s="755">
        <f>SUMIF(86:86,G25,87:87)-SUMIF(86:86,C25,87:87)+100</f>
        <v>102</v>
      </c>
      <c r="I25" s="976" t="s">
        <v>2861</v>
      </c>
      <c r="J25" s="755">
        <f>SUMIF(86:86,I25,87:87)-SUMIF(86:86,C25,87:87)+100</f>
        <v>102</v>
      </c>
      <c r="K25" s="1088">
        <v>2</v>
      </c>
      <c r="L25" s="1081"/>
      <c r="M25" s="1015"/>
      <c r="N25" s="1015"/>
      <c r="O25" s="1015"/>
      <c r="P25" s="3419"/>
      <c r="Q25" s="621" t="str">
        <f t="shared" ref="Q25:Q46" si="11">B25</f>
        <v>临街状况</v>
      </c>
      <c r="R25" s="1118" t="s">
        <v>1358</v>
      </c>
      <c r="S25" s="1119">
        <f>F25</f>
        <v>102</v>
      </c>
      <c r="T25" s="1118" t="s">
        <v>1358</v>
      </c>
      <c r="U25" s="1119">
        <f>H25</f>
        <v>102</v>
      </c>
      <c r="V25" s="1118" t="s">
        <v>1358</v>
      </c>
      <c r="W25" s="1119">
        <f>J25</f>
        <v>102</v>
      </c>
      <c r="X25" s="1113"/>
      <c r="Y25" s="3424"/>
      <c r="Z25" s="1102" t="str">
        <f>Q25</f>
        <v>临街状况</v>
      </c>
      <c r="AA25" s="1102">
        <f t="shared" si="3"/>
        <v>0.98039215686274506</v>
      </c>
      <c r="AB25" s="1102">
        <f t="shared" si="4"/>
        <v>0.98039215686274506</v>
      </c>
      <c r="AC25" s="1102">
        <f t="shared" si="5"/>
        <v>0.98039215686274506</v>
      </c>
    </row>
    <row r="26" spans="1:29" ht="15">
      <c r="A26" s="943"/>
      <c r="B26" s="1177" t="s">
        <v>1607</v>
      </c>
      <c r="C26" s="3193" t="s">
        <v>2865</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19"/>
      <c r="Q26" s="621" t="str">
        <f t="shared" si="11"/>
        <v>平面位置/可视性</v>
      </c>
      <c r="R26" s="1118" t="s">
        <v>1358</v>
      </c>
      <c r="S26" s="1119">
        <f>F26</f>
        <v>100</v>
      </c>
      <c r="T26" s="1118" t="s">
        <v>1358</v>
      </c>
      <c r="U26" s="1119">
        <f>H26</f>
        <v>100</v>
      </c>
      <c r="V26" s="1118" t="s">
        <v>1358</v>
      </c>
      <c r="W26" s="1119">
        <f>J26</f>
        <v>100</v>
      </c>
      <c r="X26" s="1113"/>
      <c r="Y26" s="3424"/>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19"/>
      <c r="Q27" s="790" t="str">
        <f t="shared" si="11"/>
        <v>人流量</v>
      </c>
      <c r="R27" s="1114" t="s">
        <v>1358</v>
      </c>
      <c r="S27" s="1115">
        <f>F27</f>
        <v>100</v>
      </c>
      <c r="T27" s="1114" t="s">
        <v>1358</v>
      </c>
      <c r="U27" s="1115">
        <f>H27</f>
        <v>100</v>
      </c>
      <c r="V27" s="1114" t="s">
        <v>1358</v>
      </c>
      <c r="W27" s="1115">
        <f>J27</f>
        <v>100</v>
      </c>
      <c r="X27" s="1116"/>
      <c r="Y27" s="3424"/>
      <c r="Z27" s="1126" t="str">
        <f>Q27</f>
        <v>人流量</v>
      </c>
      <c r="AA27" s="1102">
        <f t="shared" si="3"/>
        <v>1</v>
      </c>
      <c r="AB27" s="1102">
        <f t="shared" si="4"/>
        <v>1</v>
      </c>
      <c r="AC27" s="1102">
        <f t="shared" si="5"/>
        <v>1</v>
      </c>
    </row>
    <row r="28" spans="1:29" ht="15">
      <c r="A28" s="943"/>
      <c r="B28" s="940" t="s">
        <v>1378</v>
      </c>
      <c r="C28" s="976" t="s">
        <v>2830</v>
      </c>
      <c r="D28" s="755">
        <v>100</v>
      </c>
      <c r="E28" s="976" t="s">
        <v>2830</v>
      </c>
      <c r="F28" s="1097">
        <f>SUMIF(92:92,E28,93:93)-SUMIF(92:92,C28,93:93)+100</f>
        <v>100</v>
      </c>
      <c r="G28" s="976" t="s">
        <v>2830</v>
      </c>
      <c r="H28" s="755">
        <f>SUMIF(92:92,G28,93:93)-SUMIF(92:92,C28,93:93)+100</f>
        <v>100</v>
      </c>
      <c r="I28" s="976" t="s">
        <v>2830</v>
      </c>
      <c r="J28" s="755">
        <f>SUMIF(92:92,I28,93:93)-SUMIF(92:92,C28,93:93)+100</f>
        <v>100</v>
      </c>
      <c r="K28" s="1087"/>
      <c r="L28" s="1081"/>
      <c r="M28" s="1015"/>
      <c r="N28" s="1015"/>
      <c r="O28" s="1015"/>
      <c r="P28" s="3419"/>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24"/>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9"/>
      <c r="Q29" s="621">
        <f t="shared" si="11"/>
        <v>111</v>
      </c>
      <c r="R29" s="1118" t="s">
        <v>1358</v>
      </c>
      <c r="S29" s="1119">
        <f t="shared" si="12"/>
        <v>100</v>
      </c>
      <c r="T29" s="1118" t="s">
        <v>1358</v>
      </c>
      <c r="U29" s="1119">
        <f t="shared" si="13"/>
        <v>100</v>
      </c>
      <c r="V29" s="1118" t="s">
        <v>1358</v>
      </c>
      <c r="W29" s="1119">
        <f t="shared" si="14"/>
        <v>100</v>
      </c>
      <c r="X29" s="1113"/>
      <c r="Y29" s="3424"/>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9"/>
      <c r="Q30" s="621">
        <f t="shared" si="11"/>
        <v>111</v>
      </c>
      <c r="R30" s="1118" t="s">
        <v>1358</v>
      </c>
      <c r="S30" s="1119">
        <f t="shared" si="12"/>
        <v>100</v>
      </c>
      <c r="T30" s="1118" t="s">
        <v>1358</v>
      </c>
      <c r="U30" s="1119">
        <f t="shared" si="13"/>
        <v>100</v>
      </c>
      <c r="V30" s="1118" t="s">
        <v>1358</v>
      </c>
      <c r="W30" s="1119">
        <f t="shared" si="14"/>
        <v>100</v>
      </c>
      <c r="X30" s="1113"/>
      <c r="Y30" s="3424"/>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9"/>
      <c r="Q31" s="621">
        <f t="shared" si="11"/>
        <v>111</v>
      </c>
      <c r="R31" s="1118" t="s">
        <v>1358</v>
      </c>
      <c r="S31" s="1119">
        <f t="shared" si="12"/>
        <v>100</v>
      </c>
      <c r="T31" s="1118" t="s">
        <v>1358</v>
      </c>
      <c r="U31" s="1119">
        <f t="shared" si="13"/>
        <v>100</v>
      </c>
      <c r="V31" s="1118" t="s">
        <v>1358</v>
      </c>
      <c r="W31" s="1119">
        <f t="shared" si="14"/>
        <v>100</v>
      </c>
      <c r="X31" s="1113"/>
      <c r="Y31" s="3424"/>
      <c r="Z31" s="1102">
        <f t="shared" si="15"/>
        <v>111</v>
      </c>
      <c r="AA31" s="1102">
        <f t="shared" si="3"/>
        <v>1</v>
      </c>
      <c r="AB31" s="1102">
        <f t="shared" si="4"/>
        <v>1</v>
      </c>
      <c r="AC31" s="1102">
        <f t="shared" si="5"/>
        <v>1</v>
      </c>
    </row>
    <row r="32" spans="1:29" ht="15">
      <c r="A32" s="956" t="s">
        <v>1381</v>
      </c>
      <c r="B32" s="936" t="s">
        <v>1609</v>
      </c>
      <c r="C32" s="1283" t="s">
        <v>2839</v>
      </c>
      <c r="D32" s="920">
        <v>100</v>
      </c>
      <c r="E32" s="1283" t="s">
        <v>2839</v>
      </c>
      <c r="F32" s="1097">
        <f>SUMIF(100:100,E32,101:101)-SUMIF(100:100,C32,101:101)+100</f>
        <v>100</v>
      </c>
      <c r="G32" s="1283" t="s">
        <v>2839</v>
      </c>
      <c r="H32" s="755">
        <f>SUMIF(100:100,G32,101:101)-SUMIF(100:100,C32,101:101)+100</f>
        <v>100</v>
      </c>
      <c r="I32" s="1283" t="s">
        <v>2839</v>
      </c>
      <c r="J32" s="920">
        <f>SUMIF(100:100,I32,101:101)-SUMIF(100:100,C32,101:101)+100</f>
        <v>100</v>
      </c>
      <c r="K32" s="1088">
        <v>3</v>
      </c>
      <c r="L32" s="1081"/>
      <c r="M32" s="1015"/>
      <c r="N32" s="1015"/>
      <c r="O32" s="1015"/>
      <c r="P32" s="3420" t="s">
        <v>1384</v>
      </c>
      <c r="Q32" s="621" t="str">
        <f t="shared" si="11"/>
        <v>商业类型</v>
      </c>
      <c r="R32" s="1118" t="s">
        <v>1358</v>
      </c>
      <c r="S32" s="1119">
        <f t="shared" si="12"/>
        <v>100</v>
      </c>
      <c r="T32" s="1118" t="s">
        <v>1358</v>
      </c>
      <c r="U32" s="1119">
        <f t="shared" si="13"/>
        <v>100</v>
      </c>
      <c r="V32" s="1118" t="s">
        <v>1358</v>
      </c>
      <c r="W32" s="1119">
        <f t="shared" si="14"/>
        <v>100</v>
      </c>
      <c r="X32" s="1113"/>
      <c r="Y32" s="3425" t="s">
        <v>1384</v>
      </c>
      <c r="Z32" s="1102" t="str">
        <f t="shared" si="15"/>
        <v>商业类型</v>
      </c>
      <c r="AA32" s="1102">
        <f t="shared" si="3"/>
        <v>1</v>
      </c>
      <c r="AB32" s="1102">
        <f t="shared" si="4"/>
        <v>1</v>
      </c>
      <c r="AC32" s="1102">
        <f t="shared" si="5"/>
        <v>1</v>
      </c>
    </row>
    <row r="33" spans="1:29" s="901" customFormat="1" ht="15">
      <c r="A33" s="996"/>
      <c r="B33" s="3194" t="s">
        <v>1385</v>
      </c>
      <c r="C33" s="945">
        <f>'数据-基础表'!I13</f>
        <v>355.32</v>
      </c>
      <c r="D33" s="942">
        <v>100</v>
      </c>
      <c r="E33" s="945">
        <v>93.81</v>
      </c>
      <c r="F33" s="940">
        <f>LOOKUP(E33,103:103,104:104)-LOOKUP(C33,103:103,104:104)+100</f>
        <v>102</v>
      </c>
      <c r="G33" s="944">
        <v>126.85</v>
      </c>
      <c r="H33" s="942">
        <f>LOOKUP(G33,103:103,104:104)-LOOKUP(C33,103:103,104:104)+100</f>
        <v>102</v>
      </c>
      <c r="I33" s="944">
        <v>105.19</v>
      </c>
      <c r="J33" s="942">
        <f>LOOKUP(I33,103:103,104:104)-LOOKUP(C33,103:103,104:104)+100</f>
        <v>102</v>
      </c>
      <c r="K33" s="1087"/>
      <c r="L33" s="1079"/>
      <c r="M33" s="1089"/>
      <c r="N33" s="1089"/>
      <c r="O33" s="1089"/>
      <c r="P33" s="3421"/>
      <c r="Q33" s="1308" t="str">
        <f t="shared" si="11"/>
        <v>项目建筑规模</v>
      </c>
      <c r="R33" s="1120" t="s">
        <v>1358</v>
      </c>
      <c r="S33" s="1121">
        <f t="shared" si="12"/>
        <v>102</v>
      </c>
      <c r="T33" s="1120" t="s">
        <v>1358</v>
      </c>
      <c r="U33" s="1121">
        <f t="shared" si="13"/>
        <v>102</v>
      </c>
      <c r="V33" s="1120" t="s">
        <v>1358</v>
      </c>
      <c r="W33" s="1121">
        <f t="shared" si="14"/>
        <v>102</v>
      </c>
      <c r="X33" s="1122"/>
      <c r="Y33" s="3425"/>
      <c r="Z33" s="1127" t="str">
        <f t="shared" si="15"/>
        <v>项目建筑规模</v>
      </c>
      <c r="AA33" s="1102">
        <f t="shared" si="3"/>
        <v>0.98039215686274506</v>
      </c>
      <c r="AB33" s="1102">
        <f t="shared" si="4"/>
        <v>0.98039215686274506</v>
      </c>
      <c r="AC33" s="1102">
        <f t="shared" si="5"/>
        <v>0.98039215686274506</v>
      </c>
    </row>
    <row r="34" spans="1:29" ht="15">
      <c r="A34" s="991"/>
      <c r="B34" s="940" t="s">
        <v>1386</v>
      </c>
      <c r="C34" s="1287" t="s">
        <v>1336</v>
      </c>
      <c r="D34" s="755">
        <v>100</v>
      </c>
      <c r="E34" s="1287" t="s">
        <v>1336</v>
      </c>
      <c r="F34" s="1097">
        <f>SUMIF(105:105,E34,106:106)-SUMIF(105:105,C34,106:106)+100</f>
        <v>100</v>
      </c>
      <c r="G34" s="1287" t="s">
        <v>1336</v>
      </c>
      <c r="H34" s="755">
        <f>SUMIF(105:105,G34,106:106)-SUMIF(105:105,C34,106:106)+100</f>
        <v>100</v>
      </c>
      <c r="I34" s="1287" t="s">
        <v>1336</v>
      </c>
      <c r="J34" s="755">
        <f>SUMIF(105:105,I34,106:106)-SUMIF(105:105,C34,106:106)+100</f>
        <v>100</v>
      </c>
      <c r="K34" s="1088">
        <v>2</v>
      </c>
      <c r="L34" s="1081"/>
      <c r="M34" s="1015"/>
      <c r="N34" s="1015"/>
      <c r="O34" s="1015"/>
      <c r="P34" s="3421"/>
      <c r="Q34" s="621" t="str">
        <f t="shared" si="11"/>
        <v>建筑结构</v>
      </c>
      <c r="R34" s="1118" t="s">
        <v>1358</v>
      </c>
      <c r="S34" s="1119">
        <f t="shared" si="12"/>
        <v>100</v>
      </c>
      <c r="T34" s="1118" t="s">
        <v>1358</v>
      </c>
      <c r="U34" s="1119">
        <f t="shared" si="13"/>
        <v>100</v>
      </c>
      <c r="V34" s="1118" t="s">
        <v>1358</v>
      </c>
      <c r="W34" s="1119">
        <f t="shared" si="14"/>
        <v>100</v>
      </c>
      <c r="X34" s="1113"/>
      <c r="Y34" s="3425"/>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21"/>
      <c r="Q35" s="621" t="str">
        <f t="shared" si="11"/>
        <v>公共部分装修</v>
      </c>
      <c r="R35" s="1118" t="s">
        <v>1358</v>
      </c>
      <c r="S35" s="1119">
        <f t="shared" si="12"/>
        <v>100</v>
      </c>
      <c r="T35" s="1118" t="s">
        <v>1358</v>
      </c>
      <c r="U35" s="1119">
        <f t="shared" si="13"/>
        <v>100</v>
      </c>
      <c r="V35" s="1118" t="s">
        <v>1358</v>
      </c>
      <c r="W35" s="1119">
        <f t="shared" si="14"/>
        <v>100</v>
      </c>
      <c r="X35" s="1113"/>
      <c r="Y35" s="3425"/>
      <c r="Z35" s="1102" t="str">
        <f t="shared" si="15"/>
        <v>公共部分装修</v>
      </c>
      <c r="AA35" s="1102">
        <f t="shared" si="3"/>
        <v>1</v>
      </c>
      <c r="AB35" s="1102">
        <f t="shared" si="4"/>
        <v>1</v>
      </c>
      <c r="AC35" s="1102">
        <f t="shared" si="5"/>
        <v>1</v>
      </c>
    </row>
    <row r="36" spans="1:29" ht="15">
      <c r="A36" s="991"/>
      <c r="B36" s="3194" t="s">
        <v>648</v>
      </c>
      <c r="C36" s="1284">
        <f>'数据-取费表'!N6</f>
        <v>0.83</v>
      </c>
      <c r="D36" s="755">
        <v>100</v>
      </c>
      <c r="E36" s="1284">
        <f>1-(2025-2006)/60</f>
        <v>0.68333333333333335</v>
      </c>
      <c r="F36" s="1097">
        <f>LOOKUP(E36,110:110,111:111)-LOOKUP(C36,110:110,111:111)+100</f>
        <v>96</v>
      </c>
      <c r="G36" s="1284">
        <f>1-(2025-2005)/60</f>
        <v>0.66666666666666674</v>
      </c>
      <c r="H36" s="1097">
        <f>LOOKUP(G36,110:110,111:111)-LOOKUP(C36,110:110,111:111)+100</f>
        <v>96</v>
      </c>
      <c r="I36" s="1284">
        <f>1-(2025-2012)/60</f>
        <v>0.78333333333333333</v>
      </c>
      <c r="J36" s="755">
        <f>LOOKUP(I36,110:110,111:111)-LOOKUP(C36,110:110,111:111)+100</f>
        <v>98</v>
      </c>
      <c r="K36" s="1088">
        <v>2</v>
      </c>
      <c r="L36" s="1081"/>
      <c r="M36" s="1015"/>
      <c r="N36" s="1015"/>
      <c r="O36" s="1015"/>
      <c r="P36" s="3421"/>
      <c r="Q36" s="621" t="str">
        <f t="shared" si="11"/>
        <v>成新度</v>
      </c>
      <c r="R36" s="1118" t="s">
        <v>1358</v>
      </c>
      <c r="S36" s="1119">
        <f t="shared" si="12"/>
        <v>96</v>
      </c>
      <c r="T36" s="1118" t="s">
        <v>1358</v>
      </c>
      <c r="U36" s="1119">
        <f t="shared" si="13"/>
        <v>96</v>
      </c>
      <c r="V36" s="1118" t="s">
        <v>1358</v>
      </c>
      <c r="W36" s="1119">
        <f t="shared" si="14"/>
        <v>98</v>
      </c>
      <c r="X36" s="1113"/>
      <c r="Y36" s="3425"/>
      <c r="Z36" s="1102" t="str">
        <f t="shared" si="15"/>
        <v>成新度</v>
      </c>
      <c r="AA36" s="1102">
        <f t="shared" si="3"/>
        <v>1.0416666666666667</v>
      </c>
      <c r="AB36" s="1102">
        <f t="shared" si="4"/>
        <v>1.0416666666666667</v>
      </c>
      <c r="AC36" s="1102">
        <f t="shared" si="5"/>
        <v>1.0204081632653061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21"/>
      <c r="Q37" s="790" t="str">
        <f t="shared" si="11"/>
        <v>市政基础设施</v>
      </c>
      <c r="R37" s="1114" t="s">
        <v>1358</v>
      </c>
      <c r="S37" s="1115">
        <f t="shared" si="12"/>
        <v>100</v>
      </c>
      <c r="T37" s="1114" t="s">
        <v>1358</v>
      </c>
      <c r="U37" s="1115">
        <f t="shared" si="13"/>
        <v>100</v>
      </c>
      <c r="V37" s="1114" t="s">
        <v>1358</v>
      </c>
      <c r="W37" s="1115">
        <f t="shared" si="14"/>
        <v>100</v>
      </c>
      <c r="X37" s="1116"/>
      <c r="Y37" s="3425"/>
      <c r="Z37" s="1126" t="str">
        <f t="shared" si="15"/>
        <v>市政基础设施</v>
      </c>
      <c r="AA37" s="1126">
        <f t="shared" si="3"/>
        <v>1</v>
      </c>
      <c r="AB37" s="1126">
        <f t="shared" si="4"/>
        <v>1</v>
      </c>
      <c r="AC37" s="1126">
        <f t="shared" si="5"/>
        <v>1</v>
      </c>
    </row>
    <row r="38" spans="1:29" ht="15">
      <c r="A38" s="991"/>
      <c r="B38" s="940" t="s">
        <v>1610</v>
      </c>
      <c r="C38" s="992" t="s">
        <v>2841</v>
      </c>
      <c r="D38" s="755">
        <v>100</v>
      </c>
      <c r="E38" s="992" t="s">
        <v>2841</v>
      </c>
      <c r="F38" s="1097">
        <f>SUMIF(114:114,E38,115:115)-SUMIF(114:114,C38,115:115)+100</f>
        <v>100</v>
      </c>
      <c r="G38" s="992" t="s">
        <v>2841</v>
      </c>
      <c r="H38" s="755">
        <f>SUMIF(114:114,G38,115:115)-SUMIF(114:114,C38,115:115)+100</f>
        <v>100</v>
      </c>
      <c r="I38" s="992" t="s">
        <v>2841</v>
      </c>
      <c r="J38" s="755">
        <f>SUMIF(114:114,I38,115:115)-SUMIF(114:114,C38,115:115)+100</f>
        <v>100</v>
      </c>
      <c r="K38" s="1088">
        <v>2</v>
      </c>
      <c r="L38" s="1081"/>
      <c r="M38" s="1015"/>
      <c r="N38" s="1015"/>
      <c r="O38" s="1015"/>
      <c r="P38" s="3421" t="s">
        <v>1384</v>
      </c>
      <c r="Q38" s="621" t="str">
        <f t="shared" si="11"/>
        <v>业态</v>
      </c>
      <c r="R38" s="1118" t="s">
        <v>1358</v>
      </c>
      <c r="S38" s="1119">
        <f t="shared" si="12"/>
        <v>100</v>
      </c>
      <c r="T38" s="1118" t="s">
        <v>1358</v>
      </c>
      <c r="U38" s="1119">
        <f t="shared" si="13"/>
        <v>100</v>
      </c>
      <c r="V38" s="1118" t="s">
        <v>1358</v>
      </c>
      <c r="W38" s="1119">
        <f t="shared" si="14"/>
        <v>100</v>
      </c>
      <c r="X38" s="1113"/>
      <c r="Y38" s="3425"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21"/>
      <c r="Q39" s="621" t="str">
        <f t="shared" si="11"/>
        <v>层高</v>
      </c>
      <c r="R39" s="1118" t="s">
        <v>1358</v>
      </c>
      <c r="S39" s="1119">
        <f t="shared" si="12"/>
        <v>100</v>
      </c>
      <c r="T39" s="1118" t="s">
        <v>1358</v>
      </c>
      <c r="U39" s="1119">
        <f t="shared" si="13"/>
        <v>100</v>
      </c>
      <c r="V39" s="1118" t="s">
        <v>1358</v>
      </c>
      <c r="W39" s="1119">
        <f t="shared" si="14"/>
        <v>100</v>
      </c>
      <c r="X39" s="1113"/>
      <c r="Y39" s="3425"/>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21"/>
      <c r="Q40" s="621" t="str">
        <f t="shared" si="11"/>
        <v>单套建筑面积</v>
      </c>
      <c r="R40" s="1118" t="s">
        <v>1358</v>
      </c>
      <c r="S40" s="1119">
        <f t="shared" si="12"/>
        <v>100</v>
      </c>
      <c r="T40" s="1118" t="s">
        <v>1358</v>
      </c>
      <c r="U40" s="1119">
        <f t="shared" si="13"/>
        <v>100</v>
      </c>
      <c r="V40" s="1118" t="s">
        <v>1358</v>
      </c>
      <c r="W40" s="1119">
        <f t="shared" si="14"/>
        <v>100</v>
      </c>
      <c r="X40" s="1113"/>
      <c r="Y40" s="3425"/>
      <c r="Z40" s="1102" t="str">
        <f t="shared" si="15"/>
        <v>单套建筑面积</v>
      </c>
      <c r="AA40" s="1102">
        <f t="shared" si="3"/>
        <v>1</v>
      </c>
      <c r="AB40" s="1102">
        <f t="shared" si="4"/>
        <v>1</v>
      </c>
      <c r="AC40" s="1102">
        <f t="shared" si="5"/>
        <v>1</v>
      </c>
    </row>
    <row r="41" spans="1:29" s="901" customFormat="1" ht="15">
      <c r="A41" s="996"/>
      <c r="B41" s="1097" t="s">
        <v>1611</v>
      </c>
      <c r="C41" s="976" t="s">
        <v>2842</v>
      </c>
      <c r="D41" s="755">
        <v>100</v>
      </c>
      <c r="E41" s="976" t="s">
        <v>2842</v>
      </c>
      <c r="F41" s="1097">
        <f>SUMIF(120:120,E41,121:121)-SUMIF(120:120,C41,121:121)+100</f>
        <v>100</v>
      </c>
      <c r="G41" s="976" t="s">
        <v>2842</v>
      </c>
      <c r="H41" s="755">
        <f>SUMIF(120:120,G41,121:121)-SUMIF(120:120,C41,121:121)+100</f>
        <v>100</v>
      </c>
      <c r="I41" s="976" t="s">
        <v>2842</v>
      </c>
      <c r="J41" s="755">
        <f>SUMIF(120:120,I41,121:121)-SUMIF(120:120,C41,121:121)+100</f>
        <v>100</v>
      </c>
      <c r="K41" s="1088">
        <v>2</v>
      </c>
      <c r="L41" s="1079"/>
      <c r="M41" s="1089"/>
      <c r="N41" s="1089"/>
      <c r="O41" s="1089"/>
      <c r="P41" s="3421"/>
      <c r="Q41" s="1308" t="str">
        <f t="shared" si="11"/>
        <v>进深比</v>
      </c>
      <c r="R41" s="1120" t="s">
        <v>1358</v>
      </c>
      <c r="S41" s="1121">
        <f t="shared" si="12"/>
        <v>100</v>
      </c>
      <c r="T41" s="1120" t="s">
        <v>1358</v>
      </c>
      <c r="U41" s="1121">
        <f t="shared" si="13"/>
        <v>100</v>
      </c>
      <c r="V41" s="1120" t="s">
        <v>1358</v>
      </c>
      <c r="W41" s="1121">
        <f t="shared" si="14"/>
        <v>100</v>
      </c>
      <c r="X41" s="1122"/>
      <c r="Y41" s="3425"/>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21"/>
      <c r="Q42" s="621" t="str">
        <f t="shared" si="11"/>
        <v>内部装修</v>
      </c>
      <c r="R42" s="1118" t="s">
        <v>1358</v>
      </c>
      <c r="S42" s="1119">
        <f t="shared" si="12"/>
        <v>100</v>
      </c>
      <c r="T42" s="1118" t="s">
        <v>1358</v>
      </c>
      <c r="U42" s="1119">
        <f t="shared" si="13"/>
        <v>98</v>
      </c>
      <c r="V42" s="1118" t="s">
        <v>1358</v>
      </c>
      <c r="W42" s="1119">
        <f t="shared" si="14"/>
        <v>100</v>
      </c>
      <c r="X42" s="1113"/>
      <c r="Y42" s="3425"/>
      <c r="Z42" s="1102" t="str">
        <f t="shared" si="15"/>
        <v>内部装修</v>
      </c>
      <c r="AA42" s="1102">
        <f t="shared" si="3"/>
        <v>1</v>
      </c>
      <c r="AB42" s="1102">
        <f t="shared" si="4"/>
        <v>1.0204081632653061</v>
      </c>
      <c r="AC42" s="1102">
        <f t="shared" si="5"/>
        <v>1</v>
      </c>
    </row>
    <row r="43" spans="1:29" ht="29.4" thickBot="1">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21"/>
      <c r="Q43" s="621" t="str">
        <f t="shared" si="11"/>
        <v>内部装修维护情况</v>
      </c>
      <c r="R43" s="1118" t="s">
        <v>1358</v>
      </c>
      <c r="S43" s="1119">
        <f t="shared" si="12"/>
        <v>100</v>
      </c>
      <c r="T43" s="1118" t="s">
        <v>1358</v>
      </c>
      <c r="U43" s="1119">
        <f t="shared" si="13"/>
        <v>100</v>
      </c>
      <c r="V43" s="1118" t="s">
        <v>1358</v>
      </c>
      <c r="W43" s="1119">
        <f t="shared" si="14"/>
        <v>100</v>
      </c>
      <c r="X43" s="1113"/>
      <c r="Y43" s="3425"/>
      <c r="Z43" s="1102" t="str">
        <f t="shared" si="15"/>
        <v>内部装修维护情况</v>
      </c>
      <c r="AA43" s="1102">
        <f t="shared" si="3"/>
        <v>1</v>
      </c>
      <c r="AB43" s="1102">
        <f t="shared" si="4"/>
        <v>1</v>
      </c>
      <c r="AC43" s="1102">
        <f t="shared" si="5"/>
        <v>1</v>
      </c>
    </row>
    <row r="44" spans="1:29" s="899" customFormat="1" ht="15.6" thickTop="1">
      <c r="A44" s="993"/>
      <c r="B44" s="3195" t="s">
        <v>2869</v>
      </c>
      <c r="C44" s="1278" t="s">
        <v>2870</v>
      </c>
      <c r="D44" s="942">
        <v>100</v>
      </c>
      <c r="E44" s="1156" t="s">
        <v>2872</v>
      </c>
      <c r="F44" s="940">
        <f>SUMIF(126:126,E44,127:127)-SUMIF(126:126,C44,127:127)+100</f>
        <v>106</v>
      </c>
      <c r="G44" s="1156" t="s">
        <v>2872</v>
      </c>
      <c r="H44" s="942">
        <f>SUMIF(126:126,G44,127:127)-SUMIF(126:126,C44,127:127)+100</f>
        <v>106</v>
      </c>
      <c r="I44" s="1156" t="s">
        <v>2872</v>
      </c>
      <c r="J44" s="942">
        <f>SUMIF(126:126,I44,127:127)-SUMIF(126:126,C44,127:127)+100</f>
        <v>106</v>
      </c>
      <c r="K44" s="1087"/>
      <c r="L44" s="1070"/>
      <c r="M44" s="1071"/>
      <c r="N44" s="1071"/>
      <c r="O44" s="1071"/>
      <c r="P44" s="3421"/>
      <c r="Q44" s="790" t="str">
        <f t="shared" si="11"/>
        <v>套内占比</v>
      </c>
      <c r="R44" s="1114" t="s">
        <v>1358</v>
      </c>
      <c r="S44" s="1115">
        <f t="shared" si="12"/>
        <v>106</v>
      </c>
      <c r="T44" s="1114" t="s">
        <v>1358</v>
      </c>
      <c r="U44" s="1115">
        <f t="shared" si="13"/>
        <v>106</v>
      </c>
      <c r="V44" s="1114" t="s">
        <v>1358</v>
      </c>
      <c r="W44" s="1115">
        <f t="shared" si="14"/>
        <v>106</v>
      </c>
      <c r="X44" s="1116"/>
      <c r="Y44" s="3425"/>
      <c r="Z44" s="1126" t="str">
        <f t="shared" si="15"/>
        <v>套内占比</v>
      </c>
      <c r="AA44" s="1126">
        <f t="shared" si="3"/>
        <v>0.94339622641509435</v>
      </c>
      <c r="AB44" s="1126">
        <f t="shared" si="4"/>
        <v>0.94339622641509435</v>
      </c>
      <c r="AC44" s="1126">
        <f t="shared" si="5"/>
        <v>0.94339622641509435</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21"/>
      <c r="Q45" s="621">
        <f t="shared" si="11"/>
        <v>111</v>
      </c>
      <c r="R45" s="1118" t="s">
        <v>1358</v>
      </c>
      <c r="S45" s="1119">
        <f t="shared" si="12"/>
        <v>100</v>
      </c>
      <c r="T45" s="1118" t="s">
        <v>1358</v>
      </c>
      <c r="U45" s="1119">
        <f t="shared" si="13"/>
        <v>100</v>
      </c>
      <c r="V45" s="1118" t="s">
        <v>1358</v>
      </c>
      <c r="W45" s="1119">
        <f t="shared" si="14"/>
        <v>100</v>
      </c>
      <c r="X45" s="1113"/>
      <c r="Y45" s="3425"/>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22"/>
      <c r="Q46" s="621">
        <f t="shared" si="11"/>
        <v>111</v>
      </c>
      <c r="R46" s="1118" t="s">
        <v>1358</v>
      </c>
      <c r="S46" s="1119">
        <f t="shared" si="12"/>
        <v>100</v>
      </c>
      <c r="T46" s="1118" t="s">
        <v>1358</v>
      </c>
      <c r="U46" s="1119">
        <f t="shared" si="13"/>
        <v>100</v>
      </c>
      <c r="V46" s="1118" t="s">
        <v>1358</v>
      </c>
      <c r="W46" s="1119">
        <f t="shared" si="14"/>
        <v>100</v>
      </c>
      <c r="X46" s="1113"/>
      <c r="Y46" s="3426"/>
      <c r="Z46" s="1102">
        <f t="shared" si="15"/>
        <v>111</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411" t="str">
        <f>A47</f>
        <v>成交单价（元/平方米）</v>
      </c>
      <c r="Q47" s="3411"/>
      <c r="R47" s="3409">
        <f>E47</f>
        <v>33579</v>
      </c>
      <c r="S47" s="3409"/>
      <c r="T47" s="3409">
        <f>G47</f>
        <v>35081</v>
      </c>
      <c r="U47" s="3409"/>
      <c r="V47" s="3409">
        <f>I47</f>
        <v>33274</v>
      </c>
      <c r="W47" s="3409"/>
      <c r="X47" s="1055"/>
      <c r="Y47" s="1128"/>
      <c r="Z47" s="1055"/>
      <c r="AA47" s="1055"/>
      <c r="AB47" s="1055"/>
      <c r="AC47" s="1055"/>
    </row>
    <row r="48" spans="1:29" ht="14.4">
      <c r="A48" s="1006" t="s">
        <v>1401</v>
      </c>
      <c r="B48" s="1293"/>
      <c r="C48" s="1294">
        <f>R49</f>
        <v>31337</v>
      </c>
      <c r="D48" s="1009" t="s">
        <v>1402</v>
      </c>
      <c r="E48" s="1295">
        <f>R48</f>
        <v>31461</v>
      </c>
      <c r="F48" s="1010"/>
      <c r="G48" s="1294">
        <f>T48</f>
        <v>33539</v>
      </c>
      <c r="H48" s="1010"/>
      <c r="I48" s="1295">
        <f>V48</f>
        <v>29012</v>
      </c>
      <c r="J48" s="1010"/>
      <c r="K48" s="1095">
        <f>F48+H48+J48</f>
        <v>0</v>
      </c>
      <c r="L48" s="1094"/>
      <c r="M48" s="1015"/>
      <c r="N48" s="1015"/>
      <c r="O48" s="1015"/>
      <c r="P48" s="3411" t="str">
        <f>A48</f>
        <v>比较价值（元/平方米）</v>
      </c>
      <c r="Q48" s="3411"/>
      <c r="R48" s="3409">
        <f>IF(F1="售价",ROUND(PRODUCT(R47,AA7:AA46),0),ROUND(PRODUCT(R47,AA7:AA46),1))</f>
        <v>31461</v>
      </c>
      <c r="S48" s="3409"/>
      <c r="T48" s="3409">
        <f>IF(F1="售价",ROUND(PRODUCT(T47,AB7:AB46),0),ROUND(PRODUCT(T47,AB7:AB46),1))</f>
        <v>33539</v>
      </c>
      <c r="U48" s="3409"/>
      <c r="V48" s="3409">
        <f>IF(F1="售价",ROUND(PRODUCT(V47,AC7:AC46),0),ROUND(PRODUCT(V47,AC7:AC46),1))</f>
        <v>29012</v>
      </c>
      <c r="W48" s="3409"/>
      <c r="X48" s="1055"/>
      <c r="Y48" s="1055"/>
      <c r="Z48" s="1055"/>
      <c r="AA48" s="1055"/>
      <c r="AB48" s="1055"/>
      <c r="AC48" s="1055"/>
    </row>
    <row r="49" spans="1:29" ht="14.4">
      <c r="A49" s="1012" t="s">
        <v>1403</v>
      </c>
      <c r="B49" s="1013"/>
      <c r="C49" s="925">
        <f>R49</f>
        <v>31337</v>
      </c>
      <c r="D49" s="925"/>
      <c r="E49" s="925"/>
      <c r="F49" s="925"/>
      <c r="G49" s="925"/>
      <c r="H49" s="925"/>
      <c r="I49" s="925"/>
      <c r="J49" s="925"/>
      <c r="K49" s="1096"/>
      <c r="L49" s="1094"/>
      <c r="M49" s="1015"/>
      <c r="N49" s="1015"/>
      <c r="O49" s="1015"/>
      <c r="P49" s="3445" t="str">
        <f>A49</f>
        <v>估价对象XX用房的比较价值（楼面单价，元/平方米）</v>
      </c>
      <c r="Q49" s="3446"/>
      <c r="R49" s="3447">
        <f>IF(F1="售价",ROUND(IF(D48="简单平均",AVERAGE(R48:V48),R48*F48+T48*H48+V48*J48),0),ROUND(IF(D48="简单平均",AVERAGE(R48:V48),R48*F48+T48*H48+V48*J48),1))</f>
        <v>31337</v>
      </c>
      <c r="S49" s="3447"/>
      <c r="T49" s="3447"/>
      <c r="U49" s="3447"/>
      <c r="V49" s="3447"/>
      <c r="W49" s="3447"/>
      <c r="X49" s="1055"/>
      <c r="Y49" s="1055"/>
      <c r="Z49" s="1055"/>
      <c r="AA49" s="1055"/>
      <c r="AB49" s="1055"/>
      <c r="AC49" s="1055"/>
    </row>
    <row r="50" spans="1:29">
      <c r="A50" s="1015"/>
      <c r="B50" s="1015"/>
      <c r="C50" s="1015"/>
      <c r="D50" s="1015"/>
      <c r="E50" s="1015">
        <v>2007</v>
      </c>
      <c r="F50" s="1015"/>
      <c r="G50" s="1016">
        <v>20.04</v>
      </c>
      <c r="H50" s="1015"/>
      <c r="I50" s="1015">
        <v>2011</v>
      </c>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6.7321445599313412E-2</v>
      </c>
      <c r="F52" s="1019" t="str">
        <f>IF(OR(E52&gt;=0.3,E52&lt;=-0.3),"超过30%","")</f>
        <v/>
      </c>
      <c r="G52" s="1018">
        <f>IF(G47&lt;G48,G48/G47-1,G47/G48-1)</f>
        <v>4.5976326068159379E-2</v>
      </c>
      <c r="H52" s="1019" t="str">
        <f>IF(OR(G52&gt;=0.3,G52&lt;=-0.3),"超过30%","")</f>
        <v/>
      </c>
      <c r="I52" s="1018">
        <f>IF(I47&lt;I48,I48/I47-1,I47/I48-1)</f>
        <v>0.14690472907762309</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6.6050030196115772E-2</v>
      </c>
      <c r="F53" s="1019" t="str">
        <f>IF(OR(E53&gt;=0.2,E53&lt;=-0.2),"超过20%","")</f>
        <v/>
      </c>
      <c r="G53" s="1018">
        <f>IF(G48&lt;I48,I48/G48-1,G48/I48-1)</f>
        <v>0.15603888046325665</v>
      </c>
      <c r="H53" s="1019" t="str">
        <f>IF(OR(G53&gt;=0.2,G53&lt;=-0.2),"超过20%","")</f>
        <v/>
      </c>
      <c r="I53" s="1018">
        <f>IF(I48&lt;E48,E48/I48-1,I48/E48-1)</f>
        <v>8.4413346201571704E-2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6">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4.4">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2799</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8.8">
      <c r="A65" s="943"/>
      <c r="B65" s="1148" t="s">
        <v>1366</v>
      </c>
      <c r="C65" s="1170" t="s">
        <v>2852</v>
      </c>
      <c r="D65" s="3192" t="s">
        <v>2851</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4.4">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4.4">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4.4">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4.4">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4.4">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4.4">
      <c r="A86" s="946"/>
      <c r="B86" s="1148" t="s">
        <v>1606</v>
      </c>
      <c r="C86" s="2106" t="s">
        <v>2862</v>
      </c>
      <c r="D86" s="2106" t="s">
        <v>2864</v>
      </c>
      <c r="E86" s="2106" t="s">
        <v>2860</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4.4">
      <c r="A88" s="946"/>
      <c r="B88" s="1148" t="str">
        <f>B26</f>
        <v>平面位置/可视性</v>
      </c>
      <c r="C88" s="2106" t="s">
        <v>2801</v>
      </c>
      <c r="D88" s="2106" t="s">
        <v>2802</v>
      </c>
      <c r="E88" s="2106" t="s">
        <v>2803</v>
      </c>
      <c r="F88" s="3180" t="s">
        <v>2804</v>
      </c>
      <c r="G88" s="2106" t="s">
        <v>2805</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4.4">
      <c r="A90" s="1155"/>
      <c r="B90" s="1148" t="str">
        <f>B27</f>
        <v>人流量</v>
      </c>
      <c r="C90" s="2106" t="s">
        <v>2806</v>
      </c>
      <c r="D90" s="2106" t="s">
        <v>2807</v>
      </c>
      <c r="E90" s="2106" t="s">
        <v>2803</v>
      </c>
      <c r="F90" s="2106" t="s">
        <v>2808</v>
      </c>
      <c r="G90" s="2106" t="s">
        <v>2809</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4.4">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2828</v>
      </c>
      <c r="P91" s="3181"/>
      <c r="Q91" s="1123"/>
      <c r="R91" s="1015"/>
      <c r="S91" s="1015"/>
      <c r="T91" s="1015"/>
      <c r="U91" s="1015"/>
      <c r="V91" s="1089"/>
      <c r="W91" s="1089"/>
      <c r="X91" s="1089"/>
      <c r="Y91" s="1089"/>
      <c r="Z91" s="1089"/>
      <c r="AA91" s="1089"/>
      <c r="AB91" s="1089"/>
      <c r="AC91" s="1089"/>
    </row>
    <row r="92" spans="1:29" ht="14.4">
      <c r="A92" s="943"/>
      <c r="B92" s="1148" t="str">
        <f>B28</f>
        <v>楼层</v>
      </c>
      <c r="C92" s="2106" t="s">
        <v>2846</v>
      </c>
      <c r="D92" s="1156"/>
      <c r="E92" s="1156"/>
      <c r="F92" s="1156"/>
      <c r="G92" s="1156"/>
      <c r="H92" s="1156"/>
      <c r="I92" s="1156"/>
      <c r="J92" s="1156"/>
      <c r="K92" s="1156"/>
      <c r="L92" s="1313"/>
      <c r="M92" s="1314"/>
      <c r="N92" s="3109" t="s">
        <v>2829</v>
      </c>
      <c r="O92" s="3181">
        <v>0.5</v>
      </c>
      <c r="P92" s="3181"/>
      <c r="R92" s="3182">
        <v>1</v>
      </c>
      <c r="S92" s="3183"/>
      <c r="T92" s="3184">
        <f>('数据-汇总表'!F19-T96)/4</f>
        <v>58.307499999999997</v>
      </c>
      <c r="U92" s="1015"/>
      <c r="V92" s="1015"/>
      <c r="W92" s="1015"/>
      <c r="X92" s="1015"/>
      <c r="Y92" s="1015"/>
      <c r="Z92" s="1015"/>
      <c r="AA92" s="1015"/>
      <c r="AB92" s="1015"/>
      <c r="AC92" s="1015"/>
    </row>
    <row r="93" spans="1:29" ht="14.4">
      <c r="A93" s="943"/>
      <c r="B93" s="1150"/>
      <c r="C93" s="1147">
        <v>100</v>
      </c>
      <c r="D93" s="1147"/>
      <c r="E93" s="1147"/>
      <c r="F93" s="1147"/>
      <c r="G93" s="1147"/>
      <c r="H93" s="1147"/>
      <c r="I93" s="1147"/>
      <c r="J93" s="1147"/>
      <c r="K93" s="1147"/>
      <c r="L93" s="1147"/>
      <c r="M93" s="1188"/>
      <c r="N93" s="3181" t="s">
        <v>2830</v>
      </c>
      <c r="O93" s="3181">
        <v>1</v>
      </c>
      <c r="P93" s="3181"/>
      <c r="R93" s="3182">
        <v>2</v>
      </c>
      <c r="S93" s="3183"/>
      <c r="T93" s="3184">
        <f>T92</f>
        <v>58.307499999999997</v>
      </c>
      <c r="U93" s="1015"/>
      <c r="V93" s="1015"/>
      <c r="W93" s="1015"/>
      <c r="X93" s="1015"/>
      <c r="Y93" s="1015"/>
      <c r="Z93" s="1015"/>
      <c r="AA93" s="1015"/>
      <c r="AB93" s="1015"/>
      <c r="AC93" s="1015"/>
    </row>
    <row r="94" spans="1:29" ht="14.4">
      <c r="A94" s="943"/>
      <c r="B94" s="1148">
        <f>B29</f>
        <v>111</v>
      </c>
      <c r="C94" s="1156"/>
      <c r="D94" s="1156"/>
      <c r="E94" s="1156"/>
      <c r="F94" s="1156"/>
      <c r="G94" s="1170"/>
      <c r="H94" s="1170"/>
      <c r="I94" s="1170"/>
      <c r="J94" s="1170"/>
      <c r="K94" s="1215"/>
      <c r="L94" s="1216"/>
      <c r="M94" s="1217"/>
      <c r="N94" s="3181" t="s">
        <v>2831</v>
      </c>
      <c r="O94" s="3181">
        <v>0.7</v>
      </c>
      <c r="P94" s="3181"/>
      <c r="R94" s="3182">
        <v>3</v>
      </c>
      <c r="S94" s="3183"/>
      <c r="T94" s="3184">
        <f>T92</f>
        <v>58.307499999999997</v>
      </c>
      <c r="U94" s="1015"/>
      <c r="V94" s="1015"/>
      <c r="W94" s="1015"/>
      <c r="X94" s="1015"/>
      <c r="Y94" s="1015"/>
      <c r="Z94" s="1015"/>
      <c r="AA94" s="1015"/>
      <c r="AB94" s="1015"/>
      <c r="AC94" s="1015"/>
    </row>
    <row r="95" spans="1:29" ht="14.4">
      <c r="A95" s="943"/>
      <c r="B95" s="1150"/>
      <c r="C95" s="1158"/>
      <c r="D95" s="1147"/>
      <c r="E95" s="1147"/>
      <c r="F95" s="1147"/>
      <c r="G95" s="1147"/>
      <c r="H95" s="1147"/>
      <c r="I95" s="1147"/>
      <c r="J95" s="1147"/>
      <c r="K95" s="1147"/>
      <c r="L95" s="1147"/>
      <c r="M95" s="1188"/>
      <c r="N95" s="3181" t="s">
        <v>2832</v>
      </c>
      <c r="O95" s="3181">
        <v>0.6</v>
      </c>
      <c r="P95" s="3181"/>
      <c r="R95" s="3182">
        <v>4</v>
      </c>
      <c r="S95" s="3183"/>
      <c r="T95" s="3184">
        <f>T92</f>
        <v>58.307499999999997</v>
      </c>
      <c r="U95" s="1015"/>
      <c r="V95" s="1015"/>
      <c r="W95" s="1015"/>
      <c r="X95" s="1015"/>
      <c r="Y95" s="1015"/>
      <c r="Z95" s="1015"/>
      <c r="AA95" s="1015"/>
      <c r="AB95" s="1015"/>
      <c r="AC95" s="1015"/>
    </row>
    <row r="96" spans="1:29" ht="14.4">
      <c r="A96" s="943"/>
      <c r="B96" s="1148">
        <f>B30</f>
        <v>111</v>
      </c>
      <c r="C96" s="1156"/>
      <c r="D96" s="1156"/>
      <c r="E96" s="1156"/>
      <c r="F96" s="1156"/>
      <c r="G96" s="1170"/>
      <c r="H96" s="1170"/>
      <c r="I96" s="1170"/>
      <c r="J96" s="1170"/>
      <c r="K96" s="1215"/>
      <c r="L96" s="1216"/>
      <c r="M96" s="1217"/>
      <c r="N96" s="3109" t="s">
        <v>2833</v>
      </c>
      <c r="O96" s="3181">
        <v>0.5</v>
      </c>
      <c r="P96" s="3181"/>
      <c r="Q96" s="901"/>
      <c r="R96" s="3182" t="s">
        <v>2838</v>
      </c>
      <c r="S96" s="3183"/>
      <c r="T96" s="3184">
        <v>122.09</v>
      </c>
      <c r="U96" s="1089"/>
      <c r="V96" s="1015"/>
      <c r="W96" s="1015"/>
      <c r="X96" s="1015"/>
      <c r="Y96" s="1015"/>
      <c r="Z96" s="1015"/>
      <c r="AA96" s="1015"/>
      <c r="AB96" s="1015"/>
      <c r="AC96" s="1015"/>
    </row>
    <row r="97" spans="1:29" ht="14.4">
      <c r="A97" s="943"/>
      <c r="B97" s="1150"/>
      <c r="C97" s="1158"/>
      <c r="D97" s="1147"/>
      <c r="E97" s="1147"/>
      <c r="F97" s="1147"/>
      <c r="G97" s="1147"/>
      <c r="H97" s="1147"/>
      <c r="I97" s="1147"/>
      <c r="J97" s="1147"/>
      <c r="K97" s="1147"/>
      <c r="L97" s="1147"/>
      <c r="M97" s="1188"/>
      <c r="N97" s="3181" t="s">
        <v>2834</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4.4">
      <c r="A98" s="943"/>
      <c r="B98" s="1152">
        <f>B31</f>
        <v>111</v>
      </c>
      <c r="C98" s="1156"/>
      <c r="D98" s="1156"/>
      <c r="E98" s="1156"/>
      <c r="F98" s="1156"/>
      <c r="G98" s="1171"/>
      <c r="H98" s="1171"/>
      <c r="I98" s="1171"/>
      <c r="J98" s="1171"/>
      <c r="K98" s="1218"/>
      <c r="L98" s="1219"/>
      <c r="M98" s="1220"/>
      <c r="N98" s="3181" t="s">
        <v>2835</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4.4">
      <c r="A99" s="952"/>
      <c r="B99" s="1162"/>
      <c r="C99" s="1163"/>
      <c r="D99" s="1163"/>
      <c r="E99" s="1163"/>
      <c r="F99" s="1163"/>
      <c r="G99" s="1172"/>
      <c r="H99" s="1172"/>
      <c r="I99" s="1172"/>
      <c r="J99" s="1172"/>
      <c r="K99" s="1172"/>
      <c r="L99" s="1172"/>
      <c r="M99" s="1221"/>
      <c r="N99" s="3109" t="s">
        <v>2836</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1381</v>
      </c>
      <c r="B100" s="1145" t="s">
        <v>1609</v>
      </c>
      <c r="C100" s="2107" t="s">
        <v>2810</v>
      </c>
      <c r="D100" s="2107" t="s">
        <v>2811</v>
      </c>
      <c r="E100" s="1091"/>
      <c r="F100" s="1091"/>
      <c r="G100" s="1091"/>
      <c r="H100" s="1091"/>
      <c r="I100" s="1091"/>
      <c r="J100" s="1091"/>
      <c r="K100" s="1184"/>
      <c r="L100" s="1185"/>
      <c r="M100" s="1186"/>
      <c r="N100" s="3109" t="s">
        <v>2837</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4.4">
      <c r="A102" s="943"/>
      <c r="B102" s="1148" t="s">
        <v>1385</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4.4">
      <c r="A105" s="991"/>
      <c r="B105" s="1148" t="s">
        <v>1386</v>
      </c>
      <c r="C105" s="2106" t="s">
        <v>2812</v>
      </c>
      <c r="D105" s="2106" t="s">
        <v>2813</v>
      </c>
      <c r="E105" s="2108" t="s">
        <v>2814</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4.4">
      <c r="A107" s="991"/>
      <c r="B107" s="1148" t="s">
        <v>1387</v>
      </c>
      <c r="C107" s="2106" t="s">
        <v>2815</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4.4">
      <c r="A112" s="996"/>
      <c r="B112" s="1148" t="s">
        <v>1393</v>
      </c>
      <c r="C112" s="2106" t="s">
        <v>2816</v>
      </c>
      <c r="D112" s="2106" t="s">
        <v>2817</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4.4">
      <c r="A114" s="991"/>
      <c r="B114" s="1148" t="s">
        <v>1610</v>
      </c>
      <c r="C114" s="2106" t="s">
        <v>2818</v>
      </c>
      <c r="D114" s="2106" t="s">
        <v>2819</v>
      </c>
      <c r="E114" s="1170"/>
      <c r="F114" s="1170"/>
      <c r="G114" s="1170"/>
      <c r="H114" s="1170"/>
      <c r="I114" s="1170"/>
      <c r="J114" s="1170"/>
      <c r="K114" s="1215"/>
      <c r="L114" s="1216"/>
      <c r="M114" s="1217"/>
      <c r="V114" s="1015"/>
      <c r="W114" s="1015"/>
      <c r="X114" s="1015"/>
      <c r="Y114" s="1015"/>
      <c r="Z114" s="1015"/>
      <c r="AA114" s="1015"/>
      <c r="AB114" s="1015"/>
      <c r="AC114" s="1015"/>
    </row>
    <row r="115" spans="1:29">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4.4">
      <c r="A116" s="991"/>
      <c r="B116" s="1148" t="s">
        <v>1394</v>
      </c>
      <c r="C116" s="2106" t="s">
        <v>2820</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4.4">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4.4">
      <c r="A120" s="996"/>
      <c r="B120" s="1148" t="s">
        <v>1612</v>
      </c>
      <c r="C120" s="2108" t="s">
        <v>2821</v>
      </c>
      <c r="D120" s="2108" t="s">
        <v>2822</v>
      </c>
      <c r="E120" s="2108" t="s">
        <v>2803</v>
      </c>
      <c r="F120" s="2108" t="s">
        <v>2823</v>
      </c>
      <c r="G120" s="1157"/>
      <c r="H120" s="1157"/>
      <c r="I120" s="1157"/>
      <c r="J120" s="1157"/>
      <c r="K120" s="1157"/>
      <c r="L120" s="1197"/>
      <c r="M120" s="1198"/>
      <c r="V120" s="1089"/>
      <c r="W120" s="1089"/>
      <c r="X120" s="1089"/>
      <c r="Y120" s="1089"/>
      <c r="Z120" s="1089"/>
      <c r="AA120" s="1089"/>
      <c r="AB120" s="1089"/>
      <c r="AC120" s="1089"/>
    </row>
    <row r="121" spans="1:29" s="901" customForma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4.4">
      <c r="A122" s="991"/>
      <c r="B122" s="1148" t="s">
        <v>1397</v>
      </c>
      <c r="C122" s="2106" t="s">
        <v>2824</v>
      </c>
      <c r="D122" s="2106" t="s">
        <v>2825</v>
      </c>
      <c r="E122" s="2106" t="s">
        <v>2826</v>
      </c>
      <c r="F122" s="2108" t="s">
        <v>2827</v>
      </c>
      <c r="G122" s="1170"/>
      <c r="H122" s="1170"/>
      <c r="I122" s="1170"/>
      <c r="J122" s="1170"/>
      <c r="K122" s="1215"/>
      <c r="L122" s="1216"/>
      <c r="M122" s="1217"/>
      <c r="V122" s="1015"/>
      <c r="W122" s="1015"/>
      <c r="X122" s="1015"/>
      <c r="Y122" s="1015"/>
      <c r="Z122" s="1015"/>
      <c r="AA122" s="1015"/>
      <c r="AB122" s="1015"/>
      <c r="AC122" s="1015"/>
    </row>
    <row r="123" spans="1:29">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8.8">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套内占比</v>
      </c>
      <c r="C126" s="1156" t="s">
        <v>2872</v>
      </c>
      <c r="D126" s="1156" t="s">
        <v>2871</v>
      </c>
      <c r="E126" s="1278" t="s">
        <v>2870</v>
      </c>
      <c r="F126" s="1278"/>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106</v>
      </c>
      <c r="D127" s="1147">
        <v>103</v>
      </c>
      <c r="E127" s="1147">
        <v>100</v>
      </c>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cfRule type="containsText" dxfId="158" priority="17" stopIfTrue="1" operator="containsText" text="超过">
      <formula>NOT(ISERROR(SEARCH("超过",F52)))</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G54">
    <cfRule type="expression" dxfId="155" priority="13"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conditionalFormatting sqref="J52:J54">
    <cfRule type="containsText" dxfId="149"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A1:AK83"/>
  <sheetViews>
    <sheetView view="pageBreakPreview" zoomScale="85" zoomScaleNormal="70" zoomScaleSheetLayoutView="85" workbookViewId="0">
      <selection activeCell="B2" sqref="B2:B3"/>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110</v>
      </c>
      <c r="D1" s="1827" t="s">
        <v>124</v>
      </c>
      <c r="E1" s="1828" t="s">
        <v>1147</v>
      </c>
      <c r="F1" s="1829">
        <f ca="1">J53</f>
        <v>27.79</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766.7989</v>
      </c>
      <c r="C2" s="1833" t="s">
        <v>1149</v>
      </c>
      <c r="D2" s="1834">
        <f ca="1">C40+J29+L46</f>
        <v>7667989</v>
      </c>
      <c r="E2" s="1835" t="s">
        <v>1438</v>
      </c>
      <c r="F2" s="1836"/>
      <c r="G2" s="1837"/>
      <c r="H2" s="1838"/>
      <c r="I2" s="1838"/>
      <c r="J2" s="1838"/>
      <c r="K2" s="1993"/>
      <c r="L2" s="1838"/>
      <c r="M2" s="1838"/>
    </row>
    <row r="3" spans="1:37" ht="18" customHeight="1">
      <c r="A3" s="1839" t="s">
        <v>1150</v>
      </c>
      <c r="B3" s="1840">
        <f ca="1">IF(ISERROR(D2/F43),0,ROUND(D2/F43,0))</f>
        <v>21581</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531752</v>
      </c>
      <c r="D5" s="1849" t="s">
        <v>1159</v>
      </c>
      <c r="E5" s="1850"/>
      <c r="F5" s="1851"/>
      <c r="G5" s="714"/>
      <c r="H5" s="1846">
        <v>1</v>
      </c>
      <c r="I5" s="1847" t="s">
        <v>1158</v>
      </c>
      <c r="J5" s="1848">
        <f ca="1">J6+J10+J12</f>
        <v>0</v>
      </c>
      <c r="K5" s="1849" t="s">
        <v>1159</v>
      </c>
      <c r="L5" s="1850"/>
      <c r="M5" s="1851"/>
    </row>
    <row r="6" spans="1:37" ht="18" customHeight="1">
      <c r="A6" s="1852" t="s">
        <v>905</v>
      </c>
      <c r="B6" s="3387" t="s">
        <v>1160</v>
      </c>
      <c r="C6" s="1853">
        <f ca="1">ROUND(F6*F8*F7*(1-F9),0)</f>
        <v>531088</v>
      </c>
      <c r="D6" s="1854" t="s">
        <v>1439</v>
      </c>
      <c r="E6" s="1855" t="s">
        <v>1162</v>
      </c>
      <c r="F6" s="1856">
        <f ca="1">INDIRECT("'数据-取费表'!u"&amp;$G$1)</f>
        <v>4.55</v>
      </c>
      <c r="G6" s="714"/>
      <c r="H6" s="1852" t="s">
        <v>905</v>
      </c>
      <c r="I6" s="3387" t="s">
        <v>1160</v>
      </c>
      <c r="J6" s="1926">
        <f ca="1">ROUND(M6*M8*M7*(1-M9),0)</f>
        <v>0</v>
      </c>
      <c r="K6" s="1996" t="s">
        <v>1440</v>
      </c>
      <c r="L6" s="1855" t="s">
        <v>1162</v>
      </c>
      <c r="M6" s="1856">
        <f ca="1">INDIRECT("'数据-取费表'!z"&amp;$G$1)</f>
        <v>0</v>
      </c>
    </row>
    <row r="7" spans="1:37" ht="18" customHeight="1">
      <c r="A7" s="1857"/>
      <c r="B7" s="3388"/>
      <c r="C7" s="1858"/>
      <c r="D7" s="1859"/>
      <c r="E7" s="1860" t="s">
        <v>1164</v>
      </c>
      <c r="F7" s="1856">
        <f ca="1">IF(INDIRECT("'数据-取费表'!ah"&amp;$G$1)="",INDIRECT("'数据-取费表'!k"&amp;$G$1),INDIRECT("'数据-取费表'!ah"&amp;$G$1))</f>
        <v>355.32</v>
      </c>
      <c r="G7" s="714"/>
      <c r="H7" s="1861"/>
      <c r="I7" s="3388"/>
      <c r="J7" s="1862"/>
      <c r="K7" s="1859"/>
      <c r="L7" s="1855" t="s">
        <v>1164</v>
      </c>
      <c r="M7" s="1856">
        <f ca="1">F7</f>
        <v>355.32</v>
      </c>
    </row>
    <row r="8" spans="1:37" ht="18" customHeight="1">
      <c r="A8" s="1861"/>
      <c r="B8" s="3388"/>
      <c r="C8" s="1862"/>
      <c r="D8" s="1859"/>
      <c r="E8" s="1855" t="s">
        <v>1165</v>
      </c>
      <c r="F8" s="1856">
        <f ca="1">INDIRECT("'数据-取费表'!ai"&amp;$G$1)</f>
        <v>365</v>
      </c>
      <c r="G8" s="714"/>
      <c r="H8" s="1861"/>
      <c r="I8" s="3388"/>
      <c r="J8" s="1862"/>
      <c r="K8" s="1859"/>
      <c r="L8" s="1855" t="s">
        <v>1165</v>
      </c>
      <c r="M8" s="1856">
        <f ca="1">INDIRECT("'数据-取费表'!ai"&amp;$G$1)</f>
        <v>365</v>
      </c>
    </row>
    <row r="9" spans="1:37" ht="18" customHeight="1">
      <c r="A9" s="1861"/>
      <c r="B9" s="3389"/>
      <c r="C9" s="1862"/>
      <c r="D9" s="1859"/>
      <c r="E9" s="1855" t="s">
        <v>1166</v>
      </c>
      <c r="F9" s="1863">
        <f ca="1">INDIRECT("'数据-取费表'!w"&amp;$G$1)</f>
        <v>0.1</v>
      </c>
      <c r="G9" s="714"/>
      <c r="H9" s="1861"/>
      <c r="I9" s="3389"/>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664</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1721021</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1421280</v>
      </c>
      <c r="D14" s="1886" t="s">
        <v>1177</v>
      </c>
      <c r="E14" s="1887"/>
      <c r="F14" s="1888"/>
      <c r="G14" s="714"/>
      <c r="H14" s="1884" t="s">
        <v>905</v>
      </c>
      <c r="I14" s="1855" t="s">
        <v>1178</v>
      </c>
      <c r="J14" s="1469">
        <f ca="1">C29</f>
        <v>2073519</v>
      </c>
      <c r="K14" s="2005"/>
      <c r="L14" s="2006"/>
      <c r="M14" s="2007"/>
    </row>
    <row r="15" spans="1:37" s="1823" customFormat="1" ht="18" customHeight="1">
      <c r="A15" s="1884" t="s">
        <v>933</v>
      </c>
      <c r="B15" s="1855" t="s">
        <v>1107</v>
      </c>
      <c r="C15" s="1469">
        <f ca="1">ROUND(C14*F15,0)</f>
        <v>71064</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4147</v>
      </c>
      <c r="K16" s="1904" t="s">
        <v>1183</v>
      </c>
      <c r="L16" s="1905"/>
      <c r="M16" s="1851"/>
    </row>
    <row r="17" spans="1:37" s="1823" customFormat="1" ht="18" customHeight="1">
      <c r="A17" s="1884" t="s">
        <v>1184</v>
      </c>
      <c r="B17" s="1855" t="s">
        <v>1185</v>
      </c>
      <c r="C17" s="1469">
        <f ca="1">ROUND(F17*(F43+INDIRECT("'数据-取费表'!S"&amp;$G$1)),0)</f>
        <v>71064</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28426</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1591834</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31837</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4147</v>
      </c>
      <c r="K22" s="1908" t="s">
        <v>1209</v>
      </c>
      <c r="L22" s="1855" t="s">
        <v>1180</v>
      </c>
      <c r="M22" s="1920">
        <f ca="1">INDIRECT("'数据-取费表'!Ak"&amp;$G$1)</f>
        <v>2E-3</v>
      </c>
    </row>
    <row r="23" spans="1:37" s="1823" customFormat="1" ht="18" customHeight="1">
      <c r="A23" s="1884" t="s">
        <v>928</v>
      </c>
      <c r="B23" s="1855" t="s">
        <v>1210</v>
      </c>
      <c r="C23" s="1469">
        <f ca="1">IF('数据-取费表'!B22&lt;=1,ROUND(C19*F24*F23/2,0)+ROUND(C20*F24*F23/2,0),ROUND(C19*(POWER((1+F24),F23/2)-1),0)+ROUND(C20*(POWER((1+F24),F23/2)-1),0))</f>
        <v>48710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963</v>
      </c>
      <c r="B25" s="1855" t="s">
        <v>1217</v>
      </c>
      <c r="C25" s="1469"/>
      <c r="D25" s="1895" t="s">
        <v>1218</v>
      </c>
      <c r="E25" s="1471"/>
      <c r="F25" s="1894"/>
      <c r="G25" s="714"/>
      <c r="H25" s="1879" t="s">
        <v>1219</v>
      </c>
      <c r="I25" s="1922" t="s">
        <v>1220</v>
      </c>
      <c r="J25" s="1881">
        <f ca="1">J5-J16</f>
        <v>-4147</v>
      </c>
      <c r="K25" s="1923" t="s">
        <v>1221</v>
      </c>
      <c r="L25" s="1924"/>
      <c r="M25" s="1925"/>
    </row>
    <row r="26" spans="1:37" ht="18" customHeight="1">
      <c r="A26" s="1884" t="s">
        <v>928</v>
      </c>
      <c r="B26" s="1855" t="s">
        <v>1222</v>
      </c>
      <c r="C26" s="1469">
        <f ca="1">ROUND((C19+C20)*F26,0)</f>
        <v>243551</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2073519</v>
      </c>
      <c r="D29" s="1901"/>
      <c r="E29" s="1877"/>
      <c r="F29" s="1902"/>
      <c r="G29" s="1891"/>
      <c r="H29" s="1903" t="s">
        <v>1237</v>
      </c>
      <c r="I29" s="1932" t="s">
        <v>1238</v>
      </c>
      <c r="J29" s="1933">
        <f ca="1">ROUND(J26/(1+F40)^F41,0)</f>
        <v>0</v>
      </c>
      <c r="K29" s="1934" t="s">
        <v>1239</v>
      </c>
      <c r="L29" s="1935"/>
      <c r="M29" s="1936">
        <f ca="1">INDIRECT("'数据-取费表'!k"&amp;$G$1)</f>
        <v>355.32</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97042</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88515</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IF(项目基本情况!B11="自然人","——",ROUND(C6*F32/(1+'数据-取费表'!C42),0))</f>
        <v>27819</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IF(项目基本情况!B11="自然人","——",IF(D33="按租金收入计税",ROUND(C6*F33/(1+'数据-取费表'!C42),0),IF(D33="按房产原值计税",ROUND(C29*F33*0.7,0),INDIRECT("'数据-取费表'!Aj"&amp;$G$1))))</f>
        <v>60696</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IF(项目基本情况!B11="自然人","——",ROUND(F34*F35,0))</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4147</v>
      </c>
      <c r="D36" s="1908" t="s">
        <v>1241</v>
      </c>
      <c r="E36" s="1855" t="s">
        <v>1180</v>
      </c>
      <c r="F36" s="1920">
        <f ca="1">INDIRECT("'数据-取费表'!Ak"&amp;$G$1)</f>
        <v>2E-3</v>
      </c>
      <c r="G36" s="714"/>
      <c r="H36" s="1912"/>
      <c r="I36" s="2012"/>
      <c r="J36" s="2013"/>
      <c r="K36" s="2019"/>
      <c r="L36" s="1912"/>
      <c r="M36" s="1912"/>
    </row>
    <row r="37" spans="1:18" ht="18" customHeight="1">
      <c r="A37" s="1884" t="s">
        <v>956</v>
      </c>
      <c r="B37" s="1855" t="s">
        <v>1212</v>
      </c>
      <c r="C37" s="1469">
        <f ca="1">ROUND(C13*F37,0)</f>
        <v>1721</v>
      </c>
      <c r="D37" s="1908" t="s">
        <v>1213</v>
      </c>
      <c r="E37" s="1855" t="s">
        <v>1180</v>
      </c>
      <c r="F37" s="1921">
        <f ca="1">INDIRECT("'数据-取费表'!Al"&amp;$G$1)</f>
        <v>1E-3</v>
      </c>
      <c r="G37" s="714"/>
      <c r="H37" s="1912"/>
      <c r="I37" s="2012"/>
      <c r="J37" s="2013"/>
      <c r="K37" s="2019"/>
      <c r="L37" s="1912"/>
      <c r="M37" s="1912"/>
    </row>
    <row r="38" spans="1:18" ht="18" customHeight="1">
      <c r="A38" s="1892" t="s">
        <v>959</v>
      </c>
      <c r="B38" s="1877" t="s">
        <v>1198</v>
      </c>
      <c r="C38" s="1900">
        <f ca="1">ROUND(C5*F38,0)</f>
        <v>2659</v>
      </c>
      <c r="D38" s="1901" t="s">
        <v>1216</v>
      </c>
      <c r="E38" s="1877" t="s">
        <v>1180</v>
      </c>
      <c r="F38" s="1878">
        <f ca="1">INDIRECT("'数据-取费表'!Am"&amp;$G$1)</f>
        <v>5.0000000000000001E-3</v>
      </c>
      <c r="G38" s="714"/>
      <c r="H38" s="1912"/>
      <c r="I38" s="2012"/>
      <c r="J38" s="2013"/>
      <c r="K38" s="2014"/>
      <c r="L38" s="1912"/>
      <c r="M38" s="1912"/>
    </row>
    <row r="39" spans="1:18" ht="24.6" customHeight="1">
      <c r="A39" s="1879" t="s">
        <v>1219</v>
      </c>
      <c r="B39" s="1922" t="s">
        <v>1220</v>
      </c>
      <c r="C39" s="1881">
        <f ca="1">C5-C30</f>
        <v>434710</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7556835</v>
      </c>
      <c r="D40" s="1914" t="s">
        <v>1227</v>
      </c>
      <c r="E40" s="1855" t="s">
        <v>1228</v>
      </c>
      <c r="F40" s="1863">
        <f ca="1">INDIRECT("'数据-取费表'!I"&amp;$G$1)</f>
        <v>5.5E-2</v>
      </c>
      <c r="G40" s="714"/>
      <c r="H40" s="1927">
        <f ca="1">C39/C5</f>
        <v>0.81750515277798674</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c r="A43" s="1903" t="s">
        <v>1237</v>
      </c>
      <c r="B43" s="1932" t="s">
        <v>1243</v>
      </c>
      <c r="C43" s="1933">
        <f ca="1">ROUND(C40/F43,0)</f>
        <v>21268</v>
      </c>
      <c r="D43" s="1934" t="s">
        <v>1244</v>
      </c>
      <c r="E43" s="1935" t="s">
        <v>1245</v>
      </c>
      <c r="F43" s="1936">
        <f ca="1">INDIRECT("'数据-取费表'!k"&amp;$G$1)</f>
        <v>355.32</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1445</v>
      </c>
      <c r="B45" s="1937"/>
      <c r="C45" s="1940">
        <f ca="1">ROUND((C68-C40)/10000,4)</f>
        <v>-763.94299999999998</v>
      </c>
      <c r="D45" s="1941" t="s">
        <v>1446</v>
      </c>
      <c r="E45" s="1937"/>
      <c r="F45" s="1937"/>
      <c r="O45" s="2021" t="s">
        <v>1246</v>
      </c>
      <c r="P45" s="1927"/>
      <c r="Q45" s="1927"/>
      <c r="R45" s="1927"/>
    </row>
    <row r="46" spans="1:18" s="714" customFormat="1">
      <c r="A46" s="1942" t="s">
        <v>1247</v>
      </c>
      <c r="C46" s="1943">
        <f ca="1">ROUND(C45,0)</f>
        <v>-764</v>
      </c>
      <c r="D46" s="1944" t="str">
        <f>C2</f>
        <v>万元</v>
      </c>
      <c r="I46" s="2022" t="s">
        <v>1248</v>
      </c>
      <c r="J46" s="2023"/>
      <c r="K46" s="2024"/>
      <c r="L46" s="2025">
        <f ca="1">IF(M47="住宅",0,IF(L48&gt;J51,L60,J60))</f>
        <v>111154</v>
      </c>
      <c r="O46" s="2026" t="s">
        <v>1249</v>
      </c>
      <c r="P46" s="2027" t="s">
        <v>1250</v>
      </c>
      <c r="Q46" s="2069" t="s">
        <v>1251</v>
      </c>
      <c r="R46" s="2069" t="s">
        <v>1252</v>
      </c>
    </row>
    <row r="47" spans="1:18" s="714" customForma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7556835</v>
      </c>
      <c r="R47" s="2070" t="s">
        <v>1256</v>
      </c>
    </row>
    <row r="48" spans="1:18" s="714" customFormat="1" ht="39.6">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111154</v>
      </c>
      <c r="R48" s="2070" t="s">
        <v>1261</v>
      </c>
    </row>
    <row r="49" spans="1:18" s="714" customForma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2073519</v>
      </c>
      <c r="R49" s="2070" t="s">
        <v>1256</v>
      </c>
    </row>
    <row r="50" spans="1:18" s="714" customFormat="1">
      <c r="A50" s="1960"/>
      <c r="B50" s="1431"/>
      <c r="C50" s="1961"/>
      <c r="D50" s="1962"/>
      <c r="E50" s="1963" t="s">
        <v>1164</v>
      </c>
      <c r="F50" s="1964">
        <f ca="1">F7</f>
        <v>355.32</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5736715</v>
      </c>
      <c r="M51" s="2047"/>
      <c r="O51" s="2041" t="s">
        <v>1275</v>
      </c>
      <c r="P51" s="2034" t="s">
        <v>1276</v>
      </c>
      <c r="Q51" s="2071">
        <f>J52</f>
        <v>7.4999999999999997E-2</v>
      </c>
      <c r="R51" s="2070"/>
    </row>
    <row r="52" spans="1:18" s="714" customForma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85" t="s">
        <v>1284</v>
      </c>
      <c r="L53" s="3386"/>
      <c r="O53" s="2033" t="s">
        <v>1109</v>
      </c>
      <c r="P53" s="2034" t="s">
        <v>1285</v>
      </c>
      <c r="Q53" s="2070">
        <f ca="1">Q47+Q48</f>
        <v>7667989</v>
      </c>
      <c r="R53" s="2070" t="s">
        <v>1286</v>
      </c>
    </row>
    <row r="54" spans="1:18" s="714" customForma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c r="A56" s="1972">
        <v>2</v>
      </c>
      <c r="B56" s="1973" t="s">
        <v>1173</v>
      </c>
      <c r="C56" s="378">
        <f ca="1">C13</f>
        <v>1721021</v>
      </c>
      <c r="D56" s="1974"/>
      <c r="E56" s="1975"/>
      <c r="F56" s="1971"/>
      <c r="I56" s="2058" t="s">
        <v>1290</v>
      </c>
      <c r="J56" s="2059" t="s">
        <v>1450</v>
      </c>
      <c r="K56" s="2035" t="s">
        <v>1291</v>
      </c>
      <c r="L56" s="2038" t="str">
        <f ca="1">IF(L48&lt;J51,"——",L48-J51)</f>
        <v>——</v>
      </c>
      <c r="O56" s="2033" t="s">
        <v>1012</v>
      </c>
      <c r="P56" s="2034" t="s">
        <v>1255</v>
      </c>
      <c r="Q56" s="2070">
        <f ca="1">C40+J29</f>
        <v>7556835</v>
      </c>
      <c r="R56" s="2070" t="s">
        <v>1256</v>
      </c>
    </row>
    <row r="57" spans="1:18" s="714" customFormat="1" ht="24">
      <c r="A57" s="1976"/>
      <c r="B57" s="1977" t="s">
        <v>1236</v>
      </c>
      <c r="C57" s="388">
        <f ca="1">C29</f>
        <v>2073519</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
      <c r="A58" s="1981" t="s">
        <v>1181</v>
      </c>
      <c r="B58" s="1973" t="s">
        <v>1182</v>
      </c>
      <c r="C58" s="1468">
        <f ca="1">ROUND(C59+C64+C65+C66,0)</f>
        <v>5868</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f ca="1">IF(OR(M47="住宅",J51&lt;L48,J56="是"),"——",ROUND(C29*J58,0))</f>
        <v>829408</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f ca="1">IF(项目基本情况!B11="自然人","——",ROUND(C48*F60/(1+'数据-取费表'!C42),0))</f>
        <v>0</v>
      </c>
      <c r="D60" s="1985" t="s">
        <v>1193</v>
      </c>
      <c r="E60" s="1977" t="s">
        <v>1180</v>
      </c>
      <c r="F60" s="1899">
        <f t="shared" ref="F60:F66" si="0">F32</f>
        <v>5.5000000000000007E-2</v>
      </c>
      <c r="I60" s="2063" t="s">
        <v>1301</v>
      </c>
      <c r="J60" s="2064">
        <f ca="1">IF(OR(M47="住宅",J51&lt;L48,J56="是"),"0",ROUND(J59/(1+J52)^J53,0))</f>
        <v>111154</v>
      </c>
      <c r="K60" s="2065" t="s">
        <v>1302</v>
      </c>
      <c r="L60" s="2064">
        <f ca="1">IF(OR(M47="住宅",L48&lt;J51),0,ROUND(L57*(L58/L59-1),0))</f>
        <v>0</v>
      </c>
      <c r="O60" s="2041" t="s">
        <v>1275</v>
      </c>
      <c r="P60" s="2034" t="s">
        <v>1303</v>
      </c>
      <c r="Q60" s="2070" t="e">
        <f ca="1">L58</f>
        <v>#DIV/0!</v>
      </c>
      <c r="R60" s="2070" t="s">
        <v>1304</v>
      </c>
    </row>
    <row r="61" spans="1:18" s="714" customFormat="1">
      <c r="A61" s="1884" t="s">
        <v>933</v>
      </c>
      <c r="B61" s="1977" t="s">
        <v>1196</v>
      </c>
      <c r="C61" s="1469">
        <f ca="1">IF(项目基本情况!B11="自然人","——",IF(D61="按租金收入计税",ROUND(C49*F61/(1+'数据-取费表'!C42),0),IF(D61="按房产原值计税",ROUND(C57*F61*0.7,0),INDIRECT("'数据-取费表'!Aj"&amp;$G$1))))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f ca="1">IF(项目基本情况!B11="自然人","——",ROUND(F62*F63,0))</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7556835</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ROUND(C57*F64,0)</f>
        <v>4147</v>
      </c>
      <c r="D64" s="1985" t="s">
        <v>1241</v>
      </c>
      <c r="E64" s="1977" t="s">
        <v>1180</v>
      </c>
      <c r="F64" s="1920">
        <f t="shared" ca="1" si="0"/>
        <v>2E-3</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ROUND(C56*F65,0)</f>
        <v>1721</v>
      </c>
      <c r="D65" s="1985" t="s">
        <v>1213</v>
      </c>
      <c r="E65" s="1977" t="s">
        <v>1180</v>
      </c>
      <c r="F65" s="1921">
        <f t="shared" ca="1" si="0"/>
        <v>1E-3</v>
      </c>
      <c r="I65" s="2066" t="s">
        <v>1314</v>
      </c>
      <c r="J65" s="1032">
        <v>40</v>
      </c>
      <c r="K65" s="1032">
        <v>30</v>
      </c>
      <c r="L65" s="1032">
        <v>50</v>
      </c>
      <c r="M65" s="2068">
        <v>0.02</v>
      </c>
      <c r="O65" s="2033" t="s">
        <v>1012</v>
      </c>
      <c r="P65" s="2034" t="s">
        <v>1255</v>
      </c>
      <c r="Q65" s="2070">
        <f ca="1">C40+J29</f>
        <v>7556835</v>
      </c>
      <c r="R65" s="2070" t="s">
        <v>1256</v>
      </c>
    </row>
    <row r="66" spans="1:18" s="714" customFormat="1" ht="15.6">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24">
      <c r="A67" s="1972" t="s">
        <v>1219</v>
      </c>
      <c r="B67" s="2072" t="s">
        <v>1220</v>
      </c>
      <c r="C67" s="1468">
        <f ca="1">C48-C58</f>
        <v>-5868</v>
      </c>
      <c r="D67" s="1984" t="s">
        <v>1221</v>
      </c>
      <c r="E67" s="2073"/>
      <c r="F67" s="2074"/>
      <c r="O67" s="2041" t="s">
        <v>1267</v>
      </c>
      <c r="P67" s="2034" t="s">
        <v>1298</v>
      </c>
      <c r="Q67" s="2094">
        <f ca="1">L51</f>
        <v>5736715</v>
      </c>
      <c r="R67" s="2070" t="s">
        <v>1315</v>
      </c>
    </row>
    <row r="68" spans="1:18" s="714" customFormat="1" ht="15.6">
      <c r="A68" s="2075" t="s">
        <v>1225</v>
      </c>
      <c r="B68" s="2076" t="s">
        <v>1242</v>
      </c>
      <c r="C68" s="1926">
        <f ca="1">ROUND(C67*(1-((1+F70)/(1+F68))^F69)/(F68-F70),0)</f>
        <v>-82595</v>
      </c>
      <c r="D68" s="1987" t="s">
        <v>1227</v>
      </c>
      <c r="E68" s="1977" t="s">
        <v>1228</v>
      </c>
      <c r="F68" s="1863">
        <f ca="1">F40</f>
        <v>5.5E-2</v>
      </c>
      <c r="O68" s="2041" t="s">
        <v>1271</v>
      </c>
      <c r="P68" s="2093" t="s">
        <v>1316</v>
      </c>
      <c r="Q68" s="2070">
        <f ca="1">ROUND(Q69-Q70*Q71,0)</f>
        <v>314239</v>
      </c>
      <c r="R68" s="2070" t="s">
        <v>1317</v>
      </c>
    </row>
    <row r="69" spans="1:18" s="714" customFormat="1">
      <c r="A69" s="2077"/>
      <c r="B69" s="2078"/>
      <c r="C69" s="1862"/>
      <c r="D69" s="2079" t="s">
        <v>1231</v>
      </c>
      <c r="E69" s="1977" t="s">
        <v>1232</v>
      </c>
      <c r="F69" s="1930">
        <f ca="1">F41</f>
        <v>27.79</v>
      </c>
      <c r="O69" s="2041" t="s">
        <v>1318</v>
      </c>
      <c r="P69" s="2093" t="s">
        <v>1319</v>
      </c>
      <c r="Q69" s="2070">
        <f ca="1">C39</f>
        <v>434710</v>
      </c>
      <c r="R69" s="2070" t="s">
        <v>1256</v>
      </c>
    </row>
    <row r="70" spans="1:18" s="714" customFormat="1">
      <c r="A70" s="2080"/>
      <c r="B70" s="2081"/>
      <c r="C70" s="1881"/>
      <c r="D70" s="1989"/>
      <c r="E70" s="1977" t="s">
        <v>1235</v>
      </c>
      <c r="F70" s="1967"/>
      <c r="O70" s="2041" t="s">
        <v>1320</v>
      </c>
      <c r="P70" s="2093" t="s">
        <v>1321</v>
      </c>
      <c r="Q70" s="2070">
        <f ca="1">C13</f>
        <v>1721021</v>
      </c>
      <c r="R70" s="2070" t="s">
        <v>1256</v>
      </c>
    </row>
    <row r="71" spans="1:18" s="714" customFormat="1">
      <c r="A71" s="2082" t="s">
        <v>1237</v>
      </c>
      <c r="B71" s="2083" t="s">
        <v>1243</v>
      </c>
      <c r="C71" s="1933">
        <f ca="1">ROUND(C68/F71,0)</f>
        <v>-232</v>
      </c>
      <c r="D71" s="2084" t="s">
        <v>1244</v>
      </c>
      <c r="E71" s="2085" t="s">
        <v>1245</v>
      </c>
      <c r="F71" s="1936">
        <f ca="1">F43</f>
        <v>355.32</v>
      </c>
      <c r="O71" s="2041" t="s">
        <v>1322</v>
      </c>
      <c r="P71" s="2093" t="s">
        <v>1323</v>
      </c>
      <c r="Q71" s="2071">
        <f ca="1">C76</f>
        <v>7.0000000000000007E-2</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120471</v>
      </c>
      <c r="D75" s="714"/>
      <c r="E75" s="714"/>
      <c r="F75" s="714"/>
      <c r="K75" s="2020"/>
      <c r="L75" s="714"/>
      <c r="O75" s="2033" t="s">
        <v>1109</v>
      </c>
      <c r="P75" s="2034" t="s">
        <v>1285</v>
      </c>
      <c r="Q75" s="2070">
        <f ca="1">Q65+Q66</f>
        <v>7556835</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0.72299999999999998</v>
      </c>
    </row>
    <row r="80" spans="1:18">
      <c r="B80" s="2087" t="s">
        <v>1331</v>
      </c>
      <c r="C80" s="421">
        <f ca="1">ROUND(C75/C39,3)</f>
        <v>0.27700000000000002</v>
      </c>
    </row>
    <row r="81" spans="2:3">
      <c r="B81" s="418" t="s">
        <v>1332</v>
      </c>
      <c r="C81" s="388"/>
    </row>
    <row r="82" spans="2:3">
      <c r="B82" s="420" t="s">
        <v>1091</v>
      </c>
      <c r="C82" s="422">
        <f ca="1">1-C83</f>
        <v>0.77200000000000002</v>
      </c>
    </row>
    <row r="83" spans="2:3">
      <c r="B83" s="420" t="s">
        <v>1092</v>
      </c>
      <c r="C83" s="421">
        <f ca="1">ROUND(C13/C40,3)</f>
        <v>0.22800000000000001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W44"/>
  <sheetViews>
    <sheetView zoomScale="80" zoomScaleNormal="80" workbookViewId="0">
      <selection activeCell="E2" sqref="E2"/>
    </sheetView>
  </sheetViews>
  <sheetFormatPr defaultColWidth="9" defaultRowHeight="13.2" customHeight="1"/>
  <cols>
    <col min="1" max="1" width="9.44140625" style="1653" customWidth="1"/>
    <col min="2" max="2" width="8.88671875" style="1653"/>
    <col min="3" max="5" width="12.88671875" style="1653" customWidth="1"/>
    <col min="6" max="6" width="47.44140625" style="1653" customWidth="1"/>
    <col min="7" max="7" width="13" style="1654" customWidth="1"/>
    <col min="8" max="8" width="8.88671875" style="1654"/>
    <col min="9" max="9" width="8.88671875" style="1655"/>
    <col min="10" max="10" width="5.77734375" style="1656" customWidth="1"/>
    <col min="11" max="11" width="11.77734375" style="1656" customWidth="1"/>
    <col min="12" max="13" width="10.77734375" style="1656" customWidth="1"/>
    <col min="14" max="14" width="10" style="1656" customWidth="1"/>
    <col min="15" max="16" width="10.44140625" style="1656" customWidth="1"/>
    <col min="17" max="17" width="10" style="1656" customWidth="1"/>
    <col min="18" max="18" width="10.109375" style="1656" customWidth="1"/>
    <col min="19" max="19" width="10" style="1656" customWidth="1"/>
    <col min="20" max="20" width="26.109375" style="1656" customWidth="1"/>
    <col min="21" max="21" width="8.88671875" style="1656"/>
    <col min="22" max="22" width="8.88671875" style="1655"/>
    <col min="23" max="256" width="8.88671875" style="1653"/>
    <col min="257" max="257" width="9.44140625" style="1653" customWidth="1"/>
    <col min="258" max="258" width="8.88671875" style="1653"/>
    <col min="259" max="261" width="12.88671875" style="1653" customWidth="1"/>
    <col min="262" max="262" width="47.44140625" style="1653" customWidth="1"/>
    <col min="263" max="263" width="13" style="1653" customWidth="1"/>
    <col min="264" max="265" width="8.88671875" style="1653"/>
    <col min="266" max="266" width="5.77734375" style="1653" customWidth="1"/>
    <col min="267" max="267" width="11.77734375" style="1653" customWidth="1"/>
    <col min="268" max="269" width="10.77734375" style="1653" customWidth="1"/>
    <col min="270" max="270" width="10" style="1653" customWidth="1"/>
    <col min="271" max="272" width="10.44140625" style="1653" customWidth="1"/>
    <col min="273" max="273" width="10" style="1653" customWidth="1"/>
    <col min="274" max="274" width="10.109375" style="1653" customWidth="1"/>
    <col min="275" max="275" width="10" style="1653" customWidth="1"/>
    <col min="276" max="276" width="26.109375" style="1653" customWidth="1"/>
    <col min="277" max="512" width="8.88671875" style="1653"/>
    <col min="513" max="513" width="9.44140625" style="1653" customWidth="1"/>
    <col min="514" max="514" width="8.88671875" style="1653"/>
    <col min="515" max="517" width="12.88671875" style="1653" customWidth="1"/>
    <col min="518" max="518" width="47.44140625" style="1653" customWidth="1"/>
    <col min="519" max="519" width="13" style="1653" customWidth="1"/>
    <col min="520" max="521" width="8.88671875" style="1653"/>
    <col min="522" max="522" width="5.77734375" style="1653" customWidth="1"/>
    <col min="523" max="523" width="11.77734375" style="1653" customWidth="1"/>
    <col min="524" max="525" width="10.77734375" style="1653" customWidth="1"/>
    <col min="526" max="526" width="10" style="1653" customWidth="1"/>
    <col min="527" max="528" width="10.44140625" style="1653" customWidth="1"/>
    <col min="529" max="529" width="10" style="1653" customWidth="1"/>
    <col min="530" max="530" width="10.109375" style="1653" customWidth="1"/>
    <col min="531" max="531" width="10" style="1653" customWidth="1"/>
    <col min="532" max="532" width="26.109375" style="1653" customWidth="1"/>
    <col min="533" max="768" width="8.88671875" style="1653"/>
    <col min="769" max="769" width="9.44140625" style="1653" customWidth="1"/>
    <col min="770" max="770" width="8.88671875" style="1653"/>
    <col min="771" max="773" width="12.88671875" style="1653" customWidth="1"/>
    <col min="774" max="774" width="47.44140625" style="1653" customWidth="1"/>
    <col min="775" max="775" width="13" style="1653" customWidth="1"/>
    <col min="776" max="777" width="8.88671875" style="1653"/>
    <col min="778" max="778" width="5.77734375" style="1653" customWidth="1"/>
    <col min="779" max="779" width="11.77734375" style="1653" customWidth="1"/>
    <col min="780" max="781" width="10.77734375" style="1653" customWidth="1"/>
    <col min="782" max="782" width="10" style="1653" customWidth="1"/>
    <col min="783" max="784" width="10.44140625" style="1653" customWidth="1"/>
    <col min="785" max="785" width="10" style="1653" customWidth="1"/>
    <col min="786" max="786" width="10.109375" style="1653" customWidth="1"/>
    <col min="787" max="787" width="10" style="1653" customWidth="1"/>
    <col min="788" max="788" width="26.109375" style="1653" customWidth="1"/>
    <col min="789" max="1024" width="8.88671875" style="1653"/>
    <col min="1025" max="1025" width="9.44140625" style="1653" customWidth="1"/>
    <col min="1026" max="1026" width="8.88671875" style="1653"/>
    <col min="1027" max="1029" width="12.88671875" style="1653" customWidth="1"/>
    <col min="1030" max="1030" width="47.44140625" style="1653" customWidth="1"/>
    <col min="1031" max="1031" width="13" style="1653" customWidth="1"/>
    <col min="1032" max="1033" width="8.88671875" style="1653"/>
    <col min="1034" max="1034" width="5.77734375" style="1653" customWidth="1"/>
    <col min="1035" max="1035" width="11.77734375" style="1653" customWidth="1"/>
    <col min="1036" max="1037" width="10.77734375" style="1653" customWidth="1"/>
    <col min="1038" max="1038" width="10" style="1653" customWidth="1"/>
    <col min="1039" max="1040" width="10.44140625" style="1653" customWidth="1"/>
    <col min="1041" max="1041" width="10" style="1653" customWidth="1"/>
    <col min="1042" max="1042" width="10.109375" style="1653" customWidth="1"/>
    <col min="1043" max="1043" width="10" style="1653" customWidth="1"/>
    <col min="1044" max="1044" width="26.109375" style="1653" customWidth="1"/>
    <col min="1045" max="1280" width="8.88671875" style="1653"/>
    <col min="1281" max="1281" width="9.44140625" style="1653" customWidth="1"/>
    <col min="1282" max="1282" width="8.88671875" style="1653"/>
    <col min="1283" max="1285" width="12.88671875" style="1653" customWidth="1"/>
    <col min="1286" max="1286" width="47.44140625" style="1653" customWidth="1"/>
    <col min="1287" max="1287" width="13" style="1653" customWidth="1"/>
    <col min="1288" max="1289" width="8.88671875" style="1653"/>
    <col min="1290" max="1290" width="5.77734375" style="1653" customWidth="1"/>
    <col min="1291" max="1291" width="11.77734375" style="1653" customWidth="1"/>
    <col min="1292" max="1293" width="10.77734375" style="1653" customWidth="1"/>
    <col min="1294" max="1294" width="10" style="1653" customWidth="1"/>
    <col min="1295" max="1296" width="10.44140625" style="1653" customWidth="1"/>
    <col min="1297" max="1297" width="10" style="1653" customWidth="1"/>
    <col min="1298" max="1298" width="10.109375" style="1653" customWidth="1"/>
    <col min="1299" max="1299" width="10" style="1653" customWidth="1"/>
    <col min="1300" max="1300" width="26.109375" style="1653" customWidth="1"/>
    <col min="1301" max="1536" width="8.88671875" style="1653"/>
    <col min="1537" max="1537" width="9.44140625" style="1653" customWidth="1"/>
    <col min="1538" max="1538" width="8.88671875" style="1653"/>
    <col min="1539" max="1541" width="12.88671875" style="1653" customWidth="1"/>
    <col min="1542" max="1542" width="47.44140625" style="1653" customWidth="1"/>
    <col min="1543" max="1543" width="13" style="1653" customWidth="1"/>
    <col min="1544" max="1545" width="8.88671875" style="1653"/>
    <col min="1546" max="1546" width="5.77734375" style="1653" customWidth="1"/>
    <col min="1547" max="1547" width="11.77734375" style="1653" customWidth="1"/>
    <col min="1548" max="1549" width="10.77734375" style="1653" customWidth="1"/>
    <col min="1550" max="1550" width="10" style="1653" customWidth="1"/>
    <col min="1551" max="1552" width="10.44140625" style="1653" customWidth="1"/>
    <col min="1553" max="1553" width="10" style="1653" customWidth="1"/>
    <col min="1554" max="1554" width="10.109375" style="1653" customWidth="1"/>
    <col min="1555" max="1555" width="10" style="1653" customWidth="1"/>
    <col min="1556" max="1556" width="26.109375" style="1653" customWidth="1"/>
    <col min="1557" max="1792" width="8.88671875" style="1653"/>
    <col min="1793" max="1793" width="9.44140625" style="1653" customWidth="1"/>
    <col min="1794" max="1794" width="8.88671875" style="1653"/>
    <col min="1795" max="1797" width="12.88671875" style="1653" customWidth="1"/>
    <col min="1798" max="1798" width="47.44140625" style="1653" customWidth="1"/>
    <col min="1799" max="1799" width="13" style="1653" customWidth="1"/>
    <col min="1800" max="1801" width="8.88671875" style="1653"/>
    <col min="1802" max="1802" width="5.77734375" style="1653" customWidth="1"/>
    <col min="1803" max="1803" width="11.77734375" style="1653" customWidth="1"/>
    <col min="1804" max="1805" width="10.77734375" style="1653" customWidth="1"/>
    <col min="1806" max="1806" width="10" style="1653" customWidth="1"/>
    <col min="1807" max="1808" width="10.44140625" style="1653" customWidth="1"/>
    <col min="1809" max="1809" width="10" style="1653" customWidth="1"/>
    <col min="1810" max="1810" width="10.109375" style="1653" customWidth="1"/>
    <col min="1811" max="1811" width="10" style="1653" customWidth="1"/>
    <col min="1812" max="1812" width="26.109375" style="1653" customWidth="1"/>
    <col min="1813" max="2048" width="8.88671875" style="1653"/>
    <col min="2049" max="2049" width="9.44140625" style="1653" customWidth="1"/>
    <col min="2050" max="2050" width="8.88671875" style="1653"/>
    <col min="2051" max="2053" width="12.88671875" style="1653" customWidth="1"/>
    <col min="2054" max="2054" width="47.44140625" style="1653" customWidth="1"/>
    <col min="2055" max="2055" width="13" style="1653" customWidth="1"/>
    <col min="2056" max="2057" width="8.88671875" style="1653"/>
    <col min="2058" max="2058" width="5.77734375" style="1653" customWidth="1"/>
    <col min="2059" max="2059" width="11.77734375" style="1653" customWidth="1"/>
    <col min="2060" max="2061" width="10.77734375" style="1653" customWidth="1"/>
    <col min="2062" max="2062" width="10" style="1653" customWidth="1"/>
    <col min="2063" max="2064" width="10.44140625" style="1653" customWidth="1"/>
    <col min="2065" max="2065" width="10" style="1653" customWidth="1"/>
    <col min="2066" max="2066" width="10.109375" style="1653" customWidth="1"/>
    <col min="2067" max="2067" width="10" style="1653" customWidth="1"/>
    <col min="2068" max="2068" width="26.109375" style="1653" customWidth="1"/>
    <col min="2069" max="2304" width="8.88671875" style="1653"/>
    <col min="2305" max="2305" width="9.44140625" style="1653" customWidth="1"/>
    <col min="2306" max="2306" width="8.88671875" style="1653"/>
    <col min="2307" max="2309" width="12.88671875" style="1653" customWidth="1"/>
    <col min="2310" max="2310" width="47.44140625" style="1653" customWidth="1"/>
    <col min="2311" max="2311" width="13" style="1653" customWidth="1"/>
    <col min="2312" max="2313" width="8.88671875" style="1653"/>
    <col min="2314" max="2314" width="5.77734375" style="1653" customWidth="1"/>
    <col min="2315" max="2315" width="11.77734375" style="1653" customWidth="1"/>
    <col min="2316" max="2317" width="10.77734375" style="1653" customWidth="1"/>
    <col min="2318" max="2318" width="10" style="1653" customWidth="1"/>
    <col min="2319" max="2320" width="10.44140625" style="1653" customWidth="1"/>
    <col min="2321" max="2321" width="10" style="1653" customWidth="1"/>
    <col min="2322" max="2322" width="10.109375" style="1653" customWidth="1"/>
    <col min="2323" max="2323" width="10" style="1653" customWidth="1"/>
    <col min="2324" max="2324" width="26.109375" style="1653" customWidth="1"/>
    <col min="2325" max="2560" width="8.88671875" style="1653"/>
    <col min="2561" max="2561" width="9.44140625" style="1653" customWidth="1"/>
    <col min="2562" max="2562" width="8.88671875" style="1653"/>
    <col min="2563" max="2565" width="12.88671875" style="1653" customWidth="1"/>
    <col min="2566" max="2566" width="47.44140625" style="1653" customWidth="1"/>
    <col min="2567" max="2567" width="13" style="1653" customWidth="1"/>
    <col min="2568" max="2569" width="8.88671875" style="1653"/>
    <col min="2570" max="2570" width="5.77734375" style="1653" customWidth="1"/>
    <col min="2571" max="2571" width="11.77734375" style="1653" customWidth="1"/>
    <col min="2572" max="2573" width="10.77734375" style="1653" customWidth="1"/>
    <col min="2574" max="2574" width="10" style="1653" customWidth="1"/>
    <col min="2575" max="2576" width="10.44140625" style="1653" customWidth="1"/>
    <col min="2577" max="2577" width="10" style="1653" customWidth="1"/>
    <col min="2578" max="2578" width="10.109375" style="1653" customWidth="1"/>
    <col min="2579" max="2579" width="10" style="1653" customWidth="1"/>
    <col min="2580" max="2580" width="26.109375" style="1653" customWidth="1"/>
    <col min="2581" max="2816" width="8.88671875" style="1653"/>
    <col min="2817" max="2817" width="9.44140625" style="1653" customWidth="1"/>
    <col min="2818" max="2818" width="8.88671875" style="1653"/>
    <col min="2819" max="2821" width="12.88671875" style="1653" customWidth="1"/>
    <col min="2822" max="2822" width="47.44140625" style="1653" customWidth="1"/>
    <col min="2823" max="2823" width="13" style="1653" customWidth="1"/>
    <col min="2824" max="2825" width="8.88671875" style="1653"/>
    <col min="2826" max="2826" width="5.77734375" style="1653" customWidth="1"/>
    <col min="2827" max="2827" width="11.77734375" style="1653" customWidth="1"/>
    <col min="2828" max="2829" width="10.77734375" style="1653" customWidth="1"/>
    <col min="2830" max="2830" width="10" style="1653" customWidth="1"/>
    <col min="2831" max="2832" width="10.44140625" style="1653" customWidth="1"/>
    <col min="2833" max="2833" width="10" style="1653" customWidth="1"/>
    <col min="2834" max="2834" width="10.109375" style="1653" customWidth="1"/>
    <col min="2835" max="2835" width="10" style="1653" customWidth="1"/>
    <col min="2836" max="2836" width="26.109375" style="1653" customWidth="1"/>
    <col min="2837" max="3072" width="8.88671875" style="1653"/>
    <col min="3073" max="3073" width="9.44140625" style="1653" customWidth="1"/>
    <col min="3074" max="3074" width="8.88671875" style="1653"/>
    <col min="3075" max="3077" width="12.88671875" style="1653" customWidth="1"/>
    <col min="3078" max="3078" width="47.44140625" style="1653" customWidth="1"/>
    <col min="3079" max="3079" width="13" style="1653" customWidth="1"/>
    <col min="3080" max="3081" width="8.88671875" style="1653"/>
    <col min="3082" max="3082" width="5.77734375" style="1653" customWidth="1"/>
    <col min="3083" max="3083" width="11.77734375" style="1653" customWidth="1"/>
    <col min="3084" max="3085" width="10.77734375" style="1653" customWidth="1"/>
    <col min="3086" max="3086" width="10" style="1653" customWidth="1"/>
    <col min="3087" max="3088" width="10.44140625" style="1653" customWidth="1"/>
    <col min="3089" max="3089" width="10" style="1653" customWidth="1"/>
    <col min="3090" max="3090" width="10.109375" style="1653" customWidth="1"/>
    <col min="3091" max="3091" width="10" style="1653" customWidth="1"/>
    <col min="3092" max="3092" width="26.109375" style="1653" customWidth="1"/>
    <col min="3093" max="3328" width="8.88671875" style="1653"/>
    <col min="3329" max="3329" width="9.44140625" style="1653" customWidth="1"/>
    <col min="3330" max="3330" width="8.88671875" style="1653"/>
    <col min="3331" max="3333" width="12.88671875" style="1653" customWidth="1"/>
    <col min="3334" max="3334" width="47.44140625" style="1653" customWidth="1"/>
    <col min="3335" max="3335" width="13" style="1653" customWidth="1"/>
    <col min="3336" max="3337" width="8.88671875" style="1653"/>
    <col min="3338" max="3338" width="5.77734375" style="1653" customWidth="1"/>
    <col min="3339" max="3339" width="11.77734375" style="1653" customWidth="1"/>
    <col min="3340" max="3341" width="10.77734375" style="1653" customWidth="1"/>
    <col min="3342" max="3342" width="10" style="1653" customWidth="1"/>
    <col min="3343" max="3344" width="10.44140625" style="1653" customWidth="1"/>
    <col min="3345" max="3345" width="10" style="1653" customWidth="1"/>
    <col min="3346" max="3346" width="10.109375" style="1653" customWidth="1"/>
    <col min="3347" max="3347" width="10" style="1653" customWidth="1"/>
    <col min="3348" max="3348" width="26.109375" style="1653" customWidth="1"/>
    <col min="3349" max="3584" width="8.88671875" style="1653"/>
    <col min="3585" max="3585" width="9.44140625" style="1653" customWidth="1"/>
    <col min="3586" max="3586" width="8.88671875" style="1653"/>
    <col min="3587" max="3589" width="12.88671875" style="1653" customWidth="1"/>
    <col min="3590" max="3590" width="47.44140625" style="1653" customWidth="1"/>
    <col min="3591" max="3591" width="13" style="1653" customWidth="1"/>
    <col min="3592" max="3593" width="8.88671875" style="1653"/>
    <col min="3594" max="3594" width="5.77734375" style="1653" customWidth="1"/>
    <col min="3595" max="3595" width="11.77734375" style="1653" customWidth="1"/>
    <col min="3596" max="3597" width="10.77734375" style="1653" customWidth="1"/>
    <col min="3598" max="3598" width="10" style="1653" customWidth="1"/>
    <col min="3599" max="3600" width="10.44140625" style="1653" customWidth="1"/>
    <col min="3601" max="3601" width="10" style="1653" customWidth="1"/>
    <col min="3602" max="3602" width="10.109375" style="1653" customWidth="1"/>
    <col min="3603" max="3603" width="10" style="1653" customWidth="1"/>
    <col min="3604" max="3604" width="26.109375" style="1653" customWidth="1"/>
    <col min="3605" max="3840" width="8.88671875" style="1653"/>
    <col min="3841" max="3841" width="9.44140625" style="1653" customWidth="1"/>
    <col min="3842" max="3842" width="8.88671875" style="1653"/>
    <col min="3843" max="3845" width="12.88671875" style="1653" customWidth="1"/>
    <col min="3846" max="3846" width="47.44140625" style="1653" customWidth="1"/>
    <col min="3847" max="3847" width="13" style="1653" customWidth="1"/>
    <col min="3848" max="3849" width="8.88671875" style="1653"/>
    <col min="3850" max="3850" width="5.77734375" style="1653" customWidth="1"/>
    <col min="3851" max="3851" width="11.77734375" style="1653" customWidth="1"/>
    <col min="3852" max="3853" width="10.77734375" style="1653" customWidth="1"/>
    <col min="3854" max="3854" width="10" style="1653" customWidth="1"/>
    <col min="3855" max="3856" width="10.44140625" style="1653" customWidth="1"/>
    <col min="3857" max="3857" width="10" style="1653" customWidth="1"/>
    <col min="3858" max="3858" width="10.109375" style="1653" customWidth="1"/>
    <col min="3859" max="3859" width="10" style="1653" customWidth="1"/>
    <col min="3860" max="3860" width="26.109375" style="1653" customWidth="1"/>
    <col min="3861" max="4096" width="8.88671875" style="1653"/>
    <col min="4097" max="4097" width="9.44140625" style="1653" customWidth="1"/>
    <col min="4098" max="4098" width="8.88671875" style="1653"/>
    <col min="4099" max="4101" width="12.88671875" style="1653" customWidth="1"/>
    <col min="4102" max="4102" width="47.44140625" style="1653" customWidth="1"/>
    <col min="4103" max="4103" width="13" style="1653" customWidth="1"/>
    <col min="4104" max="4105" width="8.88671875" style="1653"/>
    <col min="4106" max="4106" width="5.77734375" style="1653" customWidth="1"/>
    <col min="4107" max="4107" width="11.77734375" style="1653" customWidth="1"/>
    <col min="4108" max="4109" width="10.77734375" style="1653" customWidth="1"/>
    <col min="4110" max="4110" width="10" style="1653" customWidth="1"/>
    <col min="4111" max="4112" width="10.44140625" style="1653" customWidth="1"/>
    <col min="4113" max="4113" width="10" style="1653" customWidth="1"/>
    <col min="4114" max="4114" width="10.109375" style="1653" customWidth="1"/>
    <col min="4115" max="4115" width="10" style="1653" customWidth="1"/>
    <col min="4116" max="4116" width="26.109375" style="1653" customWidth="1"/>
    <col min="4117" max="4352" width="8.88671875" style="1653"/>
    <col min="4353" max="4353" width="9.44140625" style="1653" customWidth="1"/>
    <col min="4354" max="4354" width="8.88671875" style="1653"/>
    <col min="4355" max="4357" width="12.88671875" style="1653" customWidth="1"/>
    <col min="4358" max="4358" width="47.44140625" style="1653" customWidth="1"/>
    <col min="4359" max="4359" width="13" style="1653" customWidth="1"/>
    <col min="4360" max="4361" width="8.88671875" style="1653"/>
    <col min="4362" max="4362" width="5.77734375" style="1653" customWidth="1"/>
    <col min="4363" max="4363" width="11.77734375" style="1653" customWidth="1"/>
    <col min="4364" max="4365" width="10.77734375" style="1653" customWidth="1"/>
    <col min="4366" max="4366" width="10" style="1653" customWidth="1"/>
    <col min="4367" max="4368" width="10.44140625" style="1653" customWidth="1"/>
    <col min="4369" max="4369" width="10" style="1653" customWidth="1"/>
    <col min="4370" max="4370" width="10.109375" style="1653" customWidth="1"/>
    <col min="4371" max="4371" width="10" style="1653" customWidth="1"/>
    <col min="4372" max="4372" width="26.109375" style="1653" customWidth="1"/>
    <col min="4373" max="4608" width="8.88671875" style="1653"/>
    <col min="4609" max="4609" width="9.44140625" style="1653" customWidth="1"/>
    <col min="4610" max="4610" width="8.88671875" style="1653"/>
    <col min="4611" max="4613" width="12.88671875" style="1653" customWidth="1"/>
    <col min="4614" max="4614" width="47.44140625" style="1653" customWidth="1"/>
    <col min="4615" max="4615" width="13" style="1653" customWidth="1"/>
    <col min="4616" max="4617" width="8.88671875" style="1653"/>
    <col min="4618" max="4618" width="5.77734375" style="1653" customWidth="1"/>
    <col min="4619" max="4619" width="11.77734375" style="1653" customWidth="1"/>
    <col min="4620" max="4621" width="10.77734375" style="1653" customWidth="1"/>
    <col min="4622" max="4622" width="10" style="1653" customWidth="1"/>
    <col min="4623" max="4624" width="10.44140625" style="1653" customWidth="1"/>
    <col min="4625" max="4625" width="10" style="1653" customWidth="1"/>
    <col min="4626" max="4626" width="10.109375" style="1653" customWidth="1"/>
    <col min="4627" max="4627" width="10" style="1653" customWidth="1"/>
    <col min="4628" max="4628" width="26.109375" style="1653" customWidth="1"/>
    <col min="4629" max="4864" width="8.88671875" style="1653"/>
    <col min="4865" max="4865" width="9.44140625" style="1653" customWidth="1"/>
    <col min="4866" max="4866" width="8.88671875" style="1653"/>
    <col min="4867" max="4869" width="12.88671875" style="1653" customWidth="1"/>
    <col min="4870" max="4870" width="47.44140625" style="1653" customWidth="1"/>
    <col min="4871" max="4871" width="13" style="1653" customWidth="1"/>
    <col min="4872" max="4873" width="8.88671875" style="1653"/>
    <col min="4874" max="4874" width="5.77734375" style="1653" customWidth="1"/>
    <col min="4875" max="4875" width="11.77734375" style="1653" customWidth="1"/>
    <col min="4876" max="4877" width="10.77734375" style="1653" customWidth="1"/>
    <col min="4878" max="4878" width="10" style="1653" customWidth="1"/>
    <col min="4879" max="4880" width="10.44140625" style="1653" customWidth="1"/>
    <col min="4881" max="4881" width="10" style="1653" customWidth="1"/>
    <col min="4882" max="4882" width="10.109375" style="1653" customWidth="1"/>
    <col min="4883" max="4883" width="10" style="1653" customWidth="1"/>
    <col min="4884" max="4884" width="26.109375" style="1653" customWidth="1"/>
    <col min="4885" max="5120" width="8.88671875" style="1653"/>
    <col min="5121" max="5121" width="9.44140625" style="1653" customWidth="1"/>
    <col min="5122" max="5122" width="8.88671875" style="1653"/>
    <col min="5123" max="5125" width="12.88671875" style="1653" customWidth="1"/>
    <col min="5126" max="5126" width="47.44140625" style="1653" customWidth="1"/>
    <col min="5127" max="5127" width="13" style="1653" customWidth="1"/>
    <col min="5128" max="5129" width="8.88671875" style="1653"/>
    <col min="5130" max="5130" width="5.77734375" style="1653" customWidth="1"/>
    <col min="5131" max="5131" width="11.77734375" style="1653" customWidth="1"/>
    <col min="5132" max="5133" width="10.77734375" style="1653" customWidth="1"/>
    <col min="5134" max="5134" width="10" style="1653" customWidth="1"/>
    <col min="5135" max="5136" width="10.44140625" style="1653" customWidth="1"/>
    <col min="5137" max="5137" width="10" style="1653" customWidth="1"/>
    <col min="5138" max="5138" width="10.109375" style="1653" customWidth="1"/>
    <col min="5139" max="5139" width="10" style="1653" customWidth="1"/>
    <col min="5140" max="5140" width="26.109375" style="1653" customWidth="1"/>
    <col min="5141" max="5376" width="8.88671875" style="1653"/>
    <col min="5377" max="5377" width="9.44140625" style="1653" customWidth="1"/>
    <col min="5378" max="5378" width="8.88671875" style="1653"/>
    <col min="5379" max="5381" width="12.88671875" style="1653" customWidth="1"/>
    <col min="5382" max="5382" width="47.44140625" style="1653" customWidth="1"/>
    <col min="5383" max="5383" width="13" style="1653" customWidth="1"/>
    <col min="5384" max="5385" width="8.88671875" style="1653"/>
    <col min="5386" max="5386" width="5.77734375" style="1653" customWidth="1"/>
    <col min="5387" max="5387" width="11.77734375" style="1653" customWidth="1"/>
    <col min="5388" max="5389" width="10.77734375" style="1653" customWidth="1"/>
    <col min="5390" max="5390" width="10" style="1653" customWidth="1"/>
    <col min="5391" max="5392" width="10.44140625" style="1653" customWidth="1"/>
    <col min="5393" max="5393" width="10" style="1653" customWidth="1"/>
    <col min="5394" max="5394" width="10.109375" style="1653" customWidth="1"/>
    <col min="5395" max="5395" width="10" style="1653" customWidth="1"/>
    <col min="5396" max="5396" width="26.109375" style="1653" customWidth="1"/>
    <col min="5397" max="5632" width="8.88671875" style="1653"/>
    <col min="5633" max="5633" width="9.44140625" style="1653" customWidth="1"/>
    <col min="5634" max="5634" width="8.88671875" style="1653"/>
    <col min="5635" max="5637" width="12.88671875" style="1653" customWidth="1"/>
    <col min="5638" max="5638" width="47.44140625" style="1653" customWidth="1"/>
    <col min="5639" max="5639" width="13" style="1653" customWidth="1"/>
    <col min="5640" max="5641" width="8.88671875" style="1653"/>
    <col min="5642" max="5642" width="5.77734375" style="1653" customWidth="1"/>
    <col min="5643" max="5643" width="11.77734375" style="1653" customWidth="1"/>
    <col min="5644" max="5645" width="10.77734375" style="1653" customWidth="1"/>
    <col min="5646" max="5646" width="10" style="1653" customWidth="1"/>
    <col min="5647" max="5648" width="10.44140625" style="1653" customWidth="1"/>
    <col min="5649" max="5649" width="10" style="1653" customWidth="1"/>
    <col min="5650" max="5650" width="10.109375" style="1653" customWidth="1"/>
    <col min="5651" max="5651" width="10" style="1653" customWidth="1"/>
    <col min="5652" max="5652" width="26.109375" style="1653" customWidth="1"/>
    <col min="5653" max="5888" width="8.88671875" style="1653"/>
    <col min="5889" max="5889" width="9.44140625" style="1653" customWidth="1"/>
    <col min="5890" max="5890" width="8.88671875" style="1653"/>
    <col min="5891" max="5893" width="12.88671875" style="1653" customWidth="1"/>
    <col min="5894" max="5894" width="47.44140625" style="1653" customWidth="1"/>
    <col min="5895" max="5895" width="13" style="1653" customWidth="1"/>
    <col min="5896" max="5897" width="8.88671875" style="1653"/>
    <col min="5898" max="5898" width="5.77734375" style="1653" customWidth="1"/>
    <col min="5899" max="5899" width="11.77734375" style="1653" customWidth="1"/>
    <col min="5900" max="5901" width="10.77734375" style="1653" customWidth="1"/>
    <col min="5902" max="5902" width="10" style="1653" customWidth="1"/>
    <col min="5903" max="5904" width="10.44140625" style="1653" customWidth="1"/>
    <col min="5905" max="5905" width="10" style="1653" customWidth="1"/>
    <col min="5906" max="5906" width="10.109375" style="1653" customWidth="1"/>
    <col min="5907" max="5907" width="10" style="1653" customWidth="1"/>
    <col min="5908" max="5908" width="26.109375" style="1653" customWidth="1"/>
    <col min="5909" max="6144" width="8.88671875" style="1653"/>
    <col min="6145" max="6145" width="9.44140625" style="1653" customWidth="1"/>
    <col min="6146" max="6146" width="8.88671875" style="1653"/>
    <col min="6147" max="6149" width="12.88671875" style="1653" customWidth="1"/>
    <col min="6150" max="6150" width="47.44140625" style="1653" customWidth="1"/>
    <col min="6151" max="6151" width="13" style="1653" customWidth="1"/>
    <col min="6152" max="6153" width="8.88671875" style="1653"/>
    <col min="6154" max="6154" width="5.77734375" style="1653" customWidth="1"/>
    <col min="6155" max="6155" width="11.77734375" style="1653" customWidth="1"/>
    <col min="6156" max="6157" width="10.77734375" style="1653" customWidth="1"/>
    <col min="6158" max="6158" width="10" style="1653" customWidth="1"/>
    <col min="6159" max="6160" width="10.44140625" style="1653" customWidth="1"/>
    <col min="6161" max="6161" width="10" style="1653" customWidth="1"/>
    <col min="6162" max="6162" width="10.109375" style="1653" customWidth="1"/>
    <col min="6163" max="6163" width="10" style="1653" customWidth="1"/>
    <col min="6164" max="6164" width="26.109375" style="1653" customWidth="1"/>
    <col min="6165" max="6400" width="8.88671875" style="1653"/>
    <col min="6401" max="6401" width="9.44140625" style="1653" customWidth="1"/>
    <col min="6402" max="6402" width="8.88671875" style="1653"/>
    <col min="6403" max="6405" width="12.88671875" style="1653" customWidth="1"/>
    <col min="6406" max="6406" width="47.44140625" style="1653" customWidth="1"/>
    <col min="6407" max="6407" width="13" style="1653" customWidth="1"/>
    <col min="6408" max="6409" width="8.88671875" style="1653"/>
    <col min="6410" max="6410" width="5.77734375" style="1653" customWidth="1"/>
    <col min="6411" max="6411" width="11.77734375" style="1653" customWidth="1"/>
    <col min="6412" max="6413" width="10.77734375" style="1653" customWidth="1"/>
    <col min="6414" max="6414" width="10" style="1653" customWidth="1"/>
    <col min="6415" max="6416" width="10.44140625" style="1653" customWidth="1"/>
    <col min="6417" max="6417" width="10" style="1653" customWidth="1"/>
    <col min="6418" max="6418" width="10.109375" style="1653" customWidth="1"/>
    <col min="6419" max="6419" width="10" style="1653" customWidth="1"/>
    <col min="6420" max="6420" width="26.109375" style="1653" customWidth="1"/>
    <col min="6421" max="6656" width="8.88671875" style="1653"/>
    <col min="6657" max="6657" width="9.44140625" style="1653" customWidth="1"/>
    <col min="6658" max="6658" width="8.88671875" style="1653"/>
    <col min="6659" max="6661" width="12.88671875" style="1653" customWidth="1"/>
    <col min="6662" max="6662" width="47.44140625" style="1653" customWidth="1"/>
    <col min="6663" max="6663" width="13" style="1653" customWidth="1"/>
    <col min="6664" max="6665" width="8.88671875" style="1653"/>
    <col min="6666" max="6666" width="5.77734375" style="1653" customWidth="1"/>
    <col min="6667" max="6667" width="11.77734375" style="1653" customWidth="1"/>
    <col min="6668" max="6669" width="10.77734375" style="1653" customWidth="1"/>
    <col min="6670" max="6670" width="10" style="1653" customWidth="1"/>
    <col min="6671" max="6672" width="10.44140625" style="1653" customWidth="1"/>
    <col min="6673" max="6673" width="10" style="1653" customWidth="1"/>
    <col min="6674" max="6674" width="10.109375" style="1653" customWidth="1"/>
    <col min="6675" max="6675" width="10" style="1653" customWidth="1"/>
    <col min="6676" max="6676" width="26.109375" style="1653" customWidth="1"/>
    <col min="6677" max="6912" width="8.88671875" style="1653"/>
    <col min="6913" max="6913" width="9.44140625" style="1653" customWidth="1"/>
    <col min="6914" max="6914" width="8.88671875" style="1653"/>
    <col min="6915" max="6917" width="12.88671875" style="1653" customWidth="1"/>
    <col min="6918" max="6918" width="47.44140625" style="1653" customWidth="1"/>
    <col min="6919" max="6919" width="13" style="1653" customWidth="1"/>
    <col min="6920" max="6921" width="8.88671875" style="1653"/>
    <col min="6922" max="6922" width="5.77734375" style="1653" customWidth="1"/>
    <col min="6923" max="6923" width="11.77734375" style="1653" customWidth="1"/>
    <col min="6924" max="6925" width="10.77734375" style="1653" customWidth="1"/>
    <col min="6926" max="6926" width="10" style="1653" customWidth="1"/>
    <col min="6927" max="6928" width="10.44140625" style="1653" customWidth="1"/>
    <col min="6929" max="6929" width="10" style="1653" customWidth="1"/>
    <col min="6930" max="6930" width="10.109375" style="1653" customWidth="1"/>
    <col min="6931" max="6931" width="10" style="1653" customWidth="1"/>
    <col min="6932" max="6932" width="26.109375" style="1653" customWidth="1"/>
    <col min="6933" max="7168" width="8.88671875" style="1653"/>
    <col min="7169" max="7169" width="9.44140625" style="1653" customWidth="1"/>
    <col min="7170" max="7170" width="8.88671875" style="1653"/>
    <col min="7171" max="7173" width="12.88671875" style="1653" customWidth="1"/>
    <col min="7174" max="7174" width="47.44140625" style="1653" customWidth="1"/>
    <col min="7175" max="7175" width="13" style="1653" customWidth="1"/>
    <col min="7176" max="7177" width="8.88671875" style="1653"/>
    <col min="7178" max="7178" width="5.77734375" style="1653" customWidth="1"/>
    <col min="7179" max="7179" width="11.77734375" style="1653" customWidth="1"/>
    <col min="7180" max="7181" width="10.77734375" style="1653" customWidth="1"/>
    <col min="7182" max="7182" width="10" style="1653" customWidth="1"/>
    <col min="7183" max="7184" width="10.44140625" style="1653" customWidth="1"/>
    <col min="7185" max="7185" width="10" style="1653" customWidth="1"/>
    <col min="7186" max="7186" width="10.109375" style="1653" customWidth="1"/>
    <col min="7187" max="7187" width="10" style="1653" customWidth="1"/>
    <col min="7188" max="7188" width="26.109375" style="1653" customWidth="1"/>
    <col min="7189" max="7424" width="8.88671875" style="1653"/>
    <col min="7425" max="7425" width="9.44140625" style="1653" customWidth="1"/>
    <col min="7426" max="7426" width="8.88671875" style="1653"/>
    <col min="7427" max="7429" width="12.88671875" style="1653" customWidth="1"/>
    <col min="7430" max="7430" width="47.44140625" style="1653" customWidth="1"/>
    <col min="7431" max="7431" width="13" style="1653" customWidth="1"/>
    <col min="7432" max="7433" width="8.88671875" style="1653"/>
    <col min="7434" max="7434" width="5.77734375" style="1653" customWidth="1"/>
    <col min="7435" max="7435" width="11.77734375" style="1653" customWidth="1"/>
    <col min="7436" max="7437" width="10.77734375" style="1653" customWidth="1"/>
    <col min="7438" max="7438" width="10" style="1653" customWidth="1"/>
    <col min="7439" max="7440" width="10.44140625" style="1653" customWidth="1"/>
    <col min="7441" max="7441" width="10" style="1653" customWidth="1"/>
    <col min="7442" max="7442" width="10.109375" style="1653" customWidth="1"/>
    <col min="7443" max="7443" width="10" style="1653" customWidth="1"/>
    <col min="7444" max="7444" width="26.109375" style="1653" customWidth="1"/>
    <col min="7445" max="7680" width="8.88671875" style="1653"/>
    <col min="7681" max="7681" width="9.44140625" style="1653" customWidth="1"/>
    <col min="7682" max="7682" width="8.88671875" style="1653"/>
    <col min="7683" max="7685" width="12.88671875" style="1653" customWidth="1"/>
    <col min="7686" max="7686" width="47.44140625" style="1653" customWidth="1"/>
    <col min="7687" max="7687" width="13" style="1653" customWidth="1"/>
    <col min="7688" max="7689" width="8.88671875" style="1653"/>
    <col min="7690" max="7690" width="5.77734375" style="1653" customWidth="1"/>
    <col min="7691" max="7691" width="11.77734375" style="1653" customWidth="1"/>
    <col min="7692" max="7693" width="10.77734375" style="1653" customWidth="1"/>
    <col min="7694" max="7694" width="10" style="1653" customWidth="1"/>
    <col min="7695" max="7696" width="10.44140625" style="1653" customWidth="1"/>
    <col min="7697" max="7697" width="10" style="1653" customWidth="1"/>
    <col min="7698" max="7698" width="10.109375" style="1653" customWidth="1"/>
    <col min="7699" max="7699" width="10" style="1653" customWidth="1"/>
    <col min="7700" max="7700" width="26.109375" style="1653" customWidth="1"/>
    <col min="7701" max="7936" width="8.88671875" style="1653"/>
    <col min="7937" max="7937" width="9.44140625" style="1653" customWidth="1"/>
    <col min="7938" max="7938" width="8.88671875" style="1653"/>
    <col min="7939" max="7941" width="12.88671875" style="1653" customWidth="1"/>
    <col min="7942" max="7942" width="47.44140625" style="1653" customWidth="1"/>
    <col min="7943" max="7943" width="13" style="1653" customWidth="1"/>
    <col min="7944" max="7945" width="8.88671875" style="1653"/>
    <col min="7946" max="7946" width="5.77734375" style="1653" customWidth="1"/>
    <col min="7947" max="7947" width="11.77734375" style="1653" customWidth="1"/>
    <col min="7948" max="7949" width="10.77734375" style="1653" customWidth="1"/>
    <col min="7950" max="7950" width="10" style="1653" customWidth="1"/>
    <col min="7951" max="7952" width="10.44140625" style="1653" customWidth="1"/>
    <col min="7953" max="7953" width="10" style="1653" customWidth="1"/>
    <col min="7954" max="7954" width="10.109375" style="1653" customWidth="1"/>
    <col min="7955" max="7955" width="10" style="1653" customWidth="1"/>
    <col min="7956" max="7956" width="26.109375" style="1653" customWidth="1"/>
    <col min="7957" max="8192" width="8.88671875" style="1653"/>
    <col min="8193" max="8193" width="9.44140625" style="1653" customWidth="1"/>
    <col min="8194" max="8194" width="8.88671875" style="1653"/>
    <col min="8195" max="8197" width="12.88671875" style="1653" customWidth="1"/>
    <col min="8198" max="8198" width="47.44140625" style="1653" customWidth="1"/>
    <col min="8199" max="8199" width="13" style="1653" customWidth="1"/>
    <col min="8200" max="8201" width="8.88671875" style="1653"/>
    <col min="8202" max="8202" width="5.77734375" style="1653" customWidth="1"/>
    <col min="8203" max="8203" width="11.77734375" style="1653" customWidth="1"/>
    <col min="8204" max="8205" width="10.77734375" style="1653" customWidth="1"/>
    <col min="8206" max="8206" width="10" style="1653" customWidth="1"/>
    <col min="8207" max="8208" width="10.44140625" style="1653" customWidth="1"/>
    <col min="8209" max="8209" width="10" style="1653" customWidth="1"/>
    <col min="8210" max="8210" width="10.109375" style="1653" customWidth="1"/>
    <col min="8211" max="8211" width="10" style="1653" customWidth="1"/>
    <col min="8212" max="8212" width="26.109375" style="1653" customWidth="1"/>
    <col min="8213" max="8448" width="8.88671875" style="1653"/>
    <col min="8449" max="8449" width="9.44140625" style="1653" customWidth="1"/>
    <col min="8450" max="8450" width="8.88671875" style="1653"/>
    <col min="8451" max="8453" width="12.88671875" style="1653" customWidth="1"/>
    <col min="8454" max="8454" width="47.44140625" style="1653" customWidth="1"/>
    <col min="8455" max="8455" width="13" style="1653" customWidth="1"/>
    <col min="8456" max="8457" width="8.88671875" style="1653"/>
    <col min="8458" max="8458" width="5.77734375" style="1653" customWidth="1"/>
    <col min="8459" max="8459" width="11.77734375" style="1653" customWidth="1"/>
    <col min="8460" max="8461" width="10.77734375" style="1653" customWidth="1"/>
    <col min="8462" max="8462" width="10" style="1653" customWidth="1"/>
    <col min="8463" max="8464" width="10.44140625" style="1653" customWidth="1"/>
    <col min="8465" max="8465" width="10" style="1653" customWidth="1"/>
    <col min="8466" max="8466" width="10.109375" style="1653" customWidth="1"/>
    <col min="8467" max="8467" width="10" style="1653" customWidth="1"/>
    <col min="8468" max="8468" width="26.109375" style="1653" customWidth="1"/>
    <col min="8469" max="8704" width="8.88671875" style="1653"/>
    <col min="8705" max="8705" width="9.44140625" style="1653" customWidth="1"/>
    <col min="8706" max="8706" width="8.88671875" style="1653"/>
    <col min="8707" max="8709" width="12.88671875" style="1653" customWidth="1"/>
    <col min="8710" max="8710" width="47.44140625" style="1653" customWidth="1"/>
    <col min="8711" max="8711" width="13" style="1653" customWidth="1"/>
    <col min="8712" max="8713" width="8.88671875" style="1653"/>
    <col min="8714" max="8714" width="5.77734375" style="1653" customWidth="1"/>
    <col min="8715" max="8715" width="11.77734375" style="1653" customWidth="1"/>
    <col min="8716" max="8717" width="10.77734375" style="1653" customWidth="1"/>
    <col min="8718" max="8718" width="10" style="1653" customWidth="1"/>
    <col min="8719" max="8720" width="10.44140625" style="1653" customWidth="1"/>
    <col min="8721" max="8721" width="10" style="1653" customWidth="1"/>
    <col min="8722" max="8722" width="10.109375" style="1653" customWidth="1"/>
    <col min="8723" max="8723" width="10" style="1653" customWidth="1"/>
    <col min="8724" max="8724" width="26.109375" style="1653" customWidth="1"/>
    <col min="8725" max="8960" width="8.88671875" style="1653"/>
    <col min="8961" max="8961" width="9.44140625" style="1653" customWidth="1"/>
    <col min="8962" max="8962" width="8.88671875" style="1653"/>
    <col min="8963" max="8965" width="12.88671875" style="1653" customWidth="1"/>
    <col min="8966" max="8966" width="47.44140625" style="1653" customWidth="1"/>
    <col min="8967" max="8967" width="13" style="1653" customWidth="1"/>
    <col min="8968" max="8969" width="8.88671875" style="1653"/>
    <col min="8970" max="8970" width="5.77734375" style="1653" customWidth="1"/>
    <col min="8971" max="8971" width="11.77734375" style="1653" customWidth="1"/>
    <col min="8972" max="8973" width="10.77734375" style="1653" customWidth="1"/>
    <col min="8974" max="8974" width="10" style="1653" customWidth="1"/>
    <col min="8975" max="8976" width="10.44140625" style="1653" customWidth="1"/>
    <col min="8977" max="8977" width="10" style="1653" customWidth="1"/>
    <col min="8978" max="8978" width="10.109375" style="1653" customWidth="1"/>
    <col min="8979" max="8979" width="10" style="1653" customWidth="1"/>
    <col min="8980" max="8980" width="26.109375" style="1653" customWidth="1"/>
    <col min="8981" max="9216" width="8.88671875" style="1653"/>
    <col min="9217" max="9217" width="9.44140625" style="1653" customWidth="1"/>
    <col min="9218" max="9218" width="8.88671875" style="1653"/>
    <col min="9219" max="9221" width="12.88671875" style="1653" customWidth="1"/>
    <col min="9222" max="9222" width="47.44140625" style="1653" customWidth="1"/>
    <col min="9223" max="9223" width="13" style="1653" customWidth="1"/>
    <col min="9224" max="9225" width="8.88671875" style="1653"/>
    <col min="9226" max="9226" width="5.77734375" style="1653" customWidth="1"/>
    <col min="9227" max="9227" width="11.77734375" style="1653" customWidth="1"/>
    <col min="9228" max="9229" width="10.77734375" style="1653" customWidth="1"/>
    <col min="9230" max="9230" width="10" style="1653" customWidth="1"/>
    <col min="9231" max="9232" width="10.44140625" style="1653" customWidth="1"/>
    <col min="9233" max="9233" width="10" style="1653" customWidth="1"/>
    <col min="9234" max="9234" width="10.109375" style="1653" customWidth="1"/>
    <col min="9235" max="9235" width="10" style="1653" customWidth="1"/>
    <col min="9236" max="9236" width="26.109375" style="1653" customWidth="1"/>
    <col min="9237" max="9472" width="8.88671875" style="1653"/>
    <col min="9473" max="9473" width="9.44140625" style="1653" customWidth="1"/>
    <col min="9474" max="9474" width="8.88671875" style="1653"/>
    <col min="9475" max="9477" width="12.88671875" style="1653" customWidth="1"/>
    <col min="9478" max="9478" width="47.44140625" style="1653" customWidth="1"/>
    <col min="9479" max="9479" width="13" style="1653" customWidth="1"/>
    <col min="9480" max="9481" width="8.88671875" style="1653"/>
    <col min="9482" max="9482" width="5.77734375" style="1653" customWidth="1"/>
    <col min="9483" max="9483" width="11.77734375" style="1653" customWidth="1"/>
    <col min="9484" max="9485" width="10.77734375" style="1653" customWidth="1"/>
    <col min="9486" max="9486" width="10" style="1653" customWidth="1"/>
    <col min="9487" max="9488" width="10.44140625" style="1653" customWidth="1"/>
    <col min="9489" max="9489" width="10" style="1653" customWidth="1"/>
    <col min="9490" max="9490" width="10.109375" style="1653" customWidth="1"/>
    <col min="9491" max="9491" width="10" style="1653" customWidth="1"/>
    <col min="9492" max="9492" width="26.109375" style="1653" customWidth="1"/>
    <col min="9493" max="9728" width="8.88671875" style="1653"/>
    <col min="9729" max="9729" width="9.44140625" style="1653" customWidth="1"/>
    <col min="9730" max="9730" width="8.88671875" style="1653"/>
    <col min="9731" max="9733" width="12.88671875" style="1653" customWidth="1"/>
    <col min="9734" max="9734" width="47.44140625" style="1653" customWidth="1"/>
    <col min="9735" max="9735" width="13" style="1653" customWidth="1"/>
    <col min="9736" max="9737" width="8.88671875" style="1653"/>
    <col min="9738" max="9738" width="5.77734375" style="1653" customWidth="1"/>
    <col min="9739" max="9739" width="11.77734375" style="1653" customWidth="1"/>
    <col min="9740" max="9741" width="10.77734375" style="1653" customWidth="1"/>
    <col min="9742" max="9742" width="10" style="1653" customWidth="1"/>
    <col min="9743" max="9744" width="10.44140625" style="1653" customWidth="1"/>
    <col min="9745" max="9745" width="10" style="1653" customWidth="1"/>
    <col min="9746" max="9746" width="10.109375" style="1653" customWidth="1"/>
    <col min="9747" max="9747" width="10" style="1653" customWidth="1"/>
    <col min="9748" max="9748" width="26.109375" style="1653" customWidth="1"/>
    <col min="9749" max="9984" width="8.88671875" style="1653"/>
    <col min="9985" max="9985" width="9.44140625" style="1653" customWidth="1"/>
    <col min="9986" max="9986" width="8.88671875" style="1653"/>
    <col min="9987" max="9989" width="12.88671875" style="1653" customWidth="1"/>
    <col min="9990" max="9990" width="47.44140625" style="1653" customWidth="1"/>
    <col min="9991" max="9991" width="13" style="1653" customWidth="1"/>
    <col min="9992" max="9993" width="8.88671875" style="1653"/>
    <col min="9994" max="9994" width="5.77734375" style="1653" customWidth="1"/>
    <col min="9995" max="9995" width="11.77734375" style="1653" customWidth="1"/>
    <col min="9996" max="9997" width="10.77734375" style="1653" customWidth="1"/>
    <col min="9998" max="9998" width="10" style="1653" customWidth="1"/>
    <col min="9999" max="10000" width="10.44140625" style="1653" customWidth="1"/>
    <col min="10001" max="10001" width="10" style="1653" customWidth="1"/>
    <col min="10002" max="10002" width="10.109375" style="1653" customWidth="1"/>
    <col min="10003" max="10003" width="10" style="1653" customWidth="1"/>
    <col min="10004" max="10004" width="26.109375" style="1653" customWidth="1"/>
    <col min="10005" max="10240" width="8.88671875" style="1653"/>
    <col min="10241" max="10241" width="9.44140625" style="1653" customWidth="1"/>
    <col min="10242" max="10242" width="8.88671875" style="1653"/>
    <col min="10243" max="10245" width="12.88671875" style="1653" customWidth="1"/>
    <col min="10246" max="10246" width="47.44140625" style="1653" customWidth="1"/>
    <col min="10247" max="10247" width="13" style="1653" customWidth="1"/>
    <col min="10248" max="10249" width="8.88671875" style="1653"/>
    <col min="10250" max="10250" width="5.77734375" style="1653" customWidth="1"/>
    <col min="10251" max="10251" width="11.77734375" style="1653" customWidth="1"/>
    <col min="10252" max="10253" width="10.77734375" style="1653" customWidth="1"/>
    <col min="10254" max="10254" width="10" style="1653" customWidth="1"/>
    <col min="10255" max="10256" width="10.44140625" style="1653" customWidth="1"/>
    <col min="10257" max="10257" width="10" style="1653" customWidth="1"/>
    <col min="10258" max="10258" width="10.109375" style="1653" customWidth="1"/>
    <col min="10259" max="10259" width="10" style="1653" customWidth="1"/>
    <col min="10260" max="10260" width="26.109375" style="1653" customWidth="1"/>
    <col min="10261" max="10496" width="8.88671875" style="1653"/>
    <col min="10497" max="10497" width="9.44140625" style="1653" customWidth="1"/>
    <col min="10498" max="10498" width="8.88671875" style="1653"/>
    <col min="10499" max="10501" width="12.88671875" style="1653" customWidth="1"/>
    <col min="10502" max="10502" width="47.44140625" style="1653" customWidth="1"/>
    <col min="10503" max="10503" width="13" style="1653" customWidth="1"/>
    <col min="10504" max="10505" width="8.88671875" style="1653"/>
    <col min="10506" max="10506" width="5.77734375" style="1653" customWidth="1"/>
    <col min="10507" max="10507" width="11.77734375" style="1653" customWidth="1"/>
    <col min="10508" max="10509" width="10.77734375" style="1653" customWidth="1"/>
    <col min="10510" max="10510" width="10" style="1653" customWidth="1"/>
    <col min="10511" max="10512" width="10.44140625" style="1653" customWidth="1"/>
    <col min="10513" max="10513" width="10" style="1653" customWidth="1"/>
    <col min="10514" max="10514" width="10.109375" style="1653" customWidth="1"/>
    <col min="10515" max="10515" width="10" style="1653" customWidth="1"/>
    <col min="10516" max="10516" width="26.109375" style="1653" customWidth="1"/>
    <col min="10517" max="10752" width="8.88671875" style="1653"/>
    <col min="10753" max="10753" width="9.44140625" style="1653" customWidth="1"/>
    <col min="10754" max="10754" width="8.88671875" style="1653"/>
    <col min="10755" max="10757" width="12.88671875" style="1653" customWidth="1"/>
    <col min="10758" max="10758" width="47.44140625" style="1653" customWidth="1"/>
    <col min="10759" max="10759" width="13" style="1653" customWidth="1"/>
    <col min="10760" max="10761" width="8.88671875" style="1653"/>
    <col min="10762" max="10762" width="5.77734375" style="1653" customWidth="1"/>
    <col min="10763" max="10763" width="11.77734375" style="1653" customWidth="1"/>
    <col min="10764" max="10765" width="10.77734375" style="1653" customWidth="1"/>
    <col min="10766" max="10766" width="10" style="1653" customWidth="1"/>
    <col min="10767" max="10768" width="10.44140625" style="1653" customWidth="1"/>
    <col min="10769" max="10769" width="10" style="1653" customWidth="1"/>
    <col min="10770" max="10770" width="10.109375" style="1653" customWidth="1"/>
    <col min="10771" max="10771" width="10" style="1653" customWidth="1"/>
    <col min="10772" max="10772" width="26.109375" style="1653" customWidth="1"/>
    <col min="10773" max="11008" width="8.88671875" style="1653"/>
    <col min="11009" max="11009" width="9.44140625" style="1653" customWidth="1"/>
    <col min="11010" max="11010" width="8.88671875" style="1653"/>
    <col min="11011" max="11013" width="12.88671875" style="1653" customWidth="1"/>
    <col min="11014" max="11014" width="47.44140625" style="1653" customWidth="1"/>
    <col min="11015" max="11015" width="13" style="1653" customWidth="1"/>
    <col min="11016" max="11017" width="8.88671875" style="1653"/>
    <col min="11018" max="11018" width="5.77734375" style="1653" customWidth="1"/>
    <col min="11019" max="11019" width="11.77734375" style="1653" customWidth="1"/>
    <col min="11020" max="11021" width="10.77734375" style="1653" customWidth="1"/>
    <col min="11022" max="11022" width="10" style="1653" customWidth="1"/>
    <col min="11023" max="11024" width="10.44140625" style="1653" customWidth="1"/>
    <col min="11025" max="11025" width="10" style="1653" customWidth="1"/>
    <col min="11026" max="11026" width="10.109375" style="1653" customWidth="1"/>
    <col min="11027" max="11027" width="10" style="1653" customWidth="1"/>
    <col min="11028" max="11028" width="26.109375" style="1653" customWidth="1"/>
    <col min="11029" max="11264" width="8.88671875" style="1653"/>
    <col min="11265" max="11265" width="9.44140625" style="1653" customWidth="1"/>
    <col min="11266" max="11266" width="8.88671875" style="1653"/>
    <col min="11267" max="11269" width="12.88671875" style="1653" customWidth="1"/>
    <col min="11270" max="11270" width="47.44140625" style="1653" customWidth="1"/>
    <col min="11271" max="11271" width="13" style="1653" customWidth="1"/>
    <col min="11272" max="11273" width="8.88671875" style="1653"/>
    <col min="11274" max="11274" width="5.77734375" style="1653" customWidth="1"/>
    <col min="11275" max="11275" width="11.77734375" style="1653" customWidth="1"/>
    <col min="11276" max="11277" width="10.77734375" style="1653" customWidth="1"/>
    <col min="11278" max="11278" width="10" style="1653" customWidth="1"/>
    <col min="11279" max="11280" width="10.44140625" style="1653" customWidth="1"/>
    <col min="11281" max="11281" width="10" style="1653" customWidth="1"/>
    <col min="11282" max="11282" width="10.109375" style="1653" customWidth="1"/>
    <col min="11283" max="11283" width="10" style="1653" customWidth="1"/>
    <col min="11284" max="11284" width="26.109375" style="1653" customWidth="1"/>
    <col min="11285" max="11520" width="8.88671875" style="1653"/>
    <col min="11521" max="11521" width="9.44140625" style="1653" customWidth="1"/>
    <col min="11522" max="11522" width="8.88671875" style="1653"/>
    <col min="11523" max="11525" width="12.88671875" style="1653" customWidth="1"/>
    <col min="11526" max="11526" width="47.44140625" style="1653" customWidth="1"/>
    <col min="11527" max="11527" width="13" style="1653" customWidth="1"/>
    <col min="11528" max="11529" width="8.88671875" style="1653"/>
    <col min="11530" max="11530" width="5.77734375" style="1653" customWidth="1"/>
    <col min="11531" max="11531" width="11.77734375" style="1653" customWidth="1"/>
    <col min="11532" max="11533" width="10.77734375" style="1653" customWidth="1"/>
    <col min="11534" max="11534" width="10" style="1653" customWidth="1"/>
    <col min="11535" max="11536" width="10.44140625" style="1653" customWidth="1"/>
    <col min="11537" max="11537" width="10" style="1653" customWidth="1"/>
    <col min="11538" max="11538" width="10.109375" style="1653" customWidth="1"/>
    <col min="11539" max="11539" width="10" style="1653" customWidth="1"/>
    <col min="11540" max="11540" width="26.109375" style="1653" customWidth="1"/>
    <col min="11541" max="11776" width="8.88671875" style="1653"/>
    <col min="11777" max="11777" width="9.44140625" style="1653" customWidth="1"/>
    <col min="11778" max="11778" width="8.88671875" style="1653"/>
    <col min="11779" max="11781" width="12.88671875" style="1653" customWidth="1"/>
    <col min="11782" max="11782" width="47.44140625" style="1653" customWidth="1"/>
    <col min="11783" max="11783" width="13" style="1653" customWidth="1"/>
    <col min="11784" max="11785" width="8.88671875" style="1653"/>
    <col min="11786" max="11786" width="5.77734375" style="1653" customWidth="1"/>
    <col min="11787" max="11787" width="11.77734375" style="1653" customWidth="1"/>
    <col min="11788" max="11789" width="10.77734375" style="1653" customWidth="1"/>
    <col min="11790" max="11790" width="10" style="1653" customWidth="1"/>
    <col min="11791" max="11792" width="10.44140625" style="1653" customWidth="1"/>
    <col min="11793" max="11793" width="10" style="1653" customWidth="1"/>
    <col min="11794" max="11794" width="10.109375" style="1653" customWidth="1"/>
    <col min="11795" max="11795" width="10" style="1653" customWidth="1"/>
    <col min="11796" max="11796" width="26.109375" style="1653" customWidth="1"/>
    <col min="11797" max="12032" width="8.88671875" style="1653"/>
    <col min="12033" max="12033" width="9.44140625" style="1653" customWidth="1"/>
    <col min="12034" max="12034" width="8.88671875" style="1653"/>
    <col min="12035" max="12037" width="12.88671875" style="1653" customWidth="1"/>
    <col min="12038" max="12038" width="47.44140625" style="1653" customWidth="1"/>
    <col min="12039" max="12039" width="13" style="1653" customWidth="1"/>
    <col min="12040" max="12041" width="8.88671875" style="1653"/>
    <col min="12042" max="12042" width="5.77734375" style="1653" customWidth="1"/>
    <col min="12043" max="12043" width="11.77734375" style="1653" customWidth="1"/>
    <col min="12044" max="12045" width="10.77734375" style="1653" customWidth="1"/>
    <col min="12046" max="12046" width="10" style="1653" customWidth="1"/>
    <col min="12047" max="12048" width="10.44140625" style="1653" customWidth="1"/>
    <col min="12049" max="12049" width="10" style="1653" customWidth="1"/>
    <col min="12050" max="12050" width="10.109375" style="1653" customWidth="1"/>
    <col min="12051" max="12051" width="10" style="1653" customWidth="1"/>
    <col min="12052" max="12052" width="26.109375" style="1653" customWidth="1"/>
    <col min="12053" max="12288" width="8.88671875" style="1653"/>
    <col min="12289" max="12289" width="9.44140625" style="1653" customWidth="1"/>
    <col min="12290" max="12290" width="8.88671875" style="1653"/>
    <col min="12291" max="12293" width="12.88671875" style="1653" customWidth="1"/>
    <col min="12294" max="12294" width="47.44140625" style="1653" customWidth="1"/>
    <col min="12295" max="12295" width="13" style="1653" customWidth="1"/>
    <col min="12296" max="12297" width="8.88671875" style="1653"/>
    <col min="12298" max="12298" width="5.77734375" style="1653" customWidth="1"/>
    <col min="12299" max="12299" width="11.77734375" style="1653" customWidth="1"/>
    <col min="12300" max="12301" width="10.77734375" style="1653" customWidth="1"/>
    <col min="12302" max="12302" width="10" style="1653" customWidth="1"/>
    <col min="12303" max="12304" width="10.44140625" style="1653" customWidth="1"/>
    <col min="12305" max="12305" width="10" style="1653" customWidth="1"/>
    <col min="12306" max="12306" width="10.109375" style="1653" customWidth="1"/>
    <col min="12307" max="12307" width="10" style="1653" customWidth="1"/>
    <col min="12308" max="12308" width="26.109375" style="1653" customWidth="1"/>
    <col min="12309" max="12544" width="8.88671875" style="1653"/>
    <col min="12545" max="12545" width="9.44140625" style="1653" customWidth="1"/>
    <col min="12546" max="12546" width="8.88671875" style="1653"/>
    <col min="12547" max="12549" width="12.88671875" style="1653" customWidth="1"/>
    <col min="12550" max="12550" width="47.44140625" style="1653" customWidth="1"/>
    <col min="12551" max="12551" width="13" style="1653" customWidth="1"/>
    <col min="12552" max="12553" width="8.88671875" style="1653"/>
    <col min="12554" max="12554" width="5.77734375" style="1653" customWidth="1"/>
    <col min="12555" max="12555" width="11.77734375" style="1653" customWidth="1"/>
    <col min="12556" max="12557" width="10.77734375" style="1653" customWidth="1"/>
    <col min="12558" max="12558" width="10" style="1653" customWidth="1"/>
    <col min="12559" max="12560" width="10.44140625" style="1653" customWidth="1"/>
    <col min="12561" max="12561" width="10" style="1653" customWidth="1"/>
    <col min="12562" max="12562" width="10.109375" style="1653" customWidth="1"/>
    <col min="12563" max="12563" width="10" style="1653" customWidth="1"/>
    <col min="12564" max="12564" width="26.109375" style="1653" customWidth="1"/>
    <col min="12565" max="12800" width="8.88671875" style="1653"/>
    <col min="12801" max="12801" width="9.44140625" style="1653" customWidth="1"/>
    <col min="12802" max="12802" width="8.88671875" style="1653"/>
    <col min="12803" max="12805" width="12.88671875" style="1653" customWidth="1"/>
    <col min="12806" max="12806" width="47.44140625" style="1653" customWidth="1"/>
    <col min="12807" max="12807" width="13" style="1653" customWidth="1"/>
    <col min="12808" max="12809" width="8.88671875" style="1653"/>
    <col min="12810" max="12810" width="5.77734375" style="1653" customWidth="1"/>
    <col min="12811" max="12811" width="11.77734375" style="1653" customWidth="1"/>
    <col min="12812" max="12813" width="10.77734375" style="1653" customWidth="1"/>
    <col min="12814" max="12814" width="10" style="1653" customWidth="1"/>
    <col min="12815" max="12816" width="10.44140625" style="1653" customWidth="1"/>
    <col min="12817" max="12817" width="10" style="1653" customWidth="1"/>
    <col min="12818" max="12818" width="10.109375" style="1653" customWidth="1"/>
    <col min="12819" max="12819" width="10" style="1653" customWidth="1"/>
    <col min="12820" max="12820" width="26.109375" style="1653" customWidth="1"/>
    <col min="12821" max="13056" width="8.88671875" style="1653"/>
    <col min="13057" max="13057" width="9.44140625" style="1653" customWidth="1"/>
    <col min="13058" max="13058" width="8.88671875" style="1653"/>
    <col min="13059" max="13061" width="12.88671875" style="1653" customWidth="1"/>
    <col min="13062" max="13062" width="47.44140625" style="1653" customWidth="1"/>
    <col min="13063" max="13063" width="13" style="1653" customWidth="1"/>
    <col min="13064" max="13065" width="8.88671875" style="1653"/>
    <col min="13066" max="13066" width="5.77734375" style="1653" customWidth="1"/>
    <col min="13067" max="13067" width="11.77734375" style="1653" customWidth="1"/>
    <col min="13068" max="13069" width="10.77734375" style="1653" customWidth="1"/>
    <col min="13070" max="13070" width="10" style="1653" customWidth="1"/>
    <col min="13071" max="13072" width="10.44140625" style="1653" customWidth="1"/>
    <col min="13073" max="13073" width="10" style="1653" customWidth="1"/>
    <col min="13074" max="13074" width="10.109375" style="1653" customWidth="1"/>
    <col min="13075" max="13075" width="10" style="1653" customWidth="1"/>
    <col min="13076" max="13076" width="26.109375" style="1653" customWidth="1"/>
    <col min="13077" max="13312" width="8.88671875" style="1653"/>
    <col min="13313" max="13313" width="9.44140625" style="1653" customWidth="1"/>
    <col min="13314" max="13314" width="8.88671875" style="1653"/>
    <col min="13315" max="13317" width="12.88671875" style="1653" customWidth="1"/>
    <col min="13318" max="13318" width="47.44140625" style="1653" customWidth="1"/>
    <col min="13319" max="13319" width="13" style="1653" customWidth="1"/>
    <col min="13320" max="13321" width="8.88671875" style="1653"/>
    <col min="13322" max="13322" width="5.77734375" style="1653" customWidth="1"/>
    <col min="13323" max="13323" width="11.77734375" style="1653" customWidth="1"/>
    <col min="13324" max="13325" width="10.77734375" style="1653" customWidth="1"/>
    <col min="13326" max="13326" width="10" style="1653" customWidth="1"/>
    <col min="13327" max="13328" width="10.44140625" style="1653" customWidth="1"/>
    <col min="13329" max="13329" width="10" style="1653" customWidth="1"/>
    <col min="13330" max="13330" width="10.109375" style="1653" customWidth="1"/>
    <col min="13331" max="13331" width="10" style="1653" customWidth="1"/>
    <col min="13332" max="13332" width="26.109375" style="1653" customWidth="1"/>
    <col min="13333" max="13568" width="8.88671875" style="1653"/>
    <col min="13569" max="13569" width="9.44140625" style="1653" customWidth="1"/>
    <col min="13570" max="13570" width="8.88671875" style="1653"/>
    <col min="13571" max="13573" width="12.88671875" style="1653" customWidth="1"/>
    <col min="13574" max="13574" width="47.44140625" style="1653" customWidth="1"/>
    <col min="13575" max="13575" width="13" style="1653" customWidth="1"/>
    <col min="13576" max="13577" width="8.88671875" style="1653"/>
    <col min="13578" max="13578" width="5.77734375" style="1653" customWidth="1"/>
    <col min="13579" max="13579" width="11.77734375" style="1653" customWidth="1"/>
    <col min="13580" max="13581" width="10.77734375" style="1653" customWidth="1"/>
    <col min="13582" max="13582" width="10" style="1653" customWidth="1"/>
    <col min="13583" max="13584" width="10.44140625" style="1653" customWidth="1"/>
    <col min="13585" max="13585" width="10" style="1653" customWidth="1"/>
    <col min="13586" max="13586" width="10.109375" style="1653" customWidth="1"/>
    <col min="13587" max="13587" width="10" style="1653" customWidth="1"/>
    <col min="13588" max="13588" width="26.109375" style="1653" customWidth="1"/>
    <col min="13589" max="13824" width="8.88671875" style="1653"/>
    <col min="13825" max="13825" width="9.44140625" style="1653" customWidth="1"/>
    <col min="13826" max="13826" width="8.88671875" style="1653"/>
    <col min="13827" max="13829" width="12.88671875" style="1653" customWidth="1"/>
    <col min="13830" max="13830" width="47.44140625" style="1653" customWidth="1"/>
    <col min="13831" max="13831" width="13" style="1653" customWidth="1"/>
    <col min="13832" max="13833" width="8.88671875" style="1653"/>
    <col min="13834" max="13834" width="5.77734375" style="1653" customWidth="1"/>
    <col min="13835" max="13835" width="11.77734375" style="1653" customWidth="1"/>
    <col min="13836" max="13837" width="10.77734375" style="1653" customWidth="1"/>
    <col min="13838" max="13838" width="10" style="1653" customWidth="1"/>
    <col min="13839" max="13840" width="10.44140625" style="1653" customWidth="1"/>
    <col min="13841" max="13841" width="10" style="1653" customWidth="1"/>
    <col min="13842" max="13842" width="10.109375" style="1653" customWidth="1"/>
    <col min="13843" max="13843" width="10" style="1653" customWidth="1"/>
    <col min="13844" max="13844" width="26.109375" style="1653" customWidth="1"/>
    <col min="13845" max="14080" width="8.88671875" style="1653"/>
    <col min="14081" max="14081" width="9.44140625" style="1653" customWidth="1"/>
    <col min="14082" max="14082" width="8.88671875" style="1653"/>
    <col min="14083" max="14085" width="12.88671875" style="1653" customWidth="1"/>
    <col min="14086" max="14086" width="47.44140625" style="1653" customWidth="1"/>
    <col min="14087" max="14087" width="13" style="1653" customWidth="1"/>
    <col min="14088" max="14089" width="8.88671875" style="1653"/>
    <col min="14090" max="14090" width="5.77734375" style="1653" customWidth="1"/>
    <col min="14091" max="14091" width="11.77734375" style="1653" customWidth="1"/>
    <col min="14092" max="14093" width="10.77734375" style="1653" customWidth="1"/>
    <col min="14094" max="14094" width="10" style="1653" customWidth="1"/>
    <col min="14095" max="14096" width="10.44140625" style="1653" customWidth="1"/>
    <col min="14097" max="14097" width="10" style="1653" customWidth="1"/>
    <col min="14098" max="14098" width="10.109375" style="1653" customWidth="1"/>
    <col min="14099" max="14099" width="10" style="1653" customWidth="1"/>
    <col min="14100" max="14100" width="26.109375" style="1653" customWidth="1"/>
    <col min="14101" max="14336" width="8.88671875" style="1653"/>
    <col min="14337" max="14337" width="9.44140625" style="1653" customWidth="1"/>
    <col min="14338" max="14338" width="8.88671875" style="1653"/>
    <col min="14339" max="14341" width="12.88671875" style="1653" customWidth="1"/>
    <col min="14342" max="14342" width="47.44140625" style="1653" customWidth="1"/>
    <col min="14343" max="14343" width="13" style="1653" customWidth="1"/>
    <col min="14344" max="14345" width="8.88671875" style="1653"/>
    <col min="14346" max="14346" width="5.77734375" style="1653" customWidth="1"/>
    <col min="14347" max="14347" width="11.77734375" style="1653" customWidth="1"/>
    <col min="14348" max="14349" width="10.77734375" style="1653" customWidth="1"/>
    <col min="14350" max="14350" width="10" style="1653" customWidth="1"/>
    <col min="14351" max="14352" width="10.44140625" style="1653" customWidth="1"/>
    <col min="14353" max="14353" width="10" style="1653" customWidth="1"/>
    <col min="14354" max="14354" width="10.109375" style="1653" customWidth="1"/>
    <col min="14355" max="14355" width="10" style="1653" customWidth="1"/>
    <col min="14356" max="14356" width="26.109375" style="1653" customWidth="1"/>
    <col min="14357" max="14592" width="8.88671875" style="1653"/>
    <col min="14593" max="14593" width="9.44140625" style="1653" customWidth="1"/>
    <col min="14594" max="14594" width="8.88671875" style="1653"/>
    <col min="14595" max="14597" width="12.88671875" style="1653" customWidth="1"/>
    <col min="14598" max="14598" width="47.44140625" style="1653" customWidth="1"/>
    <col min="14599" max="14599" width="13" style="1653" customWidth="1"/>
    <col min="14600" max="14601" width="8.88671875" style="1653"/>
    <col min="14602" max="14602" width="5.77734375" style="1653" customWidth="1"/>
    <col min="14603" max="14603" width="11.77734375" style="1653" customWidth="1"/>
    <col min="14604" max="14605" width="10.77734375" style="1653" customWidth="1"/>
    <col min="14606" max="14606" width="10" style="1653" customWidth="1"/>
    <col min="14607" max="14608" width="10.44140625" style="1653" customWidth="1"/>
    <col min="14609" max="14609" width="10" style="1653" customWidth="1"/>
    <col min="14610" max="14610" width="10.109375" style="1653" customWidth="1"/>
    <col min="14611" max="14611" width="10" style="1653" customWidth="1"/>
    <col min="14612" max="14612" width="26.109375" style="1653" customWidth="1"/>
    <col min="14613" max="14848" width="8.88671875" style="1653"/>
    <col min="14849" max="14849" width="9.44140625" style="1653" customWidth="1"/>
    <col min="14850" max="14850" width="8.88671875" style="1653"/>
    <col min="14851" max="14853" width="12.88671875" style="1653" customWidth="1"/>
    <col min="14854" max="14854" width="47.44140625" style="1653" customWidth="1"/>
    <col min="14855" max="14855" width="13" style="1653" customWidth="1"/>
    <col min="14856" max="14857" width="8.88671875" style="1653"/>
    <col min="14858" max="14858" width="5.77734375" style="1653" customWidth="1"/>
    <col min="14859" max="14859" width="11.77734375" style="1653" customWidth="1"/>
    <col min="14860" max="14861" width="10.77734375" style="1653" customWidth="1"/>
    <col min="14862" max="14862" width="10" style="1653" customWidth="1"/>
    <col min="14863" max="14864" width="10.44140625" style="1653" customWidth="1"/>
    <col min="14865" max="14865" width="10" style="1653" customWidth="1"/>
    <col min="14866" max="14866" width="10.109375" style="1653" customWidth="1"/>
    <col min="14867" max="14867" width="10" style="1653" customWidth="1"/>
    <col min="14868" max="14868" width="26.109375" style="1653" customWidth="1"/>
    <col min="14869" max="15104" width="8.88671875" style="1653"/>
    <col min="15105" max="15105" width="9.44140625" style="1653" customWidth="1"/>
    <col min="15106" max="15106" width="8.88671875" style="1653"/>
    <col min="15107" max="15109" width="12.88671875" style="1653" customWidth="1"/>
    <col min="15110" max="15110" width="47.44140625" style="1653" customWidth="1"/>
    <col min="15111" max="15111" width="13" style="1653" customWidth="1"/>
    <col min="15112" max="15113" width="8.88671875" style="1653"/>
    <col min="15114" max="15114" width="5.77734375" style="1653" customWidth="1"/>
    <col min="15115" max="15115" width="11.77734375" style="1653" customWidth="1"/>
    <col min="15116" max="15117" width="10.77734375" style="1653" customWidth="1"/>
    <col min="15118" max="15118" width="10" style="1653" customWidth="1"/>
    <col min="15119" max="15120" width="10.44140625" style="1653" customWidth="1"/>
    <col min="15121" max="15121" width="10" style="1653" customWidth="1"/>
    <col min="15122" max="15122" width="10.109375" style="1653" customWidth="1"/>
    <col min="15123" max="15123" width="10" style="1653" customWidth="1"/>
    <col min="15124" max="15124" width="26.109375" style="1653" customWidth="1"/>
    <col min="15125" max="15360" width="8.88671875" style="1653"/>
    <col min="15361" max="15361" width="9.44140625" style="1653" customWidth="1"/>
    <col min="15362" max="15362" width="8.88671875" style="1653"/>
    <col min="15363" max="15365" width="12.88671875" style="1653" customWidth="1"/>
    <col min="15366" max="15366" width="47.44140625" style="1653" customWidth="1"/>
    <col min="15367" max="15367" width="13" style="1653" customWidth="1"/>
    <col min="15368" max="15369" width="8.88671875" style="1653"/>
    <col min="15370" max="15370" width="5.77734375" style="1653" customWidth="1"/>
    <col min="15371" max="15371" width="11.77734375" style="1653" customWidth="1"/>
    <col min="15372" max="15373" width="10.77734375" style="1653" customWidth="1"/>
    <col min="15374" max="15374" width="10" style="1653" customWidth="1"/>
    <col min="15375" max="15376" width="10.44140625" style="1653" customWidth="1"/>
    <col min="15377" max="15377" width="10" style="1653" customWidth="1"/>
    <col min="15378" max="15378" width="10.109375" style="1653" customWidth="1"/>
    <col min="15379" max="15379" width="10" style="1653" customWidth="1"/>
    <col min="15380" max="15380" width="26.109375" style="1653" customWidth="1"/>
    <col min="15381" max="15616" width="8.88671875" style="1653"/>
    <col min="15617" max="15617" width="9.44140625" style="1653" customWidth="1"/>
    <col min="15618" max="15618" width="8.88671875" style="1653"/>
    <col min="15619" max="15621" width="12.88671875" style="1653" customWidth="1"/>
    <col min="15622" max="15622" width="47.44140625" style="1653" customWidth="1"/>
    <col min="15623" max="15623" width="13" style="1653" customWidth="1"/>
    <col min="15624" max="15625" width="8.88671875" style="1653"/>
    <col min="15626" max="15626" width="5.77734375" style="1653" customWidth="1"/>
    <col min="15627" max="15627" width="11.77734375" style="1653" customWidth="1"/>
    <col min="15628" max="15629" width="10.77734375" style="1653" customWidth="1"/>
    <col min="15630" max="15630" width="10" style="1653" customWidth="1"/>
    <col min="15631" max="15632" width="10.44140625" style="1653" customWidth="1"/>
    <col min="15633" max="15633" width="10" style="1653" customWidth="1"/>
    <col min="15634" max="15634" width="10.109375" style="1653" customWidth="1"/>
    <col min="15635" max="15635" width="10" style="1653" customWidth="1"/>
    <col min="15636" max="15636" width="26.109375" style="1653" customWidth="1"/>
    <col min="15637" max="15872" width="8.88671875" style="1653"/>
    <col min="15873" max="15873" width="9.44140625" style="1653" customWidth="1"/>
    <col min="15874" max="15874" width="8.88671875" style="1653"/>
    <col min="15875" max="15877" width="12.88671875" style="1653" customWidth="1"/>
    <col min="15878" max="15878" width="47.44140625" style="1653" customWidth="1"/>
    <col min="15879" max="15879" width="13" style="1653" customWidth="1"/>
    <col min="15880" max="15881" width="8.88671875" style="1653"/>
    <col min="15882" max="15882" width="5.77734375" style="1653" customWidth="1"/>
    <col min="15883" max="15883" width="11.77734375" style="1653" customWidth="1"/>
    <col min="15884" max="15885" width="10.77734375" style="1653" customWidth="1"/>
    <col min="15886" max="15886" width="10" style="1653" customWidth="1"/>
    <col min="15887" max="15888" width="10.44140625" style="1653" customWidth="1"/>
    <col min="15889" max="15889" width="10" style="1653" customWidth="1"/>
    <col min="15890" max="15890" width="10.109375" style="1653" customWidth="1"/>
    <col min="15891" max="15891" width="10" style="1653" customWidth="1"/>
    <col min="15892" max="15892" width="26.109375" style="1653" customWidth="1"/>
    <col min="15893" max="16128" width="8.88671875" style="1653"/>
    <col min="16129" max="16129" width="9.44140625" style="1653" customWidth="1"/>
    <col min="16130" max="16130" width="8.88671875" style="1653"/>
    <col min="16131" max="16133" width="12.88671875" style="1653" customWidth="1"/>
    <col min="16134" max="16134" width="47.44140625" style="1653" customWidth="1"/>
    <col min="16135" max="16135" width="13" style="1653" customWidth="1"/>
    <col min="16136" max="16137" width="8.88671875" style="1653"/>
    <col min="16138" max="16138" width="5.77734375" style="1653" customWidth="1"/>
    <col min="16139" max="16139" width="11.77734375" style="1653" customWidth="1"/>
    <col min="16140" max="16141" width="10.77734375" style="1653" customWidth="1"/>
    <col min="16142" max="16142" width="10" style="1653" customWidth="1"/>
    <col min="16143" max="16144" width="10.44140625" style="1653" customWidth="1"/>
    <col min="16145" max="16145" width="10" style="1653" customWidth="1"/>
    <col min="16146" max="16146" width="10.109375" style="1653" customWidth="1"/>
    <col min="16147" max="16147" width="10" style="1653" customWidth="1"/>
    <col min="16148" max="16148" width="26.109375" style="1653" customWidth="1"/>
    <col min="16149" max="16384" width="8.88671875" style="1653"/>
  </cols>
  <sheetData>
    <row r="1" spans="1:22" ht="21" customHeight="1">
      <c r="A1" s="1657" t="s">
        <v>1453</v>
      </c>
      <c r="B1" s="1658"/>
      <c r="C1" s="1659"/>
      <c r="D1" s="1659"/>
      <c r="E1" s="1660"/>
      <c r="F1" s="1661"/>
      <c r="G1" s="1662"/>
      <c r="J1" s="1763" t="s">
        <v>1454</v>
      </c>
      <c r="K1" s="1764"/>
      <c r="L1" s="1764"/>
      <c r="M1" s="1764"/>
      <c r="N1" s="1764"/>
      <c r="O1" s="1764"/>
      <c r="P1" s="1764"/>
      <c r="Q1" s="1764"/>
      <c r="R1" s="1801"/>
      <c r="S1" s="1723"/>
      <c r="T1" s="1723"/>
      <c r="U1" s="1723"/>
    </row>
    <row r="2" spans="1:22" s="1651" customFormat="1" ht="13.2" customHeight="1">
      <c r="A2" s="1663" t="s">
        <v>1148</v>
      </c>
      <c r="B2" s="1664" t="e">
        <f>IF(D2="——",C40,C40+E2)</f>
        <v>#DIV/0!</v>
      </c>
      <c r="C2" s="1659" t="s">
        <v>1149</v>
      </c>
      <c r="D2" s="1665" t="s">
        <v>1455</v>
      </c>
      <c r="E2" s="1666"/>
      <c r="F2" s="1667"/>
      <c r="G2" s="1668"/>
      <c r="H2" s="1669"/>
      <c r="I2" s="1754"/>
      <c r="J2" s="3463" t="s">
        <v>1456</v>
      </c>
      <c r="K2" s="3464"/>
      <c r="L2" s="1765" t="s">
        <v>1457</v>
      </c>
      <c r="M2" s="1765" t="s">
        <v>1458</v>
      </c>
      <c r="N2" s="1765" t="s">
        <v>1459</v>
      </c>
      <c r="O2" s="1765" t="s">
        <v>1460</v>
      </c>
      <c r="P2" s="1765" t="s">
        <v>1461</v>
      </c>
      <c r="Q2" s="1802" t="s">
        <v>1462</v>
      </c>
      <c r="R2" s="1803" t="s">
        <v>1463</v>
      </c>
      <c r="S2" s="1723"/>
      <c r="T2" s="1723"/>
      <c r="U2" s="1723"/>
      <c r="V2" s="1754"/>
    </row>
    <row r="3" spans="1:22" s="1651" customFormat="1" ht="13.2" customHeight="1">
      <c r="A3" s="1670" t="s">
        <v>1150</v>
      </c>
      <c r="B3" s="1671" t="e">
        <f>ROUND(B2*10000/B4,0)</f>
        <v>#DIV/0!</v>
      </c>
      <c r="C3" s="1659" t="s">
        <v>1151</v>
      </c>
      <c r="D3" s="1659"/>
      <c r="E3" s="1672"/>
      <c r="F3" s="1667"/>
      <c r="G3" s="1668"/>
      <c r="H3" s="1669"/>
      <c r="I3" s="1754"/>
      <c r="J3" s="3457" t="s">
        <v>1464</v>
      </c>
      <c r="K3" s="3458"/>
      <c r="L3" s="1766"/>
      <c r="M3" s="1766"/>
      <c r="N3" s="1766"/>
      <c r="O3" s="1766"/>
      <c r="P3" s="1766"/>
      <c r="Q3" s="1804"/>
      <c r="R3" s="1805">
        <f>SUM(L3:Q3)</f>
        <v>0</v>
      </c>
      <c r="S3" s="1723"/>
      <c r="T3" s="1723"/>
      <c r="U3" s="1723"/>
      <c r="V3" s="1754"/>
    </row>
    <row r="4" spans="1:22" s="1651" customFormat="1" ht="13.2" customHeight="1">
      <c r="A4" s="1673" t="s">
        <v>1334</v>
      </c>
      <c r="B4" s="1674"/>
      <c r="C4" s="1659"/>
      <c r="D4" s="1659"/>
      <c r="E4" s="1672"/>
      <c r="F4" s="1667"/>
      <c r="G4" s="1668"/>
      <c r="H4" s="1669"/>
      <c r="I4" s="1754"/>
      <c r="J4" s="3457" t="s">
        <v>1465</v>
      </c>
      <c r="K4" s="3458"/>
      <c r="L4" s="1767"/>
      <c r="M4" s="1767"/>
      <c r="N4" s="1767"/>
      <c r="O4" s="1767"/>
      <c r="P4" s="1767"/>
      <c r="Q4" s="1806"/>
      <c r="R4" s="1807">
        <f>SUM(L4:Q4)</f>
        <v>0</v>
      </c>
      <c r="S4" s="1723"/>
      <c r="T4" s="1723"/>
      <c r="U4" s="1723"/>
      <c r="V4" s="1754"/>
    </row>
    <row r="5" spans="1:22" s="1651" customFormat="1" ht="13.2" customHeight="1">
      <c r="A5" s="1675" t="s">
        <v>1466</v>
      </c>
      <c r="B5" s="1676"/>
      <c r="C5" s="1659"/>
      <c r="D5" s="1677"/>
      <c r="E5" s="1667"/>
      <c r="F5" s="1667"/>
      <c r="G5" s="1668"/>
      <c r="H5" s="1669"/>
      <c r="I5" s="1754"/>
      <c r="J5" s="1768" t="s">
        <v>1467</v>
      </c>
      <c r="K5" s="1769"/>
      <c r="L5" s="1769"/>
      <c r="M5" s="1770"/>
      <c r="N5" s="1770"/>
      <c r="O5" s="1770"/>
      <c r="P5" s="1770"/>
      <c r="Q5" s="1770"/>
      <c r="R5" s="1803">
        <f>SUM(R14,R19,R24,R25,R27,R28)</f>
        <v>0</v>
      </c>
      <c r="S5" s="1723"/>
      <c r="T5" s="1723" t="s">
        <v>1468</v>
      </c>
      <c r="U5" s="1723" t="e">
        <f>ROUND(R5*10000/365/R3,1)</f>
        <v>#DIV/0!</v>
      </c>
      <c r="V5" s="1754"/>
    </row>
    <row r="6" spans="1:22" s="1651" customFormat="1" ht="13.2" customHeight="1">
      <c r="A6" s="3467" t="s">
        <v>1469</v>
      </c>
      <c r="B6" s="3468"/>
      <c r="C6" s="3469"/>
      <c r="D6" s="1678"/>
      <c r="E6" s="1679"/>
      <c r="F6" s="1680"/>
      <c r="G6" s="1681"/>
      <c r="H6" s="1669"/>
      <c r="I6" s="1754"/>
      <c r="J6" s="3451">
        <v>1</v>
      </c>
      <c r="K6" s="3454" t="s">
        <v>1470</v>
      </c>
      <c r="L6" s="1772" t="s">
        <v>1471</v>
      </c>
      <c r="M6" s="1773" t="s">
        <v>1472</v>
      </c>
      <c r="N6" s="1773" t="s">
        <v>1473</v>
      </c>
      <c r="O6" s="1773" t="s">
        <v>1474</v>
      </c>
      <c r="P6" s="1773" t="s">
        <v>1475</v>
      </c>
      <c r="Q6" s="1773" t="s">
        <v>1476</v>
      </c>
      <c r="R6" s="1805" t="s">
        <v>1477</v>
      </c>
      <c r="S6" s="1723"/>
      <c r="T6" s="1723" t="s">
        <v>1478</v>
      </c>
      <c r="U6" s="1723"/>
      <c r="V6" s="1754"/>
    </row>
    <row r="7" spans="1:22" s="1651" customFormat="1" ht="13.2" customHeight="1">
      <c r="A7" s="1682" t="s">
        <v>1479</v>
      </c>
      <c r="B7" s="1683"/>
      <c r="C7" s="1684"/>
      <c r="D7" s="1685">
        <f>SUM(D9,D10,D11,D17,0)</f>
        <v>0</v>
      </c>
      <c r="E7" s="1686" t="e">
        <f>E9+E10+E11+E17</f>
        <v>#DIV/0!</v>
      </c>
      <c r="F7" s="1687"/>
      <c r="G7" s="1688"/>
      <c r="H7" s="1669"/>
      <c r="I7" s="1754"/>
      <c r="J7" s="3451"/>
      <c r="K7" s="3455"/>
      <c r="L7" s="1774" t="s">
        <v>1480</v>
      </c>
      <c r="M7" s="1775"/>
      <c r="N7" s="1674"/>
      <c r="O7" s="1776"/>
      <c r="P7" s="1776"/>
      <c r="Q7" s="1707">
        <v>365</v>
      </c>
      <c r="R7" s="1808">
        <f>ROUND(M7*N7*O7*P7*Q7/10000,0)</f>
        <v>0</v>
      </c>
      <c r="S7" s="1723"/>
      <c r="T7" s="1723" t="s">
        <v>1481</v>
      </c>
      <c r="U7" s="1723"/>
      <c r="V7" s="1754"/>
    </row>
    <row r="8" spans="1:22" s="1651" customFormat="1" ht="13.2" customHeight="1">
      <c r="A8" s="1689" t="s">
        <v>1482</v>
      </c>
      <c r="B8" s="3465" t="s">
        <v>1483</v>
      </c>
      <c r="C8" s="3466"/>
      <c r="D8" s="1692" t="s">
        <v>1484</v>
      </c>
      <c r="E8" s="1693" t="s">
        <v>1485</v>
      </c>
      <c r="F8" s="1694" t="s">
        <v>1486</v>
      </c>
      <c r="G8" s="1695"/>
      <c r="H8" s="1669"/>
      <c r="I8" s="1754"/>
      <c r="J8" s="3451"/>
      <c r="K8" s="3455"/>
      <c r="L8" s="1774" t="s">
        <v>1487</v>
      </c>
      <c r="M8" s="1775"/>
      <c r="N8" s="1674"/>
      <c r="O8" s="1776"/>
      <c r="P8" s="1776"/>
      <c r="Q8" s="1707">
        <v>365</v>
      </c>
      <c r="R8" s="1808">
        <f t="shared" ref="R8:R13" si="0">ROUND(M8*N8*O8*P8*Q8/10000,0)</f>
        <v>0</v>
      </c>
      <c r="S8" s="1723"/>
      <c r="T8" s="1723" t="s">
        <v>1488</v>
      </c>
      <c r="U8" s="1723"/>
      <c r="V8" s="1754"/>
    </row>
    <row r="9" spans="1:22" s="1651" customFormat="1" ht="13.2" customHeight="1">
      <c r="A9" s="1689">
        <v>1</v>
      </c>
      <c r="B9" s="3465" t="s">
        <v>1489</v>
      </c>
      <c r="C9" s="3466"/>
      <c r="D9" s="1692">
        <f>ROUND(D6*E9,0)</f>
        <v>0</v>
      </c>
      <c r="E9" s="1696"/>
      <c r="F9" s="1697" t="s">
        <v>1490</v>
      </c>
      <c r="G9" s="1681"/>
      <c r="H9" s="1669"/>
      <c r="I9" s="1754"/>
      <c r="J9" s="3451"/>
      <c r="K9" s="3455"/>
      <c r="L9" s="1774" t="s">
        <v>1491</v>
      </c>
      <c r="M9" s="1775"/>
      <c r="N9" s="1674"/>
      <c r="O9" s="1776"/>
      <c r="P9" s="1776"/>
      <c r="Q9" s="1707">
        <v>365</v>
      </c>
      <c r="R9" s="1808">
        <f t="shared" si="0"/>
        <v>0</v>
      </c>
      <c r="S9" s="1723"/>
      <c r="T9" s="1723"/>
      <c r="U9" s="1723"/>
      <c r="V9" s="1754"/>
    </row>
    <row r="10" spans="1:22" s="1651" customFormat="1" ht="13.2" customHeight="1">
      <c r="A10" s="1689">
        <v>2</v>
      </c>
      <c r="B10" s="3465" t="s">
        <v>1492</v>
      </c>
      <c r="C10" s="3466"/>
      <c r="D10" s="1692">
        <f>ROUND(D6*E10,0)</f>
        <v>0</v>
      </c>
      <c r="E10" s="1696"/>
      <c r="F10" s="1697" t="s">
        <v>1493</v>
      </c>
      <c r="G10" s="1681"/>
      <c r="H10" s="1669"/>
      <c r="I10" s="1754"/>
      <c r="J10" s="3451"/>
      <c r="K10" s="3455"/>
      <c r="L10" s="1774" t="s">
        <v>1494</v>
      </c>
      <c r="M10" s="1775"/>
      <c r="N10" s="1674"/>
      <c r="O10" s="1776"/>
      <c r="P10" s="1776"/>
      <c r="Q10" s="1707">
        <v>365</v>
      </c>
      <c r="R10" s="1808">
        <f t="shared" si="0"/>
        <v>0</v>
      </c>
      <c r="S10" s="1723"/>
      <c r="T10" s="1723"/>
      <c r="U10" s="1723"/>
      <c r="V10" s="1754"/>
    </row>
    <row r="11" spans="1:22" s="1651" customFormat="1" ht="13.2" customHeight="1">
      <c r="A11" s="1689">
        <v>3</v>
      </c>
      <c r="B11" s="3465" t="s">
        <v>1495</v>
      </c>
      <c r="C11" s="3466"/>
      <c r="D11" s="1692">
        <f>D12+D14+D15+D16</f>
        <v>0</v>
      </c>
      <c r="E11" s="1698" t="e">
        <f>D11/D6</f>
        <v>#DIV/0!</v>
      </c>
      <c r="F11" s="1694"/>
      <c r="G11" s="1695"/>
      <c r="H11" s="1669"/>
      <c r="I11" s="1754"/>
      <c r="J11" s="3451"/>
      <c r="K11" s="3455"/>
      <c r="L11" s="1774" t="s">
        <v>1496</v>
      </c>
      <c r="M11" s="1775"/>
      <c r="N11" s="1674"/>
      <c r="O11" s="1776"/>
      <c r="P11" s="1776"/>
      <c r="Q11" s="1707">
        <v>365</v>
      </c>
      <c r="R11" s="1808">
        <f t="shared" si="0"/>
        <v>0</v>
      </c>
      <c r="S11" s="1723"/>
      <c r="T11" s="1723"/>
      <c r="U11" s="1723"/>
      <c r="V11" s="1754"/>
    </row>
    <row r="12" spans="1:22" s="1651" customFormat="1" ht="13.2" customHeight="1">
      <c r="A12" s="1699" t="s">
        <v>1497</v>
      </c>
      <c r="B12" s="3459" t="s">
        <v>1498</v>
      </c>
      <c r="C12" s="3460"/>
      <c r="D12" s="1702">
        <f>ROUND(D13*1.2%*(1-30%),0)</f>
        <v>0</v>
      </c>
      <c r="E12" s="1703">
        <v>1.2E-2</v>
      </c>
      <c r="F12" s="1694" t="s">
        <v>1499</v>
      </c>
      <c r="G12" s="1695"/>
      <c r="H12" s="1669"/>
      <c r="I12" s="1754"/>
      <c r="J12" s="3451"/>
      <c r="K12" s="3455"/>
      <c r="L12" s="1774" t="s">
        <v>1500</v>
      </c>
      <c r="M12" s="1775"/>
      <c r="N12" s="1674"/>
      <c r="O12" s="1776"/>
      <c r="P12" s="1776"/>
      <c r="Q12" s="1707">
        <v>365</v>
      </c>
      <c r="R12" s="1808">
        <f t="shared" si="0"/>
        <v>0</v>
      </c>
      <c r="S12" s="1723"/>
      <c r="T12" s="1723"/>
      <c r="U12" s="1723"/>
      <c r="V12" s="1754"/>
    </row>
    <row r="13" spans="1:22" s="1651" customFormat="1" ht="13.2" customHeight="1">
      <c r="A13" s="1699"/>
      <c r="B13" s="1700"/>
      <c r="C13" s="1704" t="s">
        <v>1501</v>
      </c>
      <c r="D13" s="1705"/>
      <c r="E13" s="1706"/>
      <c r="F13" s="1694"/>
      <c r="G13" s="1695"/>
      <c r="H13" s="1669"/>
      <c r="I13" s="1754"/>
      <c r="J13" s="3451"/>
      <c r="K13" s="3455"/>
      <c r="L13" s="1774" t="s">
        <v>1502</v>
      </c>
      <c r="M13" s="1775"/>
      <c r="N13" s="1674"/>
      <c r="O13" s="1776"/>
      <c r="P13" s="1776"/>
      <c r="Q13" s="1707">
        <v>365</v>
      </c>
      <c r="R13" s="1808">
        <f t="shared" si="0"/>
        <v>0</v>
      </c>
      <c r="S13" s="1723"/>
      <c r="T13" s="1723"/>
      <c r="U13" s="1723"/>
      <c r="V13" s="1754"/>
    </row>
    <row r="14" spans="1:22" s="1651" customFormat="1" ht="13.2" customHeight="1">
      <c r="A14" s="1699" t="s">
        <v>1503</v>
      </c>
      <c r="B14" s="3459" t="s">
        <v>1504</v>
      </c>
      <c r="C14" s="3460"/>
      <c r="D14" s="1702">
        <f>ROUND(E14*B5/10000,0)</f>
        <v>0</v>
      </c>
      <c r="E14" s="1707"/>
      <c r="F14" s="1694" t="s">
        <v>1505</v>
      </c>
      <c r="G14" s="1695"/>
      <c r="H14" s="1669"/>
      <c r="I14" s="1754"/>
      <c r="J14" s="3451"/>
      <c r="K14" s="3456"/>
      <c r="L14" s="1777" t="s">
        <v>1506</v>
      </c>
      <c r="M14" s="1778">
        <f>SUM(M7:M13)</f>
        <v>0</v>
      </c>
      <c r="N14" s="1778" t="e">
        <f>ROUND((N7*M7+N8*M8+N9*M9+N10*M10+N11*M11+N12*M12+N13*M13)/M14,0)</f>
        <v>#DIV/0!</v>
      </c>
      <c r="O14" s="1779"/>
      <c r="P14" s="1779"/>
      <c r="Q14" s="1809"/>
      <c r="R14" s="1803">
        <f>SUM(R7:R13)</f>
        <v>0</v>
      </c>
      <c r="S14" s="1723"/>
      <c r="T14" s="1723"/>
      <c r="U14" s="1723"/>
      <c r="V14" s="1754"/>
    </row>
    <row r="15" spans="1:22" s="1651" customFormat="1" ht="13.2" customHeight="1">
      <c r="A15" s="1699" t="s">
        <v>1507</v>
      </c>
      <c r="B15" s="3459" t="s">
        <v>1508</v>
      </c>
      <c r="C15" s="3460"/>
      <c r="D15" s="1702">
        <f>ROUND(D6*E15,0)</f>
        <v>0</v>
      </c>
      <c r="E15" s="1703">
        <v>5.5E-2</v>
      </c>
      <c r="F15" s="1694" t="s">
        <v>1509</v>
      </c>
      <c r="G15" s="1681"/>
      <c r="H15" s="1669"/>
      <c r="I15" s="1754"/>
      <c r="J15" s="3451">
        <v>2</v>
      </c>
      <c r="K15" s="3454" t="s">
        <v>1510</v>
      </c>
      <c r="L15" s="1774" t="s">
        <v>1511</v>
      </c>
      <c r="M15" s="1775" t="s">
        <v>1512</v>
      </c>
      <c r="N15" s="1775" t="s">
        <v>1513</v>
      </c>
      <c r="O15" s="1776" t="s">
        <v>1514</v>
      </c>
      <c r="P15" s="1776" t="s">
        <v>1476</v>
      </c>
      <c r="Q15" s="1674" t="s">
        <v>124</v>
      </c>
      <c r="R15" s="1810" t="s">
        <v>1477</v>
      </c>
      <c r="S15" s="1723"/>
      <c r="T15" s="1723"/>
      <c r="U15" s="1723"/>
      <c r="V15" s="1754"/>
    </row>
    <row r="16" spans="1:22" s="1651" customFormat="1" ht="13.2" customHeight="1">
      <c r="A16" s="1699" t="s">
        <v>1515</v>
      </c>
      <c r="B16" s="3459" t="s">
        <v>1516</v>
      </c>
      <c r="C16" s="3460"/>
      <c r="D16" s="1708">
        <f>D6*E16</f>
        <v>0</v>
      </c>
      <c r="E16" s="1709"/>
      <c r="F16" s="1697" t="s">
        <v>1517</v>
      </c>
      <c r="G16" s="1681"/>
      <c r="H16" s="1669"/>
      <c r="I16" s="1754"/>
      <c r="J16" s="3451"/>
      <c r="K16" s="3455"/>
      <c r="L16" s="1774" t="s">
        <v>1518</v>
      </c>
      <c r="M16" s="1775"/>
      <c r="N16" s="1775"/>
      <c r="O16" s="1776"/>
      <c r="P16" s="1707">
        <v>365</v>
      </c>
      <c r="Q16" s="1674"/>
      <c r="R16" s="1810">
        <f>ROUND(M16*N16*O16*P16/10000,0)</f>
        <v>0</v>
      </c>
      <c r="S16" s="1723"/>
      <c r="T16" s="1723"/>
      <c r="U16" s="1723"/>
      <c r="V16" s="1754"/>
    </row>
    <row r="17" spans="1:22" s="1651" customFormat="1" ht="13.2" customHeight="1">
      <c r="A17" s="1710">
        <v>4</v>
      </c>
      <c r="B17" s="3461" t="s">
        <v>1519</v>
      </c>
      <c r="C17" s="3462"/>
      <c r="D17" s="1711">
        <f>ROUND(D6*E17,0)</f>
        <v>0</v>
      </c>
      <c r="E17" s="1712"/>
      <c r="F17" s="1713" t="s">
        <v>1520</v>
      </c>
      <c r="G17" s="1681"/>
      <c r="H17" s="1669"/>
      <c r="I17" s="1754"/>
      <c r="J17" s="3451"/>
      <c r="K17" s="3455"/>
      <c r="L17" s="1774" t="s">
        <v>1521</v>
      </c>
      <c r="M17" s="1775"/>
      <c r="N17" s="1775"/>
      <c r="O17" s="1776"/>
      <c r="P17" s="1707">
        <v>365</v>
      </c>
      <c r="Q17" s="1674"/>
      <c r="R17" s="1810">
        <f>ROUND(M17*N17*O17*P17/10000,0)</f>
        <v>0</v>
      </c>
      <c r="S17" s="1723"/>
      <c r="T17" s="1723"/>
      <c r="U17" s="1723"/>
      <c r="V17" s="1754"/>
    </row>
    <row r="18" spans="1:22" s="1651" customFormat="1" ht="13.2" customHeight="1">
      <c r="A18" s="1682" t="s">
        <v>1522</v>
      </c>
      <c r="B18" s="1683"/>
      <c r="C18" s="1683"/>
      <c r="D18" s="1714">
        <f>ROUND(D6*E18,0)</f>
        <v>0</v>
      </c>
      <c r="E18" s="1715"/>
      <c r="F18" s="1716" t="s">
        <v>1523</v>
      </c>
      <c r="G18" s="1681"/>
      <c r="H18" s="1669"/>
      <c r="I18" s="1754"/>
      <c r="J18" s="3451"/>
      <c r="K18" s="3455"/>
      <c r="L18" s="1774" t="s">
        <v>1524</v>
      </c>
      <c r="M18" s="1775"/>
      <c r="N18" s="1775"/>
      <c r="O18" s="1776"/>
      <c r="P18" s="1707">
        <v>365</v>
      </c>
      <c r="Q18" s="1674"/>
      <c r="R18" s="1810">
        <f>ROUND(M18*N18*O18*P18/10000,0)</f>
        <v>0</v>
      </c>
      <c r="S18" s="1723"/>
      <c r="T18" s="1723"/>
      <c r="U18" s="1723"/>
      <c r="V18" s="1754"/>
    </row>
    <row r="19" spans="1:22" s="1651" customFormat="1" ht="13.2" customHeight="1">
      <c r="A19" s="1717" t="s">
        <v>1525</v>
      </c>
      <c r="B19" s="1679"/>
      <c r="C19" s="1679"/>
      <c r="D19" s="1679"/>
      <c r="E19" s="1679"/>
      <c r="F19" s="1680"/>
      <c r="G19" s="1695"/>
      <c r="H19" s="1669"/>
      <c r="I19" s="1754"/>
      <c r="J19" s="3451"/>
      <c r="K19" s="3456"/>
      <c r="L19" s="1777" t="s">
        <v>1506</v>
      </c>
      <c r="M19" s="1778"/>
      <c r="N19" s="1778">
        <f>SUM(N16:N18)</f>
        <v>0</v>
      </c>
      <c r="O19" s="1779"/>
      <c r="P19" s="1780" t="s">
        <v>1526</v>
      </c>
      <c r="Q19" s="1776">
        <v>0</v>
      </c>
      <c r="R19" s="1811">
        <f>ROUND(IF(P19="按比例",R14*Q19,SUM(R16:R18)),0)</f>
        <v>0</v>
      </c>
      <c r="S19" s="1723"/>
      <c r="T19" s="1723"/>
      <c r="U19" s="1723"/>
      <c r="V19" s="1754"/>
    </row>
    <row r="20" spans="1:22" s="1651" customFormat="1" ht="13.2" customHeight="1">
      <c r="A20" s="1682"/>
      <c r="B20" s="1683"/>
      <c r="C20" s="1683"/>
      <c r="D20" s="1683"/>
      <c r="E20" s="1683"/>
      <c r="F20" s="1718"/>
      <c r="G20" s="1695"/>
      <c r="H20" s="1669"/>
      <c r="I20" s="1754"/>
      <c r="J20" s="3451">
        <v>3</v>
      </c>
      <c r="K20" s="3454" t="s">
        <v>1527</v>
      </c>
      <c r="L20" s="1774" t="s">
        <v>1528</v>
      </c>
      <c r="M20" s="1775" t="s">
        <v>1529</v>
      </c>
      <c r="N20" s="1781" t="s">
        <v>1530</v>
      </c>
      <c r="O20" s="1776" t="s">
        <v>1531</v>
      </c>
      <c r="P20" s="1707" t="s">
        <v>1476</v>
      </c>
      <c r="Q20" s="1674" t="s">
        <v>124</v>
      </c>
      <c r="R20" s="1810" t="s">
        <v>1477</v>
      </c>
      <c r="S20" s="1723"/>
      <c r="T20" s="1723"/>
      <c r="U20" s="1723"/>
      <c r="V20" s="1754"/>
    </row>
    <row r="21" spans="1:22" s="1651" customFormat="1" ht="13.2" customHeight="1">
      <c r="A21" s="1682"/>
      <c r="B21" s="1683"/>
      <c r="C21" s="1690" t="s">
        <v>1532</v>
      </c>
      <c r="D21" s="1719" t="s">
        <v>1533</v>
      </c>
      <c r="E21" s="1691" t="s">
        <v>1534</v>
      </c>
      <c r="F21" s="1718"/>
      <c r="G21" s="1695"/>
      <c r="H21" s="1669"/>
      <c r="I21" s="1754"/>
      <c r="J21" s="3451"/>
      <c r="K21" s="3455"/>
      <c r="L21" s="1774" t="s">
        <v>1535</v>
      </c>
      <c r="M21" s="1775"/>
      <c r="N21" s="1775"/>
      <c r="O21" s="1776"/>
      <c r="P21" s="1707">
        <v>365</v>
      </c>
      <c r="Q21" s="1674"/>
      <c r="R21" s="1812">
        <f>ROUND(M21*N21*O21*P21/10000,0)</f>
        <v>0</v>
      </c>
      <c r="S21" s="1723"/>
      <c r="T21" s="1723"/>
      <c r="U21" s="1723"/>
      <c r="V21" s="1754"/>
    </row>
    <row r="22" spans="1:22" s="1651" customFormat="1" ht="13.2" customHeight="1">
      <c r="A22" s="1682"/>
      <c r="B22" s="1683"/>
      <c r="C22" s="1720" t="s">
        <v>1536</v>
      </c>
      <c r="D22" s="1721" t="s">
        <v>1537</v>
      </c>
      <c r="E22" s="1722" t="s">
        <v>1538</v>
      </c>
      <c r="F22" s="1718"/>
      <c r="G22" s="1723"/>
      <c r="H22" s="1669"/>
      <c r="I22" s="1754"/>
      <c r="J22" s="3451"/>
      <c r="K22" s="3455"/>
      <c r="L22" s="1774" t="s">
        <v>1539</v>
      </c>
      <c r="M22" s="1775"/>
      <c r="N22" s="1775"/>
      <c r="O22" s="1776"/>
      <c r="P22" s="1707">
        <v>365</v>
      </c>
      <c r="Q22" s="1674"/>
      <c r="R22" s="1812">
        <f>ROUND(M22*N22*O22*P22/10000,0)</f>
        <v>0</v>
      </c>
      <c r="S22" s="1723"/>
      <c r="T22" s="1723"/>
      <c r="U22" s="1723"/>
      <c r="V22" s="1754"/>
    </row>
    <row r="23" spans="1:22" s="1651" customFormat="1" ht="13.2" customHeight="1">
      <c r="A23" s="1724">
        <v>1</v>
      </c>
      <c r="B23" s="1725" t="s">
        <v>1540</v>
      </c>
      <c r="C23" s="1726">
        <f>D6</f>
        <v>0</v>
      </c>
      <c r="D23" s="1727">
        <f>C23*(1+D24)</f>
        <v>0</v>
      </c>
      <c r="E23" s="1728">
        <f>D23*(1+E24)</f>
        <v>0</v>
      </c>
      <c r="F23" s="1729"/>
      <c r="G23" s="1730"/>
      <c r="H23" s="1669"/>
      <c r="I23" s="1754"/>
      <c r="J23" s="3451"/>
      <c r="K23" s="3455"/>
      <c r="L23" s="1774" t="s">
        <v>1541</v>
      </c>
      <c r="M23" s="1775"/>
      <c r="N23" s="1775"/>
      <c r="O23" s="1776"/>
      <c r="P23" s="1707">
        <v>365</v>
      </c>
      <c r="Q23" s="1674"/>
      <c r="R23" s="1812">
        <f>ROUND(M23*N23*O23*P23/10000,0)</f>
        <v>0</v>
      </c>
      <c r="S23" s="1723"/>
      <c r="T23" s="1723"/>
      <c r="U23" s="1723"/>
      <c r="V23" s="1754"/>
    </row>
    <row r="24" spans="1:22" s="1651" customFormat="1" ht="13.2" customHeight="1">
      <c r="A24" s="1731"/>
      <c r="B24" s="1732" t="s">
        <v>1542</v>
      </c>
      <c r="C24" s="1733"/>
      <c r="D24" s="1734"/>
      <c r="E24" s="1735"/>
      <c r="F24" s="1736"/>
      <c r="G24" s="1730"/>
      <c r="H24" s="1669"/>
      <c r="I24" s="1754"/>
      <c r="J24" s="3451"/>
      <c r="K24" s="3456"/>
      <c r="L24" s="1777" t="s">
        <v>1506</v>
      </c>
      <c r="M24" s="1778">
        <f>SUM(M21:M23)</f>
        <v>0</v>
      </c>
      <c r="N24" s="1778"/>
      <c r="O24" s="1779"/>
      <c r="P24" s="1780" t="s">
        <v>1526</v>
      </c>
      <c r="Q24" s="1776">
        <v>0</v>
      </c>
      <c r="R24" s="1811">
        <f>ROUND(IF(P24="按比例",R14*Q24,SUM(R21:R23)),0)</f>
        <v>0</v>
      </c>
      <c r="S24" s="1723"/>
      <c r="T24" s="1723"/>
      <c r="U24" s="1723"/>
      <c r="V24" s="1754"/>
    </row>
    <row r="25" spans="1:22" s="1652" customFormat="1" ht="13.2" customHeight="1">
      <c r="A25" s="1731"/>
      <c r="B25" s="1732"/>
      <c r="C25" s="1733"/>
      <c r="D25" s="1734"/>
      <c r="E25" s="1735"/>
      <c r="F25" s="1736"/>
      <c r="G25" s="1723"/>
      <c r="H25" s="1669"/>
      <c r="I25" s="1754"/>
      <c r="J25" s="1771">
        <v>4</v>
      </c>
      <c r="K25" s="1782" t="s">
        <v>1543</v>
      </c>
      <c r="L25" s="1783"/>
      <c r="M25" s="1783"/>
      <c r="N25" s="1783"/>
      <c r="O25" s="1783"/>
      <c r="P25" s="1784"/>
      <c r="Q25" s="1813">
        <v>0</v>
      </c>
      <c r="R25" s="1811">
        <f>ROUND(R14*Q25,0)</f>
        <v>0</v>
      </c>
      <c r="S25" s="1723"/>
      <c r="T25" s="1723"/>
      <c r="U25" s="1723"/>
      <c r="V25" s="1790"/>
    </row>
    <row r="26" spans="1:22" s="1652" customFormat="1" ht="13.2" customHeight="1">
      <c r="A26" s="1724">
        <v>2</v>
      </c>
      <c r="B26" s="1725" t="s">
        <v>1544</v>
      </c>
      <c r="C26" s="1726">
        <f>D7</f>
        <v>0</v>
      </c>
      <c r="D26" s="1727">
        <f>D23*D27</f>
        <v>0</v>
      </c>
      <c r="E26" s="1728">
        <f>E23*E27</f>
        <v>0</v>
      </c>
      <c r="F26" s="1729"/>
      <c r="G26" s="1730"/>
      <c r="H26" s="1669"/>
      <c r="I26" s="1754"/>
      <c r="J26" s="3452">
        <v>5</v>
      </c>
      <c r="K26" s="1785" t="s">
        <v>1545</v>
      </c>
      <c r="L26" s="1786"/>
      <c r="M26" s="1787"/>
      <c r="N26" s="1788" t="s">
        <v>469</v>
      </c>
      <c r="O26" s="1788" t="s">
        <v>1546</v>
      </c>
      <c r="P26" s="1789" t="s">
        <v>1547</v>
      </c>
      <c r="Q26" s="1789" t="s">
        <v>1548</v>
      </c>
      <c r="R26" s="1805" t="s">
        <v>1477</v>
      </c>
      <c r="S26" s="1695"/>
      <c r="T26" s="1695"/>
      <c r="U26" s="1695"/>
      <c r="V26" s="1790"/>
    </row>
    <row r="27" spans="1:22" s="1651" customFormat="1" ht="13.2" customHeight="1">
      <c r="A27" s="1731"/>
      <c r="B27" s="1732" t="s">
        <v>1549</v>
      </c>
      <c r="C27" s="1737" t="e">
        <f>E7</f>
        <v>#DIV/0!</v>
      </c>
      <c r="D27" s="1734"/>
      <c r="E27" s="1735"/>
      <c r="F27" s="1736"/>
      <c r="G27" s="1730"/>
      <c r="H27" s="1738"/>
      <c r="I27" s="1790"/>
      <c r="J27" s="3453"/>
      <c r="K27" s="1791"/>
      <c r="L27" s="1792"/>
      <c r="M27" s="1793"/>
      <c r="N27" s="1794"/>
      <c r="O27" s="1794"/>
      <c r="P27" s="1794"/>
      <c r="Q27" s="1814"/>
      <c r="R27" s="1811">
        <f>ROUND(O27*N27*P27*(1-Q27)/10000,0)</f>
        <v>0</v>
      </c>
      <c r="S27" s="1723"/>
      <c r="T27" s="1723"/>
      <c r="U27" s="1723"/>
      <c r="V27" s="1754"/>
    </row>
    <row r="28" spans="1:22" s="1652" customFormat="1" ht="13.2" customHeight="1">
      <c r="A28" s="1731"/>
      <c r="B28" s="1732"/>
      <c r="C28" s="1737"/>
      <c r="D28" s="1734"/>
      <c r="E28" s="1735" t="s">
        <v>1550</v>
      </c>
      <c r="F28" s="1736"/>
      <c r="G28" s="1723"/>
      <c r="H28" s="1738"/>
      <c r="I28" s="1790"/>
      <c r="J28" s="1795">
        <v>6</v>
      </c>
      <c r="K28" s="1796" t="s">
        <v>1551</v>
      </c>
      <c r="L28" s="1797" t="s">
        <v>1552</v>
      </c>
      <c r="M28" s="1798"/>
      <c r="N28" s="1797" t="s">
        <v>1553</v>
      </c>
      <c r="O28" s="1799"/>
      <c r="P28" s="1797" t="s">
        <v>1554</v>
      </c>
      <c r="Q28" s="1815">
        <v>1.4999999999999999E-2</v>
      </c>
      <c r="R28" s="1816"/>
      <c r="S28" s="1723"/>
      <c r="T28" s="1723"/>
      <c r="U28" s="1723"/>
      <c r="V28" s="1790"/>
    </row>
    <row r="29" spans="1:22" s="1652" customFormat="1" ht="13.2" customHeight="1">
      <c r="A29" s="1724">
        <v>3</v>
      </c>
      <c r="B29" s="1725" t="s">
        <v>1555</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2" customHeight="1">
      <c r="A30" s="1731"/>
      <c r="B30" s="1732" t="s">
        <v>1549</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2" customHeight="1">
      <c r="A31" s="1731"/>
      <c r="B31" s="1732"/>
      <c r="C31" s="1740"/>
      <c r="D31" s="1739"/>
      <c r="E31" s="1706"/>
      <c r="F31" s="1736"/>
      <c r="G31" s="1723"/>
      <c r="H31" s="1738"/>
      <c r="I31" s="1790"/>
      <c r="J31" s="1763" t="s">
        <v>1556</v>
      </c>
      <c r="K31" s="1764"/>
      <c r="L31" s="1764"/>
      <c r="M31" s="1764"/>
      <c r="N31" s="1764"/>
      <c r="O31" s="1764"/>
      <c r="P31" s="1764"/>
      <c r="Q31" s="1764"/>
      <c r="R31" s="1801"/>
      <c r="S31" s="1723"/>
      <c r="T31" s="1723"/>
      <c r="U31" s="1723"/>
      <c r="V31" s="1790"/>
    </row>
    <row r="32" spans="1:22" s="1652" customFormat="1" ht="13.2" customHeight="1">
      <c r="A32" s="1724">
        <v>4</v>
      </c>
      <c r="B32" s="1725" t="s">
        <v>1557</v>
      </c>
      <c r="C32" s="1726">
        <f>C23-C26-C29</f>
        <v>0</v>
      </c>
      <c r="D32" s="1727">
        <f>D23-D26-D29</f>
        <v>0</v>
      </c>
      <c r="E32" s="1728">
        <f>E23-E26-E29</f>
        <v>0</v>
      </c>
      <c r="F32" s="1729"/>
      <c r="G32" s="1723"/>
      <c r="H32" s="1669"/>
      <c r="I32" s="1754"/>
      <c r="J32" s="3463" t="s">
        <v>1456</v>
      </c>
      <c r="K32" s="3464"/>
      <c r="L32" s="1765" t="s">
        <v>1457</v>
      </c>
      <c r="M32" s="1765" t="s">
        <v>1458</v>
      </c>
      <c r="N32" s="1765" t="s">
        <v>1459</v>
      </c>
      <c r="O32" s="1765" t="s">
        <v>1460</v>
      </c>
      <c r="P32" s="1765" t="s">
        <v>1461</v>
      </c>
      <c r="Q32" s="1802" t="s">
        <v>1462</v>
      </c>
      <c r="R32" s="1817" t="s">
        <v>1463</v>
      </c>
      <c r="S32" s="1723"/>
      <c r="T32" s="1723"/>
      <c r="U32" s="1723"/>
      <c r="V32" s="1790"/>
    </row>
    <row r="33" spans="1:23" s="1651" customFormat="1" ht="13.2" customHeight="1">
      <c r="A33" s="1724"/>
      <c r="B33" s="1725"/>
      <c r="C33" s="1726"/>
      <c r="D33" s="1741"/>
      <c r="E33" s="1701"/>
      <c r="F33" s="1729"/>
      <c r="G33" s="1723"/>
      <c r="H33" s="1738"/>
      <c r="I33" s="1790"/>
      <c r="J33" s="3457" t="s">
        <v>1464</v>
      </c>
      <c r="K33" s="3458"/>
      <c r="L33" s="1766"/>
      <c r="M33" s="1766"/>
      <c r="N33" s="1766"/>
      <c r="O33" s="1766"/>
      <c r="P33" s="1766"/>
      <c r="Q33" s="1804"/>
      <c r="R33" s="1818">
        <f>SUM(L33:Q33)</f>
        <v>0</v>
      </c>
      <c r="S33" s="1723"/>
      <c r="T33" s="1723"/>
      <c r="U33" s="1723"/>
      <c r="V33" s="1754"/>
    </row>
    <row r="34" spans="1:23" s="1651" customFormat="1" ht="13.2" customHeight="1">
      <c r="A34" s="1724">
        <v>5</v>
      </c>
      <c r="B34" s="1725" t="s">
        <v>1558</v>
      </c>
      <c r="C34" s="1742"/>
      <c r="D34" s="1743"/>
      <c r="E34" s="1744"/>
      <c r="F34" s="1729"/>
      <c r="G34" s="1723"/>
      <c r="H34" s="1738"/>
      <c r="I34" s="1790"/>
      <c r="J34" s="3457" t="s">
        <v>1465</v>
      </c>
      <c r="K34" s="3458"/>
      <c r="L34" s="1767"/>
      <c r="M34" s="1767"/>
      <c r="N34" s="1767"/>
      <c r="O34" s="1767"/>
      <c r="P34" s="1767"/>
      <c r="Q34" s="1806"/>
      <c r="R34" s="1819">
        <f>SUM(L34:Q34)</f>
        <v>0</v>
      </c>
      <c r="S34" s="1723"/>
      <c r="T34" s="1723"/>
      <c r="U34" s="1723" t="e">
        <f>ROUND(R35*10000/365/R33,1)</f>
        <v>#DIV/0!</v>
      </c>
      <c r="V34" s="1754"/>
    </row>
    <row r="35" spans="1:23" s="1651" customFormat="1" ht="13.2" customHeight="1">
      <c r="A35" s="1724">
        <v>6</v>
      </c>
      <c r="B35" s="1725" t="s">
        <v>1559</v>
      </c>
      <c r="C35" s="1745"/>
      <c r="D35" s="1746"/>
      <c r="E35" s="1747"/>
      <c r="F35" s="1729"/>
      <c r="G35" s="1748"/>
      <c r="H35" s="1669"/>
      <c r="I35" s="1790"/>
      <c r="J35" s="1768" t="s">
        <v>1467</v>
      </c>
      <c r="K35" s="1769"/>
      <c r="L35" s="1769"/>
      <c r="M35" s="1770"/>
      <c r="N35" s="1770"/>
      <c r="O35" s="1770"/>
      <c r="P35" s="1770"/>
      <c r="Q35" s="1770"/>
      <c r="R35" s="1820">
        <f>R40+R41+R43</f>
        <v>0</v>
      </c>
      <c r="S35" s="1723"/>
      <c r="T35" s="1723" t="s">
        <v>1468</v>
      </c>
      <c r="U35" s="1723"/>
      <c r="V35" s="1754"/>
    </row>
    <row r="36" spans="1:23" s="1651" customFormat="1" ht="13.2" customHeight="1">
      <c r="A36" s="1724">
        <v>7</v>
      </c>
      <c r="B36" s="1749" t="s">
        <v>1560</v>
      </c>
      <c r="C36" s="1750"/>
      <c r="D36" s="1751"/>
      <c r="E36" s="1752"/>
      <c r="F36" s="1753">
        <f>C36+D36+E36</f>
        <v>0</v>
      </c>
      <c r="G36" s="1723"/>
      <c r="H36" s="1669"/>
      <c r="I36" s="1754"/>
      <c r="J36" s="3451">
        <v>1</v>
      </c>
      <c r="K36" s="3454" t="s">
        <v>1561</v>
      </c>
      <c r="L36" s="1772"/>
      <c r="M36" s="1773"/>
      <c r="N36" s="1773"/>
      <c r="O36" s="1773"/>
      <c r="P36" s="1773"/>
      <c r="Q36" s="1773"/>
      <c r="R36" s="1805" t="s">
        <v>1477</v>
      </c>
      <c r="S36" s="1723"/>
      <c r="T36" s="1723" t="s">
        <v>1478</v>
      </c>
      <c r="U36" s="1723"/>
      <c r="V36" s="1754"/>
    </row>
    <row r="37" spans="1:23" s="1651" customFormat="1" ht="13.2" customHeight="1">
      <c r="A37" s="1724"/>
      <c r="B37" s="1725"/>
      <c r="C37" s="1725"/>
      <c r="D37" s="1725"/>
      <c r="E37" s="1725"/>
      <c r="F37" s="1729"/>
      <c r="G37" s="1723"/>
      <c r="H37" s="1669"/>
      <c r="I37" s="1754"/>
      <c r="J37" s="3451"/>
      <c r="K37" s="3455"/>
      <c r="L37" s="1774"/>
      <c r="M37" s="1775"/>
      <c r="N37" s="1674"/>
      <c r="O37" s="1776"/>
      <c r="P37" s="1776"/>
      <c r="Q37" s="1707"/>
      <c r="R37" s="1808"/>
      <c r="S37" s="1723"/>
      <c r="T37" s="1723" t="s">
        <v>1481</v>
      </c>
      <c r="U37" s="1723"/>
      <c r="V37" s="1754"/>
    </row>
    <row r="38" spans="1:23" s="1651" customFormat="1" ht="13.2" customHeight="1">
      <c r="A38" s="1724">
        <v>8</v>
      </c>
      <c r="B38" s="1725"/>
      <c r="C38" s="1692" t="e">
        <f>ROUND(C32*(1-((1+C35)/(1+C34))^C36)/(C34-C35),0)</f>
        <v>#DIV/0!</v>
      </c>
      <c r="D38" s="1692">
        <f>IF(D23=0,0,ROUND(D32*(1-((1+D35)/(1+D34))^D36)/(D34-D35),0))</f>
        <v>0</v>
      </c>
      <c r="E38" s="1692">
        <f>IF(E23=0,0,ROUND(E32*(1-((1+E35)/(1+E34))^E36)/(E34-E35),0))</f>
        <v>0</v>
      </c>
      <c r="F38" s="1729"/>
      <c r="G38" s="1723"/>
      <c r="H38" s="1669"/>
      <c r="I38" s="1754"/>
      <c r="J38" s="3451"/>
      <c r="K38" s="3455"/>
      <c r="L38" s="1774"/>
      <c r="M38" s="1775"/>
      <c r="N38" s="1674"/>
      <c r="O38" s="1776"/>
      <c r="P38" s="1776"/>
      <c r="Q38" s="1707"/>
      <c r="R38" s="1808"/>
      <c r="S38" s="1723"/>
      <c r="T38" s="1723" t="s">
        <v>1488</v>
      </c>
      <c r="U38" s="1723"/>
      <c r="V38" s="1754"/>
    </row>
    <row r="39" spans="1:23" s="1651" customFormat="1" ht="13.2" customHeight="1">
      <c r="A39" s="1724">
        <v>9</v>
      </c>
      <c r="B39" s="1725" t="s">
        <v>1562</v>
      </c>
      <c r="C39" s="1702" t="e">
        <f>C38</f>
        <v>#DIV/0!</v>
      </c>
      <c r="D39" s="1725">
        <f>D38/(1+D34)^C36</f>
        <v>0</v>
      </c>
      <c r="E39" s="1725">
        <f>E38/(1+E34)^(C36+D36)</f>
        <v>0</v>
      </c>
      <c r="F39" s="1729"/>
      <c r="G39" s="1754"/>
      <c r="H39" s="1669"/>
      <c r="I39" s="1754"/>
      <c r="J39" s="3451"/>
      <c r="K39" s="3455"/>
      <c r="L39" s="1774"/>
      <c r="M39" s="1775"/>
      <c r="N39" s="1674"/>
      <c r="O39" s="1776"/>
      <c r="P39" s="1776"/>
      <c r="Q39" s="1707"/>
      <c r="R39" s="1808"/>
      <c r="S39" s="1723"/>
      <c r="T39" s="1723"/>
      <c r="U39" s="1723"/>
      <c r="V39" s="1754"/>
    </row>
    <row r="40" spans="1:23" s="1651" customFormat="1" ht="13.2" customHeight="1">
      <c r="A40" s="1755">
        <v>10</v>
      </c>
      <c r="B40" s="1725" t="s">
        <v>1563</v>
      </c>
      <c r="C40" s="1756" t="e">
        <f>C39+D39+E39</f>
        <v>#DIV/0!</v>
      </c>
      <c r="D40" s="1757"/>
      <c r="E40" s="1757"/>
      <c r="F40" s="1758"/>
      <c r="G40" s="1723"/>
      <c r="H40" s="1669"/>
      <c r="I40" s="1754"/>
      <c r="J40" s="3451"/>
      <c r="K40" s="3456"/>
      <c r="L40" s="1777" t="s">
        <v>1506</v>
      </c>
      <c r="M40" s="1778"/>
      <c r="N40" s="1778"/>
      <c r="O40" s="1779"/>
      <c r="P40" s="1779"/>
      <c r="Q40" s="1809"/>
      <c r="R40" s="1803">
        <f>SUM(R37:R39)</f>
        <v>0</v>
      </c>
      <c r="S40" s="1723"/>
      <c r="T40" s="1723"/>
      <c r="U40" s="1723"/>
      <c r="V40" s="1754"/>
    </row>
    <row r="41" spans="1:23" s="1651" customFormat="1" ht="13.2" customHeight="1">
      <c r="A41" s="1759">
        <v>11</v>
      </c>
      <c r="B41" s="1760" t="s">
        <v>1564</v>
      </c>
      <c r="C41" s="1760" t="e">
        <f>ROUND(C40*10000/B4,0)</f>
        <v>#DIV/0!</v>
      </c>
      <c r="D41" s="1761"/>
      <c r="E41" s="1761"/>
      <c r="F41" s="1762"/>
      <c r="G41" s="1669"/>
      <c r="H41" s="1669"/>
      <c r="I41" s="1754"/>
      <c r="J41" s="1771">
        <v>2</v>
      </c>
      <c r="K41" s="1782" t="s">
        <v>1543</v>
      </c>
      <c r="L41" s="1783"/>
      <c r="M41" s="1783"/>
      <c r="N41" s="1783"/>
      <c r="O41" s="1783"/>
      <c r="P41" s="1784"/>
      <c r="Q41" s="1813"/>
      <c r="R41" s="1811">
        <f>ROUND(R40*Q41,0)</f>
        <v>0</v>
      </c>
      <c r="S41" s="1723"/>
      <c r="T41" s="1723"/>
      <c r="U41" s="1695"/>
      <c r="V41" s="1754"/>
    </row>
    <row r="42" spans="1:23" s="1651" customFormat="1" ht="13.2" customHeight="1">
      <c r="G42" s="1669"/>
      <c r="H42" s="1669"/>
      <c r="I42" s="1754"/>
      <c r="J42" s="3452">
        <v>3</v>
      </c>
      <c r="K42" s="1785" t="s">
        <v>1545</v>
      </c>
      <c r="L42" s="1786"/>
      <c r="M42" s="1787"/>
      <c r="N42" s="1788" t="s">
        <v>469</v>
      </c>
      <c r="O42" s="1788" t="s">
        <v>1546</v>
      </c>
      <c r="P42" s="1789" t="s">
        <v>1547</v>
      </c>
      <c r="Q42" s="1789" t="s">
        <v>1548</v>
      </c>
      <c r="R42" s="1805" t="s">
        <v>1477</v>
      </c>
      <c r="S42" s="1695"/>
      <c r="T42" s="1695"/>
      <c r="U42" s="1723"/>
      <c r="V42" s="1754"/>
    </row>
    <row r="43" spans="1:23" ht="13.2" customHeight="1">
      <c r="A43" s="1651"/>
      <c r="B43" s="1651"/>
      <c r="C43" s="1651"/>
      <c r="D43" s="1651"/>
      <c r="E43" s="1651"/>
      <c r="F43" s="1651"/>
      <c r="I43" s="1654"/>
      <c r="J43" s="3453"/>
      <c r="K43" s="1791"/>
      <c r="L43" s="1792"/>
      <c r="M43" s="1793"/>
      <c r="N43" s="1775"/>
      <c r="O43" s="1775"/>
      <c r="P43" s="1775"/>
      <c r="Q43" s="1813"/>
      <c r="R43" s="1811">
        <f>ROUND(O43*N43*P43*(1-Q43)/10000,0)</f>
        <v>0</v>
      </c>
      <c r="S43" s="1723"/>
      <c r="T43" s="1723"/>
      <c r="V43" s="1656"/>
      <c r="W43" s="1821"/>
    </row>
    <row r="44" spans="1:23" ht="13.2" customHeight="1">
      <c r="J44" s="1795">
        <v>6</v>
      </c>
      <c r="K44" s="1796" t="s">
        <v>1551</v>
      </c>
      <c r="L44" s="1800" t="s">
        <v>1552</v>
      </c>
      <c r="M44" s="1798"/>
      <c r="N44" s="1800" t="s">
        <v>1553</v>
      </c>
      <c r="O44" s="1798"/>
      <c r="P44" s="1800" t="s">
        <v>1554</v>
      </c>
      <c r="Q44" s="1815">
        <v>1.4999999999999999E-2</v>
      </c>
      <c r="R44" s="18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1565</v>
      </c>
      <c r="B1" s="681"/>
      <c r="C1" s="681"/>
      <c r="D1" s="681"/>
      <c r="E1" s="1633"/>
      <c r="F1" s="1634"/>
      <c r="G1" s="1400"/>
      <c r="H1" s="1400"/>
      <c r="I1" s="1400"/>
      <c r="J1" s="1400"/>
      <c r="K1" s="1400"/>
      <c r="L1" s="1400"/>
      <c r="M1" s="1400"/>
      <c r="N1" s="1400"/>
      <c r="O1" s="1400"/>
      <c r="P1" s="1400"/>
      <c r="Q1" s="1400"/>
      <c r="R1" s="1400"/>
      <c r="S1" s="1400"/>
    </row>
    <row r="2" spans="1:22" ht="15.6">
      <c r="A2" s="1635" t="s">
        <v>997</v>
      </c>
      <c r="B2" s="709">
        <f ca="1">SUMIF(B6:B13,"&lt;&gt;#ref!",B6:B13)</f>
        <v>1911.2363</v>
      </c>
      <c r="C2" s="1636" t="s">
        <v>1566</v>
      </c>
      <c r="D2" s="1637" t="s">
        <v>1567</v>
      </c>
      <c r="E2" s="1638">
        <f>SUM(E6:E13)</f>
        <v>885.63</v>
      </c>
      <c r="F2" s="1634"/>
      <c r="G2" s="1400"/>
      <c r="H2" s="1400"/>
      <c r="I2" s="1400"/>
      <c r="J2" s="1400"/>
      <c r="K2" s="1400"/>
      <c r="L2" s="1400"/>
      <c r="M2" s="1400"/>
      <c r="N2" s="1400"/>
      <c r="O2" s="1400"/>
      <c r="P2" s="1400"/>
      <c r="Q2" s="1400"/>
      <c r="R2" s="1400"/>
      <c r="S2" s="1400"/>
    </row>
    <row r="3" spans="1:22" ht="15.6">
      <c r="A3" s="1635" t="s">
        <v>999</v>
      </c>
      <c r="B3" s="1639">
        <f ca="1">ROUND(B2*10000/E2,0)</f>
        <v>21581</v>
      </c>
      <c r="C3" s="1636" t="s">
        <v>1568</v>
      </c>
      <c r="D3" s="1634"/>
      <c r="E3" s="1640"/>
      <c r="F3" s="1634"/>
      <c r="G3" s="1400"/>
      <c r="H3" s="1400"/>
      <c r="I3" s="1400"/>
      <c r="J3" s="1400"/>
      <c r="K3" s="1400"/>
      <c r="L3" s="1400"/>
      <c r="M3" s="1400"/>
      <c r="N3" s="1400"/>
      <c r="O3" s="1400"/>
      <c r="P3" s="1400"/>
      <c r="Q3" s="1400"/>
      <c r="R3" s="1400"/>
      <c r="S3" s="1400"/>
    </row>
    <row r="4" spans="1:22" ht="15.6">
      <c r="A4" s="1641"/>
      <c r="B4" s="1634"/>
      <c r="C4" s="1634"/>
      <c r="D4" s="1634"/>
      <c r="E4" s="1640"/>
      <c r="F4" s="1634"/>
      <c r="G4" s="1400"/>
      <c r="H4" s="1400"/>
      <c r="I4" s="1400"/>
      <c r="J4" s="1400"/>
      <c r="K4" s="1400"/>
      <c r="L4" s="1400"/>
      <c r="M4" s="1400"/>
      <c r="N4" s="1400"/>
      <c r="O4" s="1400"/>
      <c r="P4" s="1400"/>
      <c r="Q4" s="1400"/>
      <c r="R4" s="1400"/>
      <c r="S4" s="1400"/>
    </row>
    <row r="5" spans="1:22" ht="14.4">
      <c r="A5" s="1642" t="s">
        <v>1569</v>
      </c>
      <c r="B5" s="3470" t="s">
        <v>1570</v>
      </c>
      <c r="C5" s="3471"/>
      <c r="D5" s="1644"/>
      <c r="E5" s="1643" t="s">
        <v>1571</v>
      </c>
      <c r="F5" s="1599" t="s">
        <v>1572</v>
      </c>
      <c r="G5" s="1400"/>
      <c r="H5" s="1400"/>
      <c r="I5" s="1400"/>
      <c r="J5" s="1400"/>
      <c r="K5" s="1400"/>
      <c r="L5" s="1400"/>
      <c r="M5" s="1400"/>
      <c r="N5" s="1400"/>
      <c r="O5" s="1400"/>
      <c r="P5" s="1400"/>
      <c r="Q5" s="1400"/>
      <c r="R5" s="1400"/>
      <c r="S5" s="1400"/>
    </row>
    <row r="6" spans="1:22" ht="14.4">
      <c r="A6" s="1645" t="str">
        <f>'数据-取费表'!AN6</f>
        <v>收益法 (元)</v>
      </c>
      <c r="B6" s="890">
        <f ca="1">IF(F6="是",'数据-取费表'!AO6,0)</f>
        <v>766.7989</v>
      </c>
      <c r="C6" s="1636" t="s">
        <v>1566</v>
      </c>
      <c r="D6" s="1634"/>
      <c r="E6" s="1646">
        <f>IF(OR(A6=0,F6="否"),0,'数据-取费表'!K6+'数据-取费表'!S6)</f>
        <v>355.32</v>
      </c>
      <c r="F6" s="1647" t="s">
        <v>1573</v>
      </c>
      <c r="G6" s="1400"/>
      <c r="H6" s="1400"/>
      <c r="I6" s="1400"/>
      <c r="J6" s="1400"/>
      <c r="K6" s="1400"/>
      <c r="L6" s="1400"/>
      <c r="M6" s="1400"/>
      <c r="N6" s="1400"/>
      <c r="O6" s="1400"/>
      <c r="P6" s="1400"/>
      <c r="Q6" s="1400"/>
      <c r="R6" s="1400"/>
      <c r="S6" s="1400"/>
    </row>
    <row r="7" spans="1:22" ht="14.4">
      <c r="A7" s="1645" t="str">
        <f>'数据-取费表'!AN7</f>
        <v>收益法2</v>
      </c>
      <c r="B7" s="890">
        <f ca="1">IF(F7="是",'数据-取费表'!AO7,0)</f>
        <v>809.1404</v>
      </c>
      <c r="C7" s="1636" t="s">
        <v>1566</v>
      </c>
      <c r="D7" s="1634"/>
      <c r="E7" s="1646">
        <f>IF(OR(A7=0,F7="否"),0,'数据-取费表'!K7+'数据-取费表'!S7)</f>
        <v>374.94</v>
      </c>
      <c r="F7" s="1647" t="s">
        <v>1573</v>
      </c>
      <c r="G7" s="1400"/>
      <c r="H7" s="1400"/>
      <c r="I7" s="1400"/>
      <c r="J7" s="1400"/>
      <c r="K7" s="1400"/>
      <c r="L7" s="1400"/>
      <c r="M7" s="1400"/>
      <c r="N7" s="1400"/>
      <c r="O7" s="1400"/>
      <c r="P7" s="1400"/>
      <c r="Q7" s="1400"/>
      <c r="R7" s="1400"/>
      <c r="S7" s="1400"/>
    </row>
    <row r="8" spans="1:22" ht="14.4">
      <c r="A8" s="1645" t="str">
        <f>'数据-取费表'!AN8</f>
        <v>收益法3</v>
      </c>
      <c r="B8" s="890">
        <f ca="1">IF(F8="是",'数据-取费表'!AO8,0)</f>
        <v>335.29700000000003</v>
      </c>
      <c r="C8" s="1636" t="s">
        <v>1566</v>
      </c>
      <c r="D8" s="1634"/>
      <c r="E8" s="1646">
        <f>IF(OR(A8=0,F8="否"),0,'数据-取费表'!K8+'数据-取费表'!S8)</f>
        <v>155.37</v>
      </c>
      <c r="F8" s="1647" t="s">
        <v>1573</v>
      </c>
      <c r="G8" s="1400"/>
      <c r="H8" s="1400"/>
      <c r="I8" s="1400"/>
      <c r="J8" s="1400"/>
      <c r="K8" s="1400"/>
      <c r="L8" s="1400"/>
      <c r="M8" s="1400"/>
      <c r="N8" s="1400"/>
      <c r="O8" s="1400"/>
      <c r="P8" s="1400"/>
      <c r="Q8" s="1400"/>
      <c r="R8" s="1400"/>
      <c r="S8" s="1400"/>
    </row>
    <row r="9" spans="1:22" ht="14.4">
      <c r="A9" s="1645">
        <f>'数据-取费表'!AN9</f>
        <v>0</v>
      </c>
      <c r="B9" s="890" t="e">
        <f ca="1">IF(F9="是",'数据-取费表'!AO9,0)</f>
        <v>#REF!</v>
      </c>
      <c r="C9" s="1636" t="s">
        <v>1566</v>
      </c>
      <c r="D9" s="1634"/>
      <c r="E9" s="1646">
        <f>IF(OR(A9=0,F9="否"),0,'数据-取费表'!K9+'数据-取费表'!S9)</f>
        <v>0</v>
      </c>
      <c r="F9" s="1647" t="s">
        <v>1573</v>
      </c>
      <c r="G9" s="1400"/>
      <c r="H9" s="1400"/>
      <c r="I9" s="1400"/>
      <c r="J9" s="1400"/>
      <c r="K9" s="1400"/>
      <c r="L9" s="1400"/>
      <c r="M9" s="1400"/>
      <c r="N9" s="1400"/>
      <c r="O9" s="1400"/>
      <c r="P9" s="1400"/>
      <c r="Q9" s="1400"/>
      <c r="R9" s="1400"/>
      <c r="S9" s="1400"/>
    </row>
    <row r="10" spans="1:22" ht="14.4">
      <c r="A10" s="1645">
        <f>'数据-取费表'!AN10</f>
        <v>0</v>
      </c>
      <c r="B10" s="890" t="e">
        <f ca="1">IF(F10="是",'数据-取费表'!AO10,0)</f>
        <v>#REF!</v>
      </c>
      <c r="C10" s="1636" t="s">
        <v>1566</v>
      </c>
      <c r="D10" s="1634"/>
      <c r="E10" s="1646">
        <f>IF(OR(A10=0,F10="否"),0,'数据-取费表'!K10+'数据-取费表'!S10)</f>
        <v>0</v>
      </c>
      <c r="F10" s="1647" t="s">
        <v>1573</v>
      </c>
      <c r="G10" s="1400"/>
      <c r="H10" s="1400"/>
      <c r="I10" s="1400"/>
      <c r="J10" s="1400"/>
      <c r="K10" s="1400"/>
      <c r="L10" s="1400"/>
      <c r="M10" s="1400"/>
      <c r="N10" s="1400"/>
      <c r="O10" s="1400"/>
      <c r="P10" s="1400"/>
      <c r="Q10" s="1400"/>
      <c r="R10" s="1400"/>
      <c r="S10" s="1400"/>
    </row>
    <row r="11" spans="1:22" ht="14.4">
      <c r="A11" s="1645">
        <f>'数据-取费表'!AN11</f>
        <v>0</v>
      </c>
      <c r="B11" s="890" t="e">
        <f ca="1">IF(F11="是",'数据-取费表'!AO11,0)</f>
        <v>#REF!</v>
      </c>
      <c r="C11" s="1636" t="s">
        <v>1566</v>
      </c>
      <c r="D11" s="1634"/>
      <c r="E11" s="1646">
        <f>IF(OR(A11=0,F11="否"),0,'数据-取费表'!K11+'数据-取费表'!S11)</f>
        <v>0</v>
      </c>
      <c r="F11" s="1647" t="s">
        <v>1573</v>
      </c>
      <c r="G11" s="1400"/>
      <c r="H11" s="1400"/>
      <c r="I11" s="1400"/>
      <c r="J11" s="1400"/>
      <c r="K11" s="1400"/>
      <c r="L11" s="1400"/>
      <c r="M11" s="1400"/>
      <c r="N11" s="1400"/>
      <c r="O11" s="1400"/>
      <c r="P11" s="1400"/>
      <c r="Q11" s="1400"/>
      <c r="R11" s="1400"/>
      <c r="S11" s="1400"/>
    </row>
    <row r="12" spans="1:22" ht="14.4">
      <c r="A12" s="1645">
        <f>'数据-取费表'!AN12</f>
        <v>0</v>
      </c>
      <c r="B12" s="890" t="e">
        <f ca="1">IF(F12="是",'数据-取费表'!AO12,0)</f>
        <v>#REF!</v>
      </c>
      <c r="C12" s="1636" t="s">
        <v>1566</v>
      </c>
      <c r="D12" s="1634"/>
      <c r="E12" s="1646">
        <f>IF(OR(A12=0,F12="否"),0,'数据-取费表'!K12+'数据-取费表'!S12)</f>
        <v>0</v>
      </c>
      <c r="F12" s="1647" t="s">
        <v>1573</v>
      </c>
      <c r="G12" s="1400"/>
      <c r="H12" s="1400"/>
      <c r="I12" s="1400"/>
      <c r="J12" s="1400"/>
      <c r="K12" s="1400"/>
      <c r="L12" s="1400"/>
      <c r="M12" s="1400"/>
      <c r="N12" s="1400"/>
      <c r="O12" s="1400"/>
      <c r="P12" s="1400"/>
      <c r="Q12" s="1400"/>
      <c r="R12" s="1400"/>
      <c r="S12" s="1400"/>
    </row>
    <row r="13" spans="1:22" ht="14.4">
      <c r="A13" s="1648">
        <f>'数据-取费表'!AN13</f>
        <v>0</v>
      </c>
      <c r="B13" s="890" t="e">
        <f ca="1">IF(F13="是",'数据-取费表'!AO13,0)</f>
        <v>#REF!</v>
      </c>
      <c r="C13" s="1649" t="s">
        <v>1566</v>
      </c>
      <c r="D13" s="1650"/>
      <c r="E13" s="1646">
        <f>IF(OR(A13=0,F13="否"),0,'数据-取费表'!K13+'数据-取费表'!S13)</f>
        <v>0</v>
      </c>
      <c r="F13" s="1647" t="s">
        <v>1573</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1574</v>
      </c>
      <c r="C1" s="1304" t="s">
        <v>1341</v>
      </c>
      <c r="D1" s="1263"/>
      <c r="E1" s="1529"/>
      <c r="F1" s="1265"/>
      <c r="G1" s="1266" t="s">
        <v>1344</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997</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998</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999</v>
      </c>
      <c r="B3" s="1274">
        <f>IF(C2="——",C49,ROUND(B2*10000/D3,0))</f>
        <v>0</v>
      </c>
      <c r="C3" s="1273" t="s">
        <v>1345</v>
      </c>
      <c r="D3" s="1274">
        <f>IF(D1="",'数据-汇总表'!E3,SUMIF('数据-汇总表'!$C19:$C33,D1,'数据-汇总表'!$E19:$E33))</f>
        <v>885.63</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4.4">
      <c r="A4" s="918" t="s">
        <v>1346</v>
      </c>
      <c r="B4" s="919"/>
      <c r="C4" s="3432" t="s">
        <v>1347</v>
      </c>
      <c r="D4" s="3433"/>
      <c r="E4" s="3434" t="s">
        <v>1348</v>
      </c>
      <c r="F4" s="3435"/>
      <c r="G4" s="3432" t="s">
        <v>1349</v>
      </c>
      <c r="H4" s="3433"/>
      <c r="I4" s="3432" t="s">
        <v>1350</v>
      </c>
      <c r="J4" s="3433"/>
      <c r="K4" s="1569" t="s">
        <v>1351</v>
      </c>
      <c r="L4" s="1065"/>
      <c r="M4" s="1015"/>
      <c r="N4" s="1015"/>
      <c r="O4" s="1015"/>
      <c r="P4" s="3439" t="s">
        <v>1352</v>
      </c>
      <c r="Q4" s="3440"/>
      <c r="R4" s="3443" t="s">
        <v>1348</v>
      </c>
      <c r="S4" s="3444"/>
      <c r="T4" s="3443" t="s">
        <v>1349</v>
      </c>
      <c r="U4" s="3444"/>
      <c r="V4" s="3409" t="s">
        <v>1350</v>
      </c>
      <c r="W4" s="3409"/>
      <c r="X4" s="1113"/>
      <c r="Y4" s="3443" t="s">
        <v>1352</v>
      </c>
      <c r="Z4" s="3444"/>
      <c r="AA4" s="3438" t="s">
        <v>1348</v>
      </c>
      <c r="AB4" s="3438" t="s">
        <v>1349</v>
      </c>
      <c r="AC4" s="3438" t="s">
        <v>1350</v>
      </c>
    </row>
    <row r="5" spans="1:29">
      <c r="A5" s="922"/>
      <c r="B5" s="923"/>
      <c r="C5" s="3448" t="s">
        <v>1575</v>
      </c>
      <c r="D5" s="3437"/>
      <c r="E5" s="3472" t="s">
        <v>1576</v>
      </c>
      <c r="F5" s="3450"/>
      <c r="G5" s="3448" t="s">
        <v>1577</v>
      </c>
      <c r="H5" s="3437"/>
      <c r="I5" s="3448" t="s">
        <v>1353</v>
      </c>
      <c r="J5" s="3437"/>
      <c r="K5" s="1570"/>
      <c r="L5" s="1065"/>
      <c r="M5" s="1015"/>
      <c r="N5" s="1015"/>
      <c r="O5" s="1015"/>
      <c r="P5" s="3441"/>
      <c r="Q5" s="3399"/>
      <c r="R5" s="3404"/>
      <c r="S5" s="3405"/>
      <c r="T5" s="3404"/>
      <c r="U5" s="3405"/>
      <c r="V5" s="3409"/>
      <c r="W5" s="3409"/>
      <c r="X5" s="1113"/>
      <c r="Y5" s="3404"/>
      <c r="Z5" s="3405"/>
      <c r="AA5" s="3391"/>
      <c r="AB5" s="3391"/>
      <c r="AC5" s="3391"/>
    </row>
    <row r="6" spans="1:29" ht="14.4">
      <c r="A6" s="924"/>
      <c r="B6" s="925"/>
      <c r="C6" s="3427" t="s">
        <v>1354</v>
      </c>
      <c r="D6" s="3428"/>
      <c r="E6" s="3429" t="s">
        <v>1354</v>
      </c>
      <c r="F6" s="3430"/>
      <c r="G6" s="3427" t="s">
        <v>1354</v>
      </c>
      <c r="H6" s="3428"/>
      <c r="I6" s="3427" t="s">
        <v>1354</v>
      </c>
      <c r="J6" s="3428"/>
      <c r="K6" s="1570" t="s">
        <v>1355</v>
      </c>
      <c r="L6" s="1065"/>
      <c r="M6" s="1015"/>
      <c r="N6" s="1015"/>
      <c r="O6" s="1015"/>
      <c r="P6" s="3442"/>
      <c r="Q6" s="3401"/>
      <c r="R6" s="3404"/>
      <c r="S6" s="3405"/>
      <c r="T6" s="3406"/>
      <c r="U6" s="3407"/>
      <c r="V6" s="3409"/>
      <c r="W6" s="3409"/>
      <c r="X6" s="1113"/>
      <c r="Y6" s="3406"/>
      <c r="Z6" s="3407"/>
      <c r="AA6" s="3392"/>
      <c r="AB6" s="3392"/>
      <c r="AC6" s="3392"/>
    </row>
    <row r="7" spans="1:29" s="899" customFormat="1" ht="14.4">
      <c r="A7" s="927" t="s">
        <v>1356</v>
      </c>
      <c r="B7" s="928"/>
      <c r="C7" s="929">
        <f>'数据-取费表'!B2</f>
        <v>45839</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15" t="s">
        <v>1357</v>
      </c>
      <c r="Q7" s="3431"/>
      <c r="R7" s="1114" t="s">
        <v>1358</v>
      </c>
      <c r="S7" s="1115">
        <f t="shared" ref="S7:S15" si="0">F7</f>
        <v>0</v>
      </c>
      <c r="T7" s="1114" t="s">
        <v>1358</v>
      </c>
      <c r="U7" s="1115">
        <f t="shared" ref="U7:U15" si="1">H7</f>
        <v>0</v>
      </c>
      <c r="V7" s="1114" t="s">
        <v>1358</v>
      </c>
      <c r="W7" s="1115">
        <f t="shared" ref="W7:W15" si="2">J7</f>
        <v>0</v>
      </c>
      <c r="X7" s="1116"/>
      <c r="Y7" s="3415" t="s">
        <v>1357</v>
      </c>
      <c r="Z7" s="3416"/>
      <c r="AA7" s="1126" t="e">
        <f>D7/F7</f>
        <v>#DIV/0!</v>
      </c>
      <c r="AB7" s="1126" t="e">
        <f>D7/H7</f>
        <v>#DIV/0!</v>
      </c>
      <c r="AC7" s="1126" t="e">
        <f>D7/J7</f>
        <v>#DIV/0!</v>
      </c>
    </row>
    <row r="8" spans="1:29" s="899" customFormat="1" ht="14.4">
      <c r="A8" s="927" t="s">
        <v>1359</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15" t="s">
        <v>1361</v>
      </c>
      <c r="Q8" s="3416"/>
      <c r="R8" s="1114" t="s">
        <v>1358</v>
      </c>
      <c r="S8" s="1115">
        <f t="shared" si="0"/>
        <v>100</v>
      </c>
      <c r="T8" s="1114" t="s">
        <v>1358</v>
      </c>
      <c r="U8" s="1115">
        <f t="shared" si="1"/>
        <v>100</v>
      </c>
      <c r="V8" s="1114" t="s">
        <v>1358</v>
      </c>
      <c r="W8" s="1115">
        <f t="shared" si="2"/>
        <v>100</v>
      </c>
      <c r="X8" s="1116"/>
      <c r="Y8" s="3415" t="s">
        <v>1361</v>
      </c>
      <c r="Z8" s="3416"/>
      <c r="AA8" s="1126">
        <f t="shared" ref="AA8:AA19" si="3">D8/F8</f>
        <v>1</v>
      </c>
      <c r="AB8" s="1126">
        <f t="shared" ref="AB8:AB19" si="4">D8/H8</f>
        <v>1</v>
      </c>
      <c r="AC8" s="1126">
        <f t="shared" ref="AC8:AC19" si="5">D8/J8</f>
        <v>1</v>
      </c>
    </row>
    <row r="9" spans="1:29" s="899" customFormat="1" ht="14.4">
      <c r="A9" s="935" t="s">
        <v>1362</v>
      </c>
      <c r="B9" s="936" t="s">
        <v>1363</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10" t="s">
        <v>1364</v>
      </c>
      <c r="Q9" s="790" t="str">
        <f t="shared" ref="Q9:Q15" si="6">B9</f>
        <v>用途</v>
      </c>
      <c r="R9" s="1114" t="s">
        <v>1358</v>
      </c>
      <c r="S9" s="1115">
        <f t="shared" si="0"/>
        <v>100</v>
      </c>
      <c r="T9" s="1114" t="s">
        <v>1358</v>
      </c>
      <c r="U9" s="1115">
        <f t="shared" si="1"/>
        <v>100</v>
      </c>
      <c r="V9" s="1114" t="s">
        <v>1358</v>
      </c>
      <c r="W9" s="1115">
        <f t="shared" si="2"/>
        <v>100</v>
      </c>
      <c r="X9" s="1116"/>
      <c r="Y9" s="3297"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10"/>
      <c r="Q10" s="790" t="str">
        <f t="shared" si="6"/>
        <v>土地使用年限（年）</v>
      </c>
      <c r="R10" s="1114" t="s">
        <v>1358</v>
      </c>
      <c r="S10" s="1115">
        <f t="shared" si="0"/>
        <v>100</v>
      </c>
      <c r="T10" s="1114" t="s">
        <v>1358</v>
      </c>
      <c r="U10" s="1115">
        <f t="shared" si="1"/>
        <v>100</v>
      </c>
      <c r="V10" s="1114" t="s">
        <v>1358</v>
      </c>
      <c r="W10" s="1115">
        <f t="shared" si="2"/>
        <v>100</v>
      </c>
      <c r="X10" s="1116"/>
      <c r="Y10" s="3297"/>
      <c r="Z10" s="1126" t="str">
        <f t="shared" si="7"/>
        <v>土地使用年限（年）</v>
      </c>
      <c r="AA10" s="1126">
        <f t="shared" si="3"/>
        <v>1</v>
      </c>
      <c r="AB10" s="1126">
        <f t="shared" si="4"/>
        <v>1</v>
      </c>
      <c r="AC10" s="1126">
        <f t="shared" si="5"/>
        <v>1</v>
      </c>
    </row>
    <row r="11" spans="1:29" ht="15">
      <c r="A11" s="943"/>
      <c r="B11" s="940" t="s">
        <v>1367</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10"/>
      <c r="Q11" s="790" t="str">
        <f t="shared" si="6"/>
        <v>容积率</v>
      </c>
      <c r="R11" s="1114" t="s">
        <v>1358</v>
      </c>
      <c r="S11" s="1115" t="e">
        <f t="shared" si="0"/>
        <v>#N/A</v>
      </c>
      <c r="T11" s="1114" t="s">
        <v>1358</v>
      </c>
      <c r="U11" s="1115" t="e">
        <f t="shared" si="1"/>
        <v>#N/A</v>
      </c>
      <c r="V11" s="1114" t="s">
        <v>1358</v>
      </c>
      <c r="W11" s="1115" t="e">
        <f t="shared" si="2"/>
        <v>#N/A</v>
      </c>
      <c r="X11" s="1116"/>
      <c r="Y11" s="3297"/>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10"/>
      <c r="Q12" s="790">
        <f t="shared" si="6"/>
        <v>111</v>
      </c>
      <c r="R12" s="1114" t="s">
        <v>1358</v>
      </c>
      <c r="S12" s="1115">
        <f t="shared" si="0"/>
        <v>100</v>
      </c>
      <c r="T12" s="1114" t="s">
        <v>1358</v>
      </c>
      <c r="U12" s="1115">
        <f t="shared" si="1"/>
        <v>100</v>
      </c>
      <c r="V12" s="1114" t="s">
        <v>1358</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10"/>
      <c r="Q13" s="790">
        <f t="shared" si="6"/>
        <v>111</v>
      </c>
      <c r="R13" s="1114" t="s">
        <v>1358</v>
      </c>
      <c r="S13" s="1115">
        <f t="shared" si="0"/>
        <v>100</v>
      </c>
      <c r="T13" s="1114" t="s">
        <v>1358</v>
      </c>
      <c r="U13" s="1115">
        <f t="shared" si="1"/>
        <v>100</v>
      </c>
      <c r="V13" s="1114" t="s">
        <v>1358</v>
      </c>
      <c r="W13" s="1115">
        <f t="shared" si="2"/>
        <v>100</v>
      </c>
      <c r="X13" s="1116"/>
      <c r="Y13" s="3297"/>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10"/>
      <c r="Q14" s="790">
        <f t="shared" si="6"/>
        <v>111</v>
      </c>
      <c r="R14" s="1114" t="s">
        <v>1358</v>
      </c>
      <c r="S14" s="1115">
        <f t="shared" si="0"/>
        <v>100</v>
      </c>
      <c r="T14" s="1114" t="s">
        <v>1358</v>
      </c>
      <c r="U14" s="1115">
        <f t="shared" si="1"/>
        <v>100</v>
      </c>
      <c r="V14" s="1114" t="s">
        <v>1358</v>
      </c>
      <c r="W14" s="1115">
        <f t="shared" si="2"/>
        <v>100</v>
      </c>
      <c r="X14" s="1116"/>
      <c r="Y14" s="3297"/>
      <c r="Z14" s="1126">
        <f t="shared" si="7"/>
        <v>111</v>
      </c>
      <c r="AA14" s="1126">
        <f t="shared" si="3"/>
        <v>1</v>
      </c>
      <c r="AB14" s="1126">
        <f t="shared" si="4"/>
        <v>1</v>
      </c>
      <c r="AC14" s="1126">
        <f t="shared" si="5"/>
        <v>1</v>
      </c>
    </row>
    <row r="15" spans="1:29" ht="15">
      <c r="A15" s="956" t="s">
        <v>1368</v>
      </c>
      <c r="B15" s="1232" t="s">
        <v>1578</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18" t="s">
        <v>1370</v>
      </c>
      <c r="Q15" s="621" t="str">
        <f t="shared" si="6"/>
        <v>居住社区成熟度</v>
      </c>
      <c r="R15" s="1118" t="s">
        <v>1358</v>
      </c>
      <c r="S15" s="1119">
        <f t="shared" si="0"/>
        <v>100</v>
      </c>
      <c r="T15" s="1118" t="s">
        <v>1358</v>
      </c>
      <c r="U15" s="1119">
        <f t="shared" si="1"/>
        <v>100</v>
      </c>
      <c r="V15" s="1118" t="s">
        <v>1358</v>
      </c>
      <c r="W15" s="1119">
        <f t="shared" si="2"/>
        <v>100</v>
      </c>
      <c r="X15" s="1113"/>
      <c r="Y15" s="3423" t="s">
        <v>1370</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19"/>
      <c r="Q16" s="621"/>
      <c r="R16" s="1118"/>
      <c r="S16" s="1119"/>
      <c r="T16" s="1118"/>
      <c r="U16" s="1119"/>
      <c r="V16" s="1118"/>
      <c r="W16" s="1119"/>
      <c r="X16" s="1113"/>
      <c r="Y16" s="3424"/>
      <c r="Z16" s="1102"/>
      <c r="AA16" s="1102">
        <v>1</v>
      </c>
      <c r="AB16" s="1102">
        <v>1</v>
      </c>
      <c r="AC16" s="1102">
        <v>1</v>
      </c>
    </row>
    <row r="17" spans="1:29" ht="15">
      <c r="A17" s="943"/>
      <c r="B17" s="1234" t="s">
        <v>1372</v>
      </c>
      <c r="C17" s="967" t="str">
        <f>估价对象房地状况!C6</f>
        <v>一般</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19"/>
      <c r="Q17" s="621" t="str">
        <f>B17</f>
        <v>交通便捷度</v>
      </c>
      <c r="R17" s="1118" t="s">
        <v>1358</v>
      </c>
      <c r="S17" s="1119">
        <f>F17</f>
        <v>100</v>
      </c>
      <c r="T17" s="1118" t="s">
        <v>1358</v>
      </c>
      <c r="U17" s="1119">
        <f>H17</f>
        <v>100</v>
      </c>
      <c r="V17" s="1118" t="s">
        <v>1358</v>
      </c>
      <c r="W17" s="1119">
        <f>J17</f>
        <v>100</v>
      </c>
      <c r="X17" s="1113"/>
      <c r="Y17" s="3424"/>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19"/>
      <c r="Q18" s="621"/>
      <c r="R18" s="1118"/>
      <c r="S18" s="1119"/>
      <c r="T18" s="1118"/>
      <c r="U18" s="1119"/>
      <c r="V18" s="1118"/>
      <c r="W18" s="1119"/>
      <c r="X18" s="1113"/>
      <c r="Y18" s="3424"/>
      <c r="Z18" s="1102"/>
      <c r="AA18" s="1102">
        <v>1</v>
      </c>
      <c r="AB18" s="1102">
        <v>1</v>
      </c>
      <c r="AC18" s="1102">
        <v>1</v>
      </c>
    </row>
    <row r="19" spans="1:29" ht="15">
      <c r="A19" s="943"/>
      <c r="B19" s="1234" t="s">
        <v>1373</v>
      </c>
      <c r="C19" s="967" t="str">
        <f>估价对象房地状况!C7</f>
        <v>一般</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19"/>
      <c r="Q19" s="621" t="str">
        <f>B19</f>
        <v>公共配套设施</v>
      </c>
      <c r="R19" s="1118" t="s">
        <v>1358</v>
      </c>
      <c r="S19" s="1119">
        <f>F19</f>
        <v>100</v>
      </c>
      <c r="T19" s="1118" t="s">
        <v>1358</v>
      </c>
      <c r="U19" s="1119">
        <f>H19</f>
        <v>100</v>
      </c>
      <c r="V19" s="1118" t="s">
        <v>1358</v>
      </c>
      <c r="W19" s="1119">
        <f>J19</f>
        <v>100</v>
      </c>
      <c r="X19" s="1113"/>
      <c r="Y19" s="3424"/>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19"/>
      <c r="Q20" s="621"/>
      <c r="R20" s="1118"/>
      <c r="S20" s="1119"/>
      <c r="T20" s="1118"/>
      <c r="U20" s="1119"/>
      <c r="V20" s="1118"/>
      <c r="W20" s="1119"/>
      <c r="X20" s="1113"/>
      <c r="Y20" s="3424"/>
      <c r="Z20" s="1102"/>
      <c r="AA20" s="1102">
        <v>1</v>
      </c>
      <c r="AB20" s="1102">
        <v>1</v>
      </c>
      <c r="AC20" s="1102">
        <v>1</v>
      </c>
    </row>
    <row r="21" spans="1:29" ht="15">
      <c r="A21" s="943"/>
      <c r="B21" s="1238" t="s">
        <v>1375</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19"/>
      <c r="Q21" s="621" t="str">
        <f>B21</f>
        <v>基础设施水平</v>
      </c>
      <c r="R21" s="1118" t="s">
        <v>1358</v>
      </c>
      <c r="S21" s="1119">
        <f>F21</f>
        <v>100</v>
      </c>
      <c r="T21" s="1118" t="s">
        <v>1358</v>
      </c>
      <c r="U21" s="1119">
        <f>H21</f>
        <v>100</v>
      </c>
      <c r="V21" s="1118" t="s">
        <v>1358</v>
      </c>
      <c r="W21" s="1119">
        <f>J21</f>
        <v>100</v>
      </c>
      <c r="X21" s="1113"/>
      <c r="Y21" s="3424"/>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19"/>
      <c r="Q22" s="621"/>
      <c r="R22" s="1118"/>
      <c r="S22" s="1119"/>
      <c r="T22" s="1118"/>
      <c r="U22" s="1119"/>
      <c r="V22" s="1118"/>
      <c r="W22" s="1119"/>
      <c r="X22" s="1113"/>
      <c r="Y22" s="3424"/>
      <c r="Z22" s="1102"/>
      <c r="AA22" s="1102">
        <v>1</v>
      </c>
      <c r="AB22" s="1102">
        <v>1</v>
      </c>
      <c r="AC22" s="1102">
        <v>1</v>
      </c>
    </row>
    <row r="23" spans="1:29" ht="15">
      <c r="A23" s="943"/>
      <c r="B23" s="1234" t="s">
        <v>1579</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19"/>
      <c r="Q23" s="621" t="str">
        <f>B23</f>
        <v>自然及人文环境</v>
      </c>
      <c r="R23" s="1118" t="s">
        <v>1358</v>
      </c>
      <c r="S23" s="1119">
        <f>F23</f>
        <v>100</v>
      </c>
      <c r="T23" s="1118" t="s">
        <v>1358</v>
      </c>
      <c r="U23" s="1119">
        <f>H23</f>
        <v>100</v>
      </c>
      <c r="V23" s="1118" t="s">
        <v>1358</v>
      </c>
      <c r="W23" s="1119">
        <f>J23</f>
        <v>100</v>
      </c>
      <c r="X23" s="1113"/>
      <c r="Y23" s="3424"/>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19"/>
      <c r="Q24" s="621"/>
      <c r="R24" s="1118"/>
      <c r="S24" s="1119"/>
      <c r="T24" s="1118"/>
      <c r="U24" s="1119"/>
      <c r="V24" s="1118"/>
      <c r="W24" s="1119"/>
      <c r="X24" s="1113"/>
      <c r="Y24" s="3424"/>
      <c r="Z24" s="1102"/>
      <c r="AA24" s="1102">
        <v>1</v>
      </c>
      <c r="AB24" s="1102">
        <v>1</v>
      </c>
      <c r="AC24" s="1102">
        <v>1</v>
      </c>
    </row>
    <row r="25" spans="1:29" ht="15">
      <c r="A25" s="943"/>
      <c r="B25" s="940" t="s">
        <v>1580</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19"/>
      <c r="Q25" s="621" t="str">
        <f t="shared" ref="Q25:Q46" si="11">B25</f>
        <v>楼层-1</v>
      </c>
      <c r="R25" s="1118" t="s">
        <v>1358</v>
      </c>
      <c r="S25" s="1119">
        <f t="shared" ref="S25:S46" si="12">F25</f>
        <v>100</v>
      </c>
      <c r="T25" s="1118" t="s">
        <v>1358</v>
      </c>
      <c r="U25" s="1119">
        <f t="shared" ref="U25:U46" si="13">H25</f>
        <v>100</v>
      </c>
      <c r="V25" s="1118" t="s">
        <v>1358</v>
      </c>
      <c r="W25" s="1119">
        <f t="shared" ref="W25:W46" si="14">J25</f>
        <v>100</v>
      </c>
      <c r="X25" s="1113"/>
      <c r="Y25" s="3424"/>
      <c r="Z25" s="1102" t="str">
        <f>Q25</f>
        <v>楼层-1</v>
      </c>
      <c r="AA25" s="1102">
        <f t="shared" ref="AA25:AA46" si="15">D25/F25</f>
        <v>1</v>
      </c>
      <c r="AB25" s="1102">
        <f t="shared" ref="AB25:AB46" si="16">D25/H25</f>
        <v>1</v>
      </c>
      <c r="AC25" s="1102">
        <f t="shared" ref="AC25:AC46" si="17">D25/J25</f>
        <v>1</v>
      </c>
    </row>
    <row r="26" spans="1:29" ht="15">
      <c r="A26" s="943"/>
      <c r="B26" s="940" t="s">
        <v>1380</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19"/>
      <c r="Q26" s="621" t="str">
        <f t="shared" si="11"/>
        <v>朝向</v>
      </c>
      <c r="R26" s="1118" t="s">
        <v>1358</v>
      </c>
      <c r="S26" s="1119">
        <f t="shared" si="12"/>
        <v>100</v>
      </c>
      <c r="T26" s="1118" t="s">
        <v>1358</v>
      </c>
      <c r="U26" s="1119">
        <f t="shared" si="13"/>
        <v>100</v>
      </c>
      <c r="V26" s="1118" t="s">
        <v>1358</v>
      </c>
      <c r="W26" s="1119">
        <f t="shared" si="14"/>
        <v>100</v>
      </c>
      <c r="X26" s="1113"/>
      <c r="Y26" s="3424"/>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19"/>
      <c r="Q27" s="790">
        <f t="shared" si="11"/>
        <v>111</v>
      </c>
      <c r="R27" s="1114" t="s">
        <v>1358</v>
      </c>
      <c r="S27" s="1115">
        <f t="shared" si="12"/>
        <v>100</v>
      </c>
      <c r="T27" s="1114" t="s">
        <v>1358</v>
      </c>
      <c r="U27" s="1115">
        <f t="shared" si="13"/>
        <v>100</v>
      </c>
      <c r="V27" s="1114" t="s">
        <v>1358</v>
      </c>
      <c r="W27" s="1115">
        <f t="shared" si="14"/>
        <v>100</v>
      </c>
      <c r="X27" s="1116"/>
      <c r="Y27" s="3424"/>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19"/>
      <c r="Q28" s="621">
        <f t="shared" si="11"/>
        <v>111</v>
      </c>
      <c r="R28" s="1118" t="s">
        <v>1358</v>
      </c>
      <c r="S28" s="1119">
        <f t="shared" si="12"/>
        <v>100</v>
      </c>
      <c r="T28" s="1118" t="s">
        <v>1358</v>
      </c>
      <c r="U28" s="1119">
        <f t="shared" si="13"/>
        <v>100</v>
      </c>
      <c r="V28" s="1118" t="s">
        <v>1358</v>
      </c>
      <c r="W28" s="1119">
        <f t="shared" si="14"/>
        <v>100</v>
      </c>
      <c r="X28" s="1113"/>
      <c r="Y28" s="3424"/>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19"/>
      <c r="Q29" s="621">
        <f t="shared" si="11"/>
        <v>111</v>
      </c>
      <c r="R29" s="1118" t="s">
        <v>1358</v>
      </c>
      <c r="S29" s="1119">
        <f t="shared" si="12"/>
        <v>100</v>
      </c>
      <c r="T29" s="1118" t="s">
        <v>1358</v>
      </c>
      <c r="U29" s="1119">
        <f t="shared" si="13"/>
        <v>100</v>
      </c>
      <c r="V29" s="1118" t="s">
        <v>1358</v>
      </c>
      <c r="W29" s="1119">
        <f t="shared" si="14"/>
        <v>100</v>
      </c>
      <c r="X29" s="1113"/>
      <c r="Y29" s="3424"/>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19"/>
      <c r="Q30" s="621">
        <f t="shared" si="11"/>
        <v>111</v>
      </c>
      <c r="R30" s="1118" t="s">
        <v>1358</v>
      </c>
      <c r="S30" s="1119">
        <f t="shared" si="12"/>
        <v>100</v>
      </c>
      <c r="T30" s="1118" t="s">
        <v>1358</v>
      </c>
      <c r="U30" s="1119">
        <f t="shared" si="13"/>
        <v>100</v>
      </c>
      <c r="V30" s="1118" t="s">
        <v>1358</v>
      </c>
      <c r="W30" s="1119">
        <f t="shared" si="14"/>
        <v>100</v>
      </c>
      <c r="X30" s="1113"/>
      <c r="Y30" s="3424"/>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19"/>
      <c r="Q31" s="621">
        <f t="shared" si="11"/>
        <v>111</v>
      </c>
      <c r="R31" s="1118" t="s">
        <v>1358</v>
      </c>
      <c r="S31" s="1119">
        <f t="shared" si="12"/>
        <v>100</v>
      </c>
      <c r="T31" s="1118" t="s">
        <v>1358</v>
      </c>
      <c r="U31" s="1119">
        <f t="shared" si="13"/>
        <v>100</v>
      </c>
      <c r="V31" s="1118" t="s">
        <v>1358</v>
      </c>
      <c r="W31" s="1119">
        <f t="shared" si="14"/>
        <v>100</v>
      </c>
      <c r="X31" s="1113"/>
      <c r="Y31" s="3424"/>
      <c r="Z31" s="1102">
        <f t="shared" si="18"/>
        <v>111</v>
      </c>
      <c r="AA31" s="1102">
        <f t="shared" si="15"/>
        <v>1</v>
      </c>
      <c r="AB31" s="1102">
        <f t="shared" si="16"/>
        <v>1</v>
      </c>
      <c r="AC31" s="1102">
        <f t="shared" si="17"/>
        <v>1</v>
      </c>
    </row>
    <row r="32" spans="1:29" ht="15">
      <c r="A32" s="956" t="s">
        <v>1381</v>
      </c>
      <c r="B32" s="936" t="s">
        <v>1382</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20" t="s">
        <v>1384</v>
      </c>
      <c r="Q32" s="621" t="str">
        <f t="shared" si="11"/>
        <v>建筑类型</v>
      </c>
      <c r="R32" s="1118" t="s">
        <v>1358</v>
      </c>
      <c r="S32" s="1119">
        <f t="shared" si="12"/>
        <v>100</v>
      </c>
      <c r="T32" s="1118" t="s">
        <v>1358</v>
      </c>
      <c r="U32" s="1119">
        <f t="shared" si="13"/>
        <v>100</v>
      </c>
      <c r="V32" s="1118" t="s">
        <v>1358</v>
      </c>
      <c r="W32" s="1119">
        <f t="shared" si="14"/>
        <v>100</v>
      </c>
      <c r="X32" s="1113"/>
      <c r="Y32" s="3425" t="s">
        <v>1384</v>
      </c>
      <c r="Z32" s="1102" t="str">
        <f t="shared" si="18"/>
        <v>建筑类型</v>
      </c>
      <c r="AA32" s="1102">
        <f t="shared" si="15"/>
        <v>1</v>
      </c>
      <c r="AB32" s="1102">
        <f t="shared" si="16"/>
        <v>1</v>
      </c>
      <c r="AC32" s="1102">
        <f t="shared" si="17"/>
        <v>1</v>
      </c>
    </row>
    <row r="33" spans="1:29" s="901" customFormat="1" ht="15">
      <c r="A33" s="996"/>
      <c r="B33" s="940" t="s">
        <v>1385</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21"/>
      <c r="Q33" s="1308" t="str">
        <f t="shared" si="11"/>
        <v>项目建筑规模</v>
      </c>
      <c r="R33" s="1120" t="s">
        <v>1358</v>
      </c>
      <c r="S33" s="1121" t="e">
        <f t="shared" si="12"/>
        <v>#N/A</v>
      </c>
      <c r="T33" s="1120" t="s">
        <v>1358</v>
      </c>
      <c r="U33" s="1121" t="e">
        <f t="shared" si="13"/>
        <v>#N/A</v>
      </c>
      <c r="V33" s="1120" t="s">
        <v>1358</v>
      </c>
      <c r="W33" s="1121" t="e">
        <f t="shared" si="14"/>
        <v>#N/A</v>
      </c>
      <c r="X33" s="1122"/>
      <c r="Y33" s="3425"/>
      <c r="Z33" s="1127" t="str">
        <f t="shared" si="18"/>
        <v>项目建筑规模</v>
      </c>
      <c r="AA33" s="1102" t="e">
        <f t="shared" si="15"/>
        <v>#N/A</v>
      </c>
      <c r="AB33" s="1102" t="e">
        <f t="shared" si="16"/>
        <v>#N/A</v>
      </c>
      <c r="AC33" s="1102" t="e">
        <f t="shared" si="17"/>
        <v>#N/A</v>
      </c>
    </row>
    <row r="34" spans="1:29" ht="15">
      <c r="A34" s="991"/>
      <c r="B34" s="940" t="s">
        <v>1386</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21"/>
      <c r="Q34" s="621" t="str">
        <f t="shared" si="11"/>
        <v>建筑结构</v>
      </c>
      <c r="R34" s="1118" t="s">
        <v>1358</v>
      </c>
      <c r="S34" s="1119">
        <f t="shared" si="12"/>
        <v>100</v>
      </c>
      <c r="T34" s="1118" t="s">
        <v>1358</v>
      </c>
      <c r="U34" s="1119">
        <f t="shared" si="13"/>
        <v>100</v>
      </c>
      <c r="V34" s="1118" t="s">
        <v>1358</v>
      </c>
      <c r="W34" s="1119">
        <f t="shared" si="14"/>
        <v>100</v>
      </c>
      <c r="X34" s="1113"/>
      <c r="Y34" s="3425"/>
      <c r="Z34" s="1102" t="str">
        <f t="shared" si="18"/>
        <v>建筑结构</v>
      </c>
      <c r="AA34" s="1102">
        <f t="shared" si="15"/>
        <v>1</v>
      </c>
      <c r="AB34" s="1102">
        <f t="shared" si="16"/>
        <v>1</v>
      </c>
      <c r="AC34" s="1102">
        <f t="shared" si="17"/>
        <v>1</v>
      </c>
    </row>
    <row r="35" spans="1:29" ht="15">
      <c r="A35" s="991"/>
      <c r="B35" s="940" t="s">
        <v>1581</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21"/>
      <c r="Q35" s="621" t="str">
        <f t="shared" si="11"/>
        <v>建筑品质</v>
      </c>
      <c r="R35" s="1118" t="s">
        <v>1358</v>
      </c>
      <c r="S35" s="1119">
        <f t="shared" si="12"/>
        <v>100</v>
      </c>
      <c r="T35" s="1118" t="s">
        <v>1358</v>
      </c>
      <c r="U35" s="1119">
        <f t="shared" si="13"/>
        <v>100</v>
      </c>
      <c r="V35" s="1118" t="s">
        <v>1358</v>
      </c>
      <c r="W35" s="1119">
        <f t="shared" si="14"/>
        <v>100</v>
      </c>
      <c r="X35" s="1113"/>
      <c r="Y35" s="3425"/>
      <c r="Z35" s="1102" t="str">
        <f t="shared" si="18"/>
        <v>建筑品质</v>
      </c>
      <c r="AA35" s="1102">
        <f t="shared" si="15"/>
        <v>1</v>
      </c>
      <c r="AB35" s="1102">
        <f t="shared" si="16"/>
        <v>1</v>
      </c>
      <c r="AC35" s="1102">
        <f t="shared" si="17"/>
        <v>1</v>
      </c>
    </row>
    <row r="36" spans="1:29" ht="15">
      <c r="A36" s="991"/>
      <c r="B36" s="940" t="s">
        <v>1387</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21"/>
      <c r="Q36" s="621" t="str">
        <f t="shared" si="11"/>
        <v>公共部分装修</v>
      </c>
      <c r="R36" s="1118" t="s">
        <v>1358</v>
      </c>
      <c r="S36" s="1119">
        <f t="shared" si="12"/>
        <v>100</v>
      </c>
      <c r="T36" s="1118" t="s">
        <v>1358</v>
      </c>
      <c r="U36" s="1119">
        <f t="shared" si="13"/>
        <v>100</v>
      </c>
      <c r="V36" s="1118" t="s">
        <v>1358</v>
      </c>
      <c r="W36" s="1119">
        <f t="shared" si="14"/>
        <v>100</v>
      </c>
      <c r="X36" s="1113"/>
      <c r="Y36" s="3425"/>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21"/>
      <c r="Q37" s="790" t="str">
        <f t="shared" si="11"/>
        <v>成新度</v>
      </c>
      <c r="R37" s="1114" t="s">
        <v>1358</v>
      </c>
      <c r="S37" s="1115" t="e">
        <f t="shared" si="12"/>
        <v>#N/A</v>
      </c>
      <c r="T37" s="1114" t="s">
        <v>1358</v>
      </c>
      <c r="U37" s="1115" t="e">
        <f t="shared" si="13"/>
        <v>#N/A</v>
      </c>
      <c r="V37" s="1114" t="s">
        <v>1358</v>
      </c>
      <c r="W37" s="1115" t="e">
        <f t="shared" si="14"/>
        <v>#N/A</v>
      </c>
      <c r="X37" s="1116"/>
      <c r="Y37" s="3425"/>
      <c r="Z37" s="1126" t="str">
        <f t="shared" si="18"/>
        <v>成新度</v>
      </c>
      <c r="AA37" s="1126" t="e">
        <f t="shared" si="15"/>
        <v>#N/A</v>
      </c>
      <c r="AB37" s="1126" t="e">
        <f t="shared" si="16"/>
        <v>#N/A</v>
      </c>
      <c r="AC37" s="1126" t="e">
        <f t="shared" si="17"/>
        <v>#N/A</v>
      </c>
    </row>
    <row r="38" spans="1:29" ht="15">
      <c r="A38" s="991"/>
      <c r="B38" s="940" t="s">
        <v>1391</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21" t="s">
        <v>1384</v>
      </c>
      <c r="Q38" s="621" t="str">
        <f t="shared" si="11"/>
        <v>物业管理</v>
      </c>
      <c r="R38" s="1118" t="s">
        <v>1358</v>
      </c>
      <c r="S38" s="1119">
        <f t="shared" si="12"/>
        <v>100</v>
      </c>
      <c r="T38" s="1118" t="s">
        <v>1358</v>
      </c>
      <c r="U38" s="1119">
        <f t="shared" si="13"/>
        <v>100</v>
      </c>
      <c r="V38" s="1118" t="s">
        <v>1358</v>
      </c>
      <c r="W38" s="1119">
        <f t="shared" si="14"/>
        <v>100</v>
      </c>
      <c r="X38" s="1113"/>
      <c r="Y38" s="3425" t="s">
        <v>1384</v>
      </c>
      <c r="Z38" s="1102" t="str">
        <f t="shared" si="18"/>
        <v>物业管理</v>
      </c>
      <c r="AA38" s="1102">
        <f t="shared" si="15"/>
        <v>1</v>
      </c>
      <c r="AB38" s="1102">
        <f t="shared" si="16"/>
        <v>1</v>
      </c>
      <c r="AC38" s="1102">
        <f t="shared" si="17"/>
        <v>1</v>
      </c>
    </row>
    <row r="39" spans="1:29" ht="15">
      <c r="A39" s="991"/>
      <c r="B39" s="940" t="s">
        <v>1393</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21"/>
      <c r="Q39" s="621" t="str">
        <f t="shared" si="11"/>
        <v>市政基础设施</v>
      </c>
      <c r="R39" s="1118" t="s">
        <v>1358</v>
      </c>
      <c r="S39" s="1119">
        <f t="shared" si="12"/>
        <v>100</v>
      </c>
      <c r="T39" s="1118" t="s">
        <v>1358</v>
      </c>
      <c r="U39" s="1119">
        <f t="shared" si="13"/>
        <v>100</v>
      </c>
      <c r="V39" s="1118" t="s">
        <v>1358</v>
      </c>
      <c r="W39" s="1119">
        <f t="shared" si="14"/>
        <v>100</v>
      </c>
      <c r="X39" s="1113"/>
      <c r="Y39" s="3425"/>
      <c r="Z39" s="1102" t="str">
        <f t="shared" si="18"/>
        <v>市政基础设施</v>
      </c>
      <c r="AA39" s="1102">
        <f t="shared" si="15"/>
        <v>1</v>
      </c>
      <c r="AB39" s="1102">
        <f t="shared" si="16"/>
        <v>1</v>
      </c>
      <c r="AC39" s="1102">
        <f t="shared" si="17"/>
        <v>1</v>
      </c>
    </row>
    <row r="40" spans="1:29" ht="15">
      <c r="A40" s="991"/>
      <c r="B40" s="940" t="s">
        <v>1582</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21"/>
      <c r="Q40" s="621" t="str">
        <f t="shared" si="11"/>
        <v>房型</v>
      </c>
      <c r="R40" s="1118" t="s">
        <v>1358</v>
      </c>
      <c r="S40" s="1119">
        <f t="shared" si="12"/>
        <v>100</v>
      </c>
      <c r="T40" s="1118" t="s">
        <v>1358</v>
      </c>
      <c r="U40" s="1119">
        <f t="shared" si="13"/>
        <v>100</v>
      </c>
      <c r="V40" s="1118" t="s">
        <v>1358</v>
      </c>
      <c r="W40" s="1119">
        <f t="shared" si="14"/>
        <v>100</v>
      </c>
      <c r="X40" s="1113"/>
      <c r="Y40" s="3425"/>
      <c r="Z40" s="1102" t="str">
        <f t="shared" si="18"/>
        <v>房型</v>
      </c>
      <c r="AA40" s="1102">
        <f t="shared" si="15"/>
        <v>1</v>
      </c>
      <c r="AB40" s="1102">
        <f t="shared" si="16"/>
        <v>1</v>
      </c>
      <c r="AC40" s="1102">
        <f t="shared" si="17"/>
        <v>1</v>
      </c>
    </row>
    <row r="41" spans="1:29" s="901" customFormat="1" ht="28.8">
      <c r="A41" s="996"/>
      <c r="B41" s="940" t="s">
        <v>1583</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21"/>
      <c r="Q41" s="1308" t="str">
        <f t="shared" si="11"/>
        <v>单套/主力户型建筑面积</v>
      </c>
      <c r="R41" s="1120" t="s">
        <v>1358</v>
      </c>
      <c r="S41" s="1121">
        <f t="shared" si="12"/>
        <v>100</v>
      </c>
      <c r="T41" s="1120" t="s">
        <v>1358</v>
      </c>
      <c r="U41" s="1121">
        <f t="shared" si="13"/>
        <v>100</v>
      </c>
      <c r="V41" s="1120" t="s">
        <v>1358</v>
      </c>
      <c r="W41" s="1121">
        <f t="shared" si="14"/>
        <v>100</v>
      </c>
      <c r="X41" s="1122"/>
      <c r="Y41" s="3425"/>
      <c r="Z41" s="1127" t="str">
        <f t="shared" si="18"/>
        <v>单套/主力户型建筑面积</v>
      </c>
      <c r="AA41" s="1102">
        <f t="shared" si="15"/>
        <v>1</v>
      </c>
      <c r="AB41" s="1102">
        <f t="shared" si="16"/>
        <v>1</v>
      </c>
      <c r="AC41" s="1102">
        <f t="shared" si="17"/>
        <v>1</v>
      </c>
    </row>
    <row r="42" spans="1:29" ht="15">
      <c r="A42" s="991"/>
      <c r="B42" s="940" t="s">
        <v>1397</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21"/>
      <c r="Q42" s="621" t="str">
        <f t="shared" si="11"/>
        <v>内部装修</v>
      </c>
      <c r="R42" s="1118" t="s">
        <v>1358</v>
      </c>
      <c r="S42" s="1119">
        <f t="shared" si="12"/>
        <v>100</v>
      </c>
      <c r="T42" s="1118" t="s">
        <v>1358</v>
      </c>
      <c r="U42" s="1119">
        <f t="shared" si="13"/>
        <v>100</v>
      </c>
      <c r="V42" s="1118" t="s">
        <v>1358</v>
      </c>
      <c r="W42" s="1119">
        <f t="shared" si="14"/>
        <v>100</v>
      </c>
      <c r="X42" s="1113"/>
      <c r="Y42" s="3425"/>
      <c r="Z42" s="1102" t="str">
        <f t="shared" si="18"/>
        <v>内部装修</v>
      </c>
      <c r="AA42" s="1102">
        <f t="shared" si="15"/>
        <v>1</v>
      </c>
      <c r="AB42" s="1102">
        <f t="shared" si="16"/>
        <v>1</v>
      </c>
      <c r="AC42" s="1102">
        <f t="shared" si="17"/>
        <v>1</v>
      </c>
    </row>
    <row r="43" spans="1:29" ht="28.8">
      <c r="A43" s="991"/>
      <c r="B43" s="940" t="s">
        <v>1399</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21"/>
      <c r="Q43" s="621" t="str">
        <f t="shared" si="11"/>
        <v>内部装修维护情况</v>
      </c>
      <c r="R43" s="1118" t="s">
        <v>1358</v>
      </c>
      <c r="S43" s="1119">
        <f t="shared" si="12"/>
        <v>100</v>
      </c>
      <c r="T43" s="1118" t="s">
        <v>1358</v>
      </c>
      <c r="U43" s="1119">
        <f t="shared" si="13"/>
        <v>100</v>
      </c>
      <c r="V43" s="1118" t="s">
        <v>1358</v>
      </c>
      <c r="W43" s="1119">
        <f t="shared" si="14"/>
        <v>100</v>
      </c>
      <c r="X43" s="1113"/>
      <c r="Y43" s="3425"/>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21"/>
      <c r="Q44" s="790">
        <f t="shared" si="11"/>
        <v>111</v>
      </c>
      <c r="R44" s="1114" t="s">
        <v>1358</v>
      </c>
      <c r="S44" s="1115">
        <f t="shared" si="12"/>
        <v>100</v>
      </c>
      <c r="T44" s="1114" t="s">
        <v>1358</v>
      </c>
      <c r="U44" s="1115">
        <f t="shared" si="13"/>
        <v>100</v>
      </c>
      <c r="V44" s="1114" t="s">
        <v>1358</v>
      </c>
      <c r="W44" s="1115">
        <f t="shared" si="14"/>
        <v>100</v>
      </c>
      <c r="X44" s="1116"/>
      <c r="Y44" s="3425"/>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21"/>
      <c r="Q45" s="621">
        <f t="shared" si="11"/>
        <v>111</v>
      </c>
      <c r="R45" s="1118" t="s">
        <v>1358</v>
      </c>
      <c r="S45" s="1119">
        <f t="shared" si="12"/>
        <v>100</v>
      </c>
      <c r="T45" s="1118" t="s">
        <v>1358</v>
      </c>
      <c r="U45" s="1119">
        <f t="shared" si="13"/>
        <v>100</v>
      </c>
      <c r="V45" s="1118" t="s">
        <v>1358</v>
      </c>
      <c r="W45" s="1119">
        <f t="shared" si="14"/>
        <v>100</v>
      </c>
      <c r="X45" s="1113"/>
      <c r="Y45" s="3425"/>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22"/>
      <c r="Q46" s="621">
        <f t="shared" si="11"/>
        <v>111</v>
      </c>
      <c r="R46" s="1118" t="s">
        <v>1358</v>
      </c>
      <c r="S46" s="1119">
        <f t="shared" si="12"/>
        <v>100</v>
      </c>
      <c r="T46" s="1118" t="s">
        <v>1358</v>
      </c>
      <c r="U46" s="1119">
        <f t="shared" si="13"/>
        <v>100</v>
      </c>
      <c r="V46" s="1118" t="s">
        <v>1358</v>
      </c>
      <c r="W46" s="1119">
        <f t="shared" si="14"/>
        <v>100</v>
      </c>
      <c r="X46" s="1113"/>
      <c r="Y46" s="3426"/>
      <c r="Z46" s="1102">
        <f t="shared" si="18"/>
        <v>111</v>
      </c>
      <c r="AA46" s="1102">
        <f t="shared" si="15"/>
        <v>1</v>
      </c>
      <c r="AB46" s="1102">
        <f t="shared" si="16"/>
        <v>1</v>
      </c>
      <c r="AC46" s="1102">
        <f t="shared" si="17"/>
        <v>1</v>
      </c>
    </row>
    <row r="47" spans="1:29" ht="14.4">
      <c r="A47" s="998" t="s">
        <v>1400</v>
      </c>
      <c r="B47" s="1291"/>
      <c r="C47" s="1292" t="s">
        <v>124</v>
      </c>
      <c r="D47" s="1001"/>
      <c r="E47" s="1002"/>
      <c r="F47" s="1003"/>
      <c r="G47" s="1004"/>
      <c r="H47" s="1005"/>
      <c r="I47" s="1002"/>
      <c r="J47" s="1005"/>
      <c r="K47" s="1577"/>
      <c r="L47" s="1094"/>
      <c r="M47" s="1015"/>
      <c r="N47" s="1015"/>
      <c r="O47" s="1015"/>
      <c r="P47" s="3411" t="str">
        <f>A47</f>
        <v>成交单价（元/平方米）</v>
      </c>
      <c r="Q47" s="3411"/>
      <c r="R47" s="3409">
        <f>E47</f>
        <v>0</v>
      </c>
      <c r="S47" s="3409"/>
      <c r="T47" s="3409">
        <f>G47</f>
        <v>0</v>
      </c>
      <c r="U47" s="3409"/>
      <c r="V47" s="3409">
        <f>I47</f>
        <v>0</v>
      </c>
      <c r="W47" s="3409"/>
      <c r="X47" s="1055"/>
      <c r="Y47" s="1128"/>
      <c r="Z47" s="1055"/>
      <c r="AA47" s="1055"/>
      <c r="AB47" s="1055"/>
      <c r="AC47" s="1055"/>
    </row>
    <row r="48" spans="1:29" ht="14.4">
      <c r="A48" s="1006" t="s">
        <v>1401</v>
      </c>
      <c r="B48" s="1293"/>
      <c r="C48" s="1294" t="e">
        <f>R49</f>
        <v>#DIV/0!</v>
      </c>
      <c r="D48" s="1009" t="s">
        <v>1402</v>
      </c>
      <c r="E48" s="1295" t="e">
        <f>R48</f>
        <v>#DIV/0!</v>
      </c>
      <c r="F48" s="1010"/>
      <c r="G48" s="1294" t="e">
        <f>T48</f>
        <v>#DIV/0!</v>
      </c>
      <c r="H48" s="1010"/>
      <c r="I48" s="1295" t="e">
        <f>V48</f>
        <v>#DIV/0!</v>
      </c>
      <c r="J48" s="1010"/>
      <c r="K48" s="1578">
        <f>F48+H48+J48</f>
        <v>0</v>
      </c>
      <c r="L48" s="1094"/>
      <c r="M48" s="1015"/>
      <c r="N48" s="1015"/>
      <c r="O48" s="1015"/>
      <c r="P48" s="3411" t="str">
        <f>A48</f>
        <v>比较价值（元/平方米）</v>
      </c>
      <c r="Q48" s="3411"/>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1055"/>
      <c r="Y48" s="1055"/>
      <c r="Z48" s="1055"/>
      <c r="AA48" s="1055"/>
      <c r="AB48" s="1055"/>
      <c r="AC48" s="1055"/>
    </row>
    <row r="49" spans="1:29" ht="14.4">
      <c r="A49" s="1012" t="s">
        <v>1403</v>
      </c>
      <c r="B49" s="1013"/>
      <c r="C49" s="1561" t="e">
        <f>R49</f>
        <v>#DIV/0!</v>
      </c>
      <c r="D49" s="925"/>
      <c r="E49" s="925"/>
      <c r="F49" s="925"/>
      <c r="G49" s="925"/>
      <c r="H49" s="925"/>
      <c r="I49" s="925"/>
      <c r="J49" s="925"/>
      <c r="K49" s="1579"/>
      <c r="L49" s="1094"/>
      <c r="M49" s="1015"/>
      <c r="N49" s="1015"/>
      <c r="O49" s="1015"/>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1404</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1405</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1406</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6">
      <c r="A57" s="1054" t="s">
        <v>1407</v>
      </c>
      <c r="B57" s="1055"/>
      <c r="C57" s="1056"/>
      <c r="D57" s="1056"/>
      <c r="E57" s="1056"/>
      <c r="F57" s="1057"/>
      <c r="G57" s="1057"/>
      <c r="H57" s="1056"/>
      <c r="I57" s="1056"/>
      <c r="J57" s="1056"/>
      <c r="K57" s="1255"/>
      <c r="L57" s="1256"/>
      <c r="M57" s="1110"/>
      <c r="N57" s="1110"/>
      <c r="O57" s="1110"/>
      <c r="P57" s="1581"/>
      <c r="Q57" s="1396"/>
    </row>
    <row r="58" spans="1:29" s="904" customFormat="1" ht="14.4">
      <c r="A58" s="1297" t="s">
        <v>1356</v>
      </c>
      <c r="B58" s="1298"/>
      <c r="C58" s="1562" t="str">
        <f>YEAR(C7)&amp;"-"&amp;MONTH(C7)</f>
        <v>2025-7</v>
      </c>
      <c r="D58" s="1300">
        <f>EDATE(C58,-1)</f>
        <v>45809</v>
      </c>
      <c r="E58" s="1300">
        <f>EDATE(D58,-1)</f>
        <v>45778</v>
      </c>
      <c r="F58" s="1300">
        <f t="shared" ref="F58:O58" si="19">EDATE(E58,-1)</f>
        <v>45748</v>
      </c>
      <c r="G58" s="1300">
        <f t="shared" si="19"/>
        <v>45717</v>
      </c>
      <c r="H58" s="1300">
        <f t="shared" si="19"/>
        <v>45689</v>
      </c>
      <c r="I58" s="1300">
        <f t="shared" si="19"/>
        <v>45658</v>
      </c>
      <c r="J58" s="1300">
        <f t="shared" si="19"/>
        <v>45627</v>
      </c>
      <c r="K58" s="1300">
        <f t="shared" si="19"/>
        <v>45597</v>
      </c>
      <c r="L58" s="1300">
        <f t="shared" si="19"/>
        <v>45566</v>
      </c>
      <c r="M58" s="1300">
        <f t="shared" si="19"/>
        <v>45536</v>
      </c>
      <c r="N58" s="1300">
        <f t="shared" si="19"/>
        <v>45505</v>
      </c>
      <c r="O58" s="1300">
        <f t="shared" si="19"/>
        <v>45474</v>
      </c>
      <c r="P58" s="1582"/>
    </row>
    <row r="59" spans="1:29" s="899" customFormat="1">
      <c r="A59" s="972"/>
      <c r="B59" s="1563"/>
      <c r="C59" s="1301">
        <v>100</v>
      </c>
      <c r="D59" s="1534"/>
      <c r="E59" s="1144"/>
      <c r="F59" s="1144"/>
      <c r="G59" s="1144"/>
      <c r="H59" s="1144"/>
      <c r="I59" s="1144"/>
      <c r="J59" s="1144"/>
      <c r="K59" s="1144"/>
      <c r="L59" s="1144"/>
      <c r="M59" s="947"/>
      <c r="N59" s="1144"/>
      <c r="O59" s="947"/>
      <c r="P59" s="1583"/>
    </row>
    <row r="60" spans="1:29" s="899" customFormat="1" ht="14.4">
      <c r="A60" s="1135" t="s">
        <v>1408</v>
      </c>
      <c r="B60" s="1136"/>
      <c r="C60" s="1137"/>
      <c r="D60" s="1138"/>
      <c r="E60" s="1138"/>
      <c r="F60" s="1138"/>
      <c r="G60" s="1138"/>
      <c r="H60" s="1138"/>
      <c r="I60" s="1138"/>
      <c r="J60" s="1138"/>
      <c r="K60" s="1138"/>
      <c r="L60" s="1138"/>
      <c r="M60" s="1178"/>
      <c r="N60" s="1138"/>
      <c r="O60" s="1178"/>
      <c r="P60" s="1583"/>
      <c r="Q60" s="1396"/>
    </row>
    <row r="61" spans="1:29" s="899" customFormat="1" ht="14.4">
      <c r="A61" s="1139" t="s">
        <v>1359</v>
      </c>
      <c r="B61" s="1140"/>
      <c r="C61" s="1141" t="s">
        <v>1409</v>
      </c>
      <c r="D61" s="1142"/>
      <c r="E61" s="1142"/>
      <c r="F61" s="1142"/>
      <c r="G61" s="1142"/>
      <c r="H61" s="1142"/>
      <c r="I61" s="1142"/>
      <c r="J61" s="1142"/>
      <c r="K61" s="1142"/>
      <c r="L61" s="1180"/>
      <c r="M61" s="1181"/>
      <c r="N61" s="1399"/>
      <c r="O61" s="1399"/>
      <c r="P61" s="1584"/>
      <c r="Q61" s="1396"/>
    </row>
    <row r="62" spans="1:29" s="899" customFormat="1">
      <c r="A62" s="1139"/>
      <c r="B62" s="1140"/>
      <c r="C62" s="1534">
        <v>100</v>
      </c>
      <c r="D62" s="1144"/>
      <c r="E62" s="1144"/>
      <c r="F62" s="1144"/>
      <c r="G62" s="1144"/>
      <c r="H62" s="1144"/>
      <c r="I62" s="1144"/>
      <c r="J62" s="1144"/>
      <c r="K62" s="1144"/>
      <c r="L62" s="1144"/>
      <c r="M62" s="1183"/>
      <c r="N62" s="1399"/>
      <c r="O62" s="1399"/>
      <c r="P62" s="1583"/>
      <c r="Q62" s="1396"/>
    </row>
    <row r="63" spans="1:29" ht="14.4">
      <c r="A63" s="956" t="s">
        <v>1410</v>
      </c>
      <c r="B63" s="1145" t="s">
        <v>1363</v>
      </c>
      <c r="C63" s="617">
        <f>C9</f>
        <v>0</v>
      </c>
      <c r="D63" s="1091"/>
      <c r="E63" s="1091"/>
      <c r="F63" s="1091"/>
      <c r="G63" s="1091"/>
      <c r="H63" s="1091"/>
      <c r="I63" s="1091"/>
      <c r="J63" s="1091"/>
      <c r="K63" s="1184"/>
      <c r="L63" s="1185"/>
      <c r="M63" s="1186"/>
      <c r="N63" s="1401"/>
      <c r="O63" s="1401"/>
      <c r="P63" s="1585"/>
      <c r="Q63" s="1396"/>
    </row>
    <row r="64" spans="1:29">
      <c r="A64" s="943"/>
      <c r="B64" s="1146"/>
      <c r="C64" s="1147">
        <v>100</v>
      </c>
      <c r="D64" s="1147"/>
      <c r="E64" s="1147"/>
      <c r="F64" s="1147"/>
      <c r="G64" s="1147"/>
      <c r="H64" s="1147"/>
      <c r="I64" s="1147"/>
      <c r="J64" s="1147"/>
      <c r="K64" s="1147"/>
      <c r="L64" s="1147"/>
      <c r="M64" s="1188"/>
      <c r="N64" s="1403"/>
      <c r="O64" s="1403"/>
      <c r="P64" s="1585"/>
      <c r="Q64" s="1396"/>
    </row>
    <row r="65" spans="1:17" ht="28.8">
      <c r="A65" s="943"/>
      <c r="B65" s="1148" t="s">
        <v>1366</v>
      </c>
      <c r="C65" s="1170"/>
      <c r="D65" s="1170"/>
      <c r="E65" s="1170"/>
      <c r="F65" s="1170"/>
      <c r="G65" s="1170"/>
      <c r="H65" s="1170"/>
      <c r="I65" s="1170"/>
      <c r="J65" s="1170"/>
      <c r="K65" s="1170"/>
      <c r="L65" s="1170"/>
      <c r="M65" s="1170"/>
      <c r="N65" s="1403"/>
      <c r="O65" s="1403"/>
      <c r="P65" s="1585"/>
      <c r="Q65" s="1396"/>
    </row>
    <row r="66" spans="1:17">
      <c r="A66" s="943"/>
      <c r="B66" s="1150"/>
      <c r="C66" s="1147"/>
      <c r="D66" s="1147"/>
      <c r="E66" s="1147"/>
      <c r="F66" s="1147"/>
      <c r="G66" s="1147"/>
      <c r="H66" s="1147"/>
      <c r="I66" s="1147"/>
      <c r="J66" s="1147"/>
      <c r="K66" s="1147"/>
      <c r="L66" s="1147"/>
      <c r="M66" s="1188"/>
      <c r="N66" s="1403"/>
      <c r="O66" s="1403"/>
      <c r="P66" s="1585"/>
      <c r="Q66" s="1396"/>
    </row>
    <row r="67" spans="1:17" ht="14.4">
      <c r="A67" s="943"/>
      <c r="B67" s="1152" t="s">
        <v>1367</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c r="A68" s="943"/>
      <c r="B68" s="1154"/>
      <c r="C68" s="949"/>
      <c r="D68" s="949"/>
      <c r="E68" s="949"/>
      <c r="F68" s="949"/>
      <c r="G68" s="949"/>
      <c r="H68" s="949"/>
      <c r="I68" s="949"/>
      <c r="J68" s="949"/>
      <c r="K68" s="1194"/>
      <c r="L68" s="1195"/>
      <c r="M68" s="1196"/>
      <c r="N68" s="1401"/>
      <c r="O68" s="1401"/>
      <c r="P68" s="1585"/>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c r="A70" s="1155"/>
      <c r="B70" s="1148">
        <f>B12</f>
        <v>111</v>
      </c>
      <c r="C70" s="1156"/>
      <c r="D70" s="1156"/>
      <c r="E70" s="1156"/>
      <c r="F70" s="1156"/>
      <c r="G70" s="1156"/>
      <c r="H70" s="1157"/>
      <c r="I70" s="1157"/>
      <c r="J70" s="1157"/>
      <c r="K70" s="1157"/>
      <c r="L70" s="1197"/>
      <c r="M70" s="1198"/>
      <c r="N70" s="1404"/>
      <c r="O70" s="1404"/>
      <c r="P70" s="1587"/>
      <c r="Q70" s="1406"/>
    </row>
    <row r="71" spans="1:17" s="901" customFormat="1">
      <c r="A71" s="1155"/>
      <c r="B71" s="1150"/>
      <c r="C71" s="1158"/>
      <c r="D71" s="1147"/>
      <c r="E71" s="1147"/>
      <c r="F71" s="1147"/>
      <c r="G71" s="1147"/>
      <c r="H71" s="1147"/>
      <c r="I71" s="1147"/>
      <c r="J71" s="1147"/>
      <c r="K71" s="1147"/>
      <c r="L71" s="1147"/>
      <c r="M71" s="1188"/>
      <c r="N71" s="1403"/>
      <c r="O71" s="1403"/>
      <c r="P71" s="1587"/>
      <c r="Q71" s="1406"/>
    </row>
    <row r="72" spans="1:17" s="901" customFormat="1">
      <c r="A72" s="1155"/>
      <c r="B72" s="1148">
        <f>B13</f>
        <v>111</v>
      </c>
      <c r="C72" s="1156"/>
      <c r="D72" s="1156"/>
      <c r="E72" s="1156"/>
      <c r="F72" s="1156"/>
      <c r="G72" s="1156"/>
      <c r="H72" s="1157"/>
      <c r="I72" s="1157"/>
      <c r="J72" s="1157"/>
      <c r="K72" s="1157"/>
      <c r="L72" s="1197"/>
      <c r="M72" s="1198"/>
      <c r="N72" s="1404"/>
      <c r="O72" s="1404"/>
      <c r="P72" s="1588"/>
      <c r="Q72" s="1409"/>
    </row>
    <row r="73" spans="1:17" s="901" customFormat="1">
      <c r="A73" s="1155"/>
      <c r="B73" s="1150"/>
      <c r="C73" s="1158"/>
      <c r="D73" s="1158"/>
      <c r="E73" s="1158"/>
      <c r="F73" s="1158"/>
      <c r="G73" s="1158"/>
      <c r="H73" s="1159"/>
      <c r="I73" s="1159"/>
      <c r="J73" s="1159"/>
      <c r="K73" s="1159"/>
      <c r="L73" s="1159"/>
      <c r="M73" s="1200"/>
      <c r="N73" s="1404"/>
      <c r="O73" s="1404"/>
      <c r="P73" s="1587"/>
      <c r="Q73" s="1406"/>
    </row>
    <row r="74" spans="1:17" s="901" customFormat="1">
      <c r="A74" s="1155"/>
      <c r="B74" s="1152">
        <f>B14</f>
        <v>111</v>
      </c>
      <c r="C74" s="1156"/>
      <c r="D74" s="1156"/>
      <c r="E74" s="1156"/>
      <c r="F74" s="1156"/>
      <c r="G74" s="1142"/>
      <c r="H74" s="1160"/>
      <c r="I74" s="1160"/>
      <c r="J74" s="1160"/>
      <c r="K74" s="1160"/>
      <c r="L74" s="1201"/>
      <c r="M74" s="1202"/>
      <c r="N74" s="1404"/>
      <c r="O74" s="1404"/>
      <c r="P74" s="1589"/>
      <c r="Q74" s="1406"/>
    </row>
    <row r="75" spans="1:17" s="901" customFormat="1">
      <c r="A75" s="1161"/>
      <c r="B75" s="1162"/>
      <c r="C75" s="1163"/>
      <c r="D75" s="1163"/>
      <c r="E75" s="1163"/>
      <c r="F75" s="1163"/>
      <c r="G75" s="1163"/>
      <c r="H75" s="1164"/>
      <c r="I75" s="1164"/>
      <c r="J75" s="1164"/>
      <c r="K75" s="1164"/>
      <c r="L75" s="1164"/>
      <c r="M75" s="1204"/>
      <c r="N75" s="1404"/>
      <c r="O75" s="1404"/>
      <c r="P75" s="1587"/>
      <c r="Q75" s="1406"/>
    </row>
    <row r="76" spans="1:17" ht="14.4">
      <c r="A76" s="956" t="s">
        <v>1368</v>
      </c>
      <c r="B76" s="1145" t="s">
        <v>1578</v>
      </c>
      <c r="C76" s="1165" t="s">
        <v>1416</v>
      </c>
      <c r="D76" s="1165" t="s">
        <v>1417</v>
      </c>
      <c r="E76" s="1165" t="s">
        <v>1418</v>
      </c>
      <c r="F76" s="1165" t="s">
        <v>1419</v>
      </c>
      <c r="G76" s="1165" t="s">
        <v>1420</v>
      </c>
      <c r="H76" s="617"/>
      <c r="I76" s="617"/>
      <c r="J76" s="617"/>
      <c r="K76" s="1205"/>
      <c r="L76" s="1206"/>
      <c r="M76" s="1207"/>
      <c r="N76" s="1401"/>
      <c r="O76" s="1401"/>
      <c r="P76" s="1590"/>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4.4">
      <c r="A78" s="943"/>
      <c r="B78" s="1148" t="s">
        <v>1372</v>
      </c>
      <c r="C78" s="1166" t="s">
        <v>1416</v>
      </c>
      <c r="D78" s="1166" t="s">
        <v>1417</v>
      </c>
      <c r="E78" s="1166" t="s">
        <v>1418</v>
      </c>
      <c r="F78" s="1166" t="s">
        <v>1419</v>
      </c>
      <c r="G78" s="1166" t="s">
        <v>1420</v>
      </c>
      <c r="H78" s="1149"/>
      <c r="I78" s="1149"/>
      <c r="J78" s="1149"/>
      <c r="K78" s="1190"/>
      <c r="L78" s="1191"/>
      <c r="M78" s="1192"/>
      <c r="N78" s="1401"/>
      <c r="O78" s="1401"/>
      <c r="P78" s="1585"/>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4.4">
      <c r="A80" s="943"/>
      <c r="B80" s="1148" t="s">
        <v>1373</v>
      </c>
      <c r="C80" s="1166" t="s">
        <v>1416</v>
      </c>
      <c r="D80" s="1166" t="s">
        <v>1417</v>
      </c>
      <c r="E80" s="1166" t="s">
        <v>1418</v>
      </c>
      <c r="F80" s="1166" t="s">
        <v>1419</v>
      </c>
      <c r="G80" s="1166" t="s">
        <v>1420</v>
      </c>
      <c r="H80" s="1149"/>
      <c r="I80" s="1149"/>
      <c r="J80" s="1149"/>
      <c r="K80" s="1190"/>
      <c r="L80" s="1191"/>
      <c r="M80" s="1192"/>
      <c r="N80" s="1401"/>
      <c r="O80" s="1401"/>
      <c r="P80" s="1585"/>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4.4">
      <c r="A82" s="943"/>
      <c r="B82" s="1152" t="s">
        <v>1375</v>
      </c>
      <c r="C82" s="1149" t="s">
        <v>1421</v>
      </c>
      <c r="D82" s="1149" t="s">
        <v>1422</v>
      </c>
      <c r="E82" s="1149" t="s">
        <v>1423</v>
      </c>
      <c r="F82" s="1149" t="s">
        <v>1424</v>
      </c>
      <c r="G82" s="1149" t="s">
        <v>1425</v>
      </c>
      <c r="H82" s="1149"/>
      <c r="I82" s="1149"/>
      <c r="J82" s="1149"/>
      <c r="K82" s="1149"/>
      <c r="L82" s="1149"/>
      <c r="M82" s="1312"/>
      <c r="N82" s="1403"/>
      <c r="O82" s="1403"/>
      <c r="P82" s="1585"/>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4.4">
      <c r="A84" s="943"/>
      <c r="B84" s="1148" t="s">
        <v>1579</v>
      </c>
      <c r="C84" s="1166" t="s">
        <v>1416</v>
      </c>
      <c r="D84" s="1166" t="s">
        <v>1417</v>
      </c>
      <c r="E84" s="1166" t="s">
        <v>1418</v>
      </c>
      <c r="F84" s="1166" t="s">
        <v>1419</v>
      </c>
      <c r="G84" s="1166" t="s">
        <v>1420</v>
      </c>
      <c r="H84" s="1149"/>
      <c r="I84" s="1149"/>
      <c r="J84" s="1149"/>
      <c r="K84" s="1190"/>
      <c r="L84" s="1191"/>
      <c r="M84" s="1192"/>
      <c r="N84" s="1401"/>
      <c r="O84" s="1401"/>
      <c r="P84" s="1585"/>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4.4">
      <c r="A86" s="946"/>
      <c r="B86" s="1148" t="s">
        <v>1580</v>
      </c>
      <c r="C86" s="1156"/>
      <c r="D86" s="1156"/>
      <c r="E86" s="1156"/>
      <c r="F86" s="1156"/>
      <c r="G86" s="1156"/>
      <c r="H86" s="1156"/>
      <c r="I86" s="1156"/>
      <c r="J86" s="1156"/>
      <c r="K86" s="1156"/>
      <c r="L86" s="1313"/>
      <c r="M86" s="1314"/>
      <c r="N86" s="1399"/>
      <c r="O86" s="1399"/>
      <c r="P86" s="1585"/>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4.4">
      <c r="A88" s="946"/>
      <c r="B88" s="1148" t="s">
        <v>1380</v>
      </c>
      <c r="C88" s="1156"/>
      <c r="D88" s="1156"/>
      <c r="E88" s="1156"/>
      <c r="F88" s="1546"/>
      <c r="G88" s="1156"/>
      <c r="H88" s="1156"/>
      <c r="I88" s="1156"/>
      <c r="J88" s="1156"/>
      <c r="K88" s="1156"/>
      <c r="L88" s="1156"/>
      <c r="M88" s="1314"/>
      <c r="N88" s="1399"/>
      <c r="O88" s="1399"/>
      <c r="P88" s="1585"/>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c r="A90" s="1155"/>
      <c r="B90" s="1148">
        <f>B27</f>
        <v>111</v>
      </c>
      <c r="C90" s="1156"/>
      <c r="D90" s="1156"/>
      <c r="E90" s="1156"/>
      <c r="F90" s="1156"/>
      <c r="G90" s="1156"/>
      <c r="H90" s="1157"/>
      <c r="I90" s="1157"/>
      <c r="J90" s="1157"/>
      <c r="K90" s="1157"/>
      <c r="L90" s="1197"/>
      <c r="M90" s="1198"/>
      <c r="N90" s="1404"/>
      <c r="O90" s="1404"/>
      <c r="P90" s="1587"/>
      <c r="Q90" s="1406"/>
    </row>
    <row r="91" spans="1:17" s="901" customFormat="1">
      <c r="A91" s="1155"/>
      <c r="B91" s="1150"/>
      <c r="C91" s="1158"/>
      <c r="D91" s="1158"/>
      <c r="E91" s="1158"/>
      <c r="F91" s="1158"/>
      <c r="G91" s="1158"/>
      <c r="H91" s="1159"/>
      <c r="I91" s="1159"/>
      <c r="J91" s="1159"/>
      <c r="K91" s="1159"/>
      <c r="L91" s="1159"/>
      <c r="M91" s="1200"/>
      <c r="N91" s="1404"/>
      <c r="O91" s="1404"/>
      <c r="P91" s="1587"/>
      <c r="Q91" s="1406"/>
    </row>
    <row r="92" spans="1:17">
      <c r="A92" s="943"/>
      <c r="B92" s="1148">
        <f>B28</f>
        <v>111</v>
      </c>
      <c r="C92" s="1156"/>
      <c r="D92" s="1156"/>
      <c r="E92" s="1156"/>
      <c r="F92" s="1156"/>
      <c r="G92" s="1170"/>
      <c r="H92" s="1170"/>
      <c r="I92" s="1170"/>
      <c r="J92" s="1170"/>
      <c r="K92" s="1215"/>
      <c r="L92" s="1216"/>
      <c r="M92" s="1217"/>
      <c r="N92" s="1401"/>
      <c r="O92" s="1401"/>
      <c r="P92" s="1585"/>
      <c r="Q92" s="1396"/>
    </row>
    <row r="93" spans="1:17">
      <c r="A93" s="943"/>
      <c r="B93" s="1150"/>
      <c r="C93" s="1158"/>
      <c r="D93" s="1147"/>
      <c r="E93" s="1147"/>
      <c r="F93" s="1147"/>
      <c r="G93" s="1147"/>
      <c r="H93" s="1147"/>
      <c r="I93" s="1147"/>
      <c r="J93" s="1147"/>
      <c r="K93" s="1147"/>
      <c r="L93" s="1147"/>
      <c r="M93" s="1188"/>
      <c r="N93" s="1403"/>
      <c r="O93" s="1403"/>
      <c r="P93" s="1585"/>
      <c r="Q93" s="1396"/>
    </row>
    <row r="94" spans="1:17">
      <c r="A94" s="943"/>
      <c r="B94" s="1148">
        <f>B29</f>
        <v>111</v>
      </c>
      <c r="C94" s="1156"/>
      <c r="D94" s="1156"/>
      <c r="E94" s="1156"/>
      <c r="F94" s="1156"/>
      <c r="G94" s="1170"/>
      <c r="H94" s="1170"/>
      <c r="I94" s="1170"/>
      <c r="J94" s="1170"/>
      <c r="K94" s="1215"/>
      <c r="L94" s="1216"/>
      <c r="M94" s="1217"/>
      <c r="N94" s="1401"/>
      <c r="O94" s="1401"/>
      <c r="P94" s="1585"/>
      <c r="Q94" s="1396"/>
    </row>
    <row r="95" spans="1:17">
      <c r="A95" s="943"/>
      <c r="B95" s="1150"/>
      <c r="C95" s="1158"/>
      <c r="D95" s="1158"/>
      <c r="E95" s="1158"/>
      <c r="F95" s="1158"/>
      <c r="G95" s="1147"/>
      <c r="H95" s="1147"/>
      <c r="I95" s="1147"/>
      <c r="J95" s="1147"/>
      <c r="K95" s="1147"/>
      <c r="L95" s="1147"/>
      <c r="M95" s="1188"/>
      <c r="N95" s="1403"/>
      <c r="O95" s="1403"/>
      <c r="P95" s="1585"/>
      <c r="Q95" s="1396"/>
    </row>
    <row r="96" spans="1:17">
      <c r="A96" s="943"/>
      <c r="B96" s="1148">
        <f>B30</f>
        <v>111</v>
      </c>
      <c r="C96" s="1156"/>
      <c r="D96" s="1156"/>
      <c r="E96" s="1156"/>
      <c r="F96" s="1156"/>
      <c r="G96" s="1170"/>
      <c r="H96" s="1170"/>
      <c r="I96" s="1170"/>
      <c r="J96" s="1170"/>
      <c r="K96" s="1215"/>
      <c r="L96" s="1216"/>
      <c r="M96" s="1217"/>
      <c r="N96" s="1401"/>
      <c r="O96" s="1401"/>
      <c r="P96" s="1585"/>
      <c r="Q96" s="1396"/>
    </row>
    <row r="97" spans="1:17">
      <c r="A97" s="943"/>
      <c r="B97" s="1150"/>
      <c r="C97" s="1163"/>
      <c r="D97" s="1163"/>
      <c r="E97" s="1163"/>
      <c r="F97" s="1163"/>
      <c r="G97" s="1147"/>
      <c r="H97" s="1147"/>
      <c r="I97" s="1147"/>
      <c r="J97" s="1147"/>
      <c r="K97" s="1147"/>
      <c r="L97" s="1147"/>
      <c r="M97" s="1188"/>
      <c r="N97" s="1403"/>
      <c r="O97" s="1403"/>
      <c r="P97" s="1585"/>
      <c r="Q97" s="1396"/>
    </row>
    <row r="98" spans="1:17">
      <c r="A98" s="943"/>
      <c r="B98" s="1152">
        <f>B31</f>
        <v>111</v>
      </c>
      <c r="C98" s="1171"/>
      <c r="D98" s="1171"/>
      <c r="E98" s="1171"/>
      <c r="F98" s="1171"/>
      <c r="G98" s="1171"/>
      <c r="H98" s="1171"/>
      <c r="I98" s="1171"/>
      <c r="J98" s="1171"/>
      <c r="K98" s="1218"/>
      <c r="L98" s="1219"/>
      <c r="M98" s="1220"/>
      <c r="N98" s="1401"/>
      <c r="O98" s="1401"/>
      <c r="P98" s="1585"/>
      <c r="Q98" s="1396"/>
    </row>
    <row r="99" spans="1:17">
      <c r="A99" s="952"/>
      <c r="B99" s="1162"/>
      <c r="C99" s="1172"/>
      <c r="D99" s="1172"/>
      <c r="E99" s="1172"/>
      <c r="F99" s="1172"/>
      <c r="G99" s="1172"/>
      <c r="H99" s="1172"/>
      <c r="I99" s="1172"/>
      <c r="J99" s="1172"/>
      <c r="K99" s="1172"/>
      <c r="L99" s="1172"/>
      <c r="M99" s="1221"/>
      <c r="N99" s="1403"/>
      <c r="O99" s="1403"/>
      <c r="P99" s="1585"/>
      <c r="Q99" s="1396"/>
    </row>
    <row r="100" spans="1:17" ht="14.4">
      <c r="A100" s="956" t="s">
        <v>1381</v>
      </c>
      <c r="B100" s="1145" t="s">
        <v>1382</v>
      </c>
      <c r="C100" s="1091"/>
      <c r="D100" s="1091"/>
      <c r="E100" s="1091"/>
      <c r="F100" s="1091"/>
      <c r="G100" s="1091"/>
      <c r="H100" s="1091"/>
      <c r="I100" s="1091"/>
      <c r="J100" s="1091"/>
      <c r="K100" s="1184"/>
      <c r="L100" s="1185"/>
      <c r="M100" s="1186"/>
      <c r="N100" s="1401"/>
      <c r="O100" s="1401"/>
      <c r="P100" s="1585"/>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4.4">
      <c r="A102" s="943"/>
      <c r="B102" s="1148" t="s">
        <v>1385</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c r="A104" s="1155"/>
      <c r="B104" s="1150"/>
      <c r="C104" s="1158"/>
      <c r="D104" s="1147"/>
      <c r="E104" s="1147"/>
      <c r="F104" s="1147"/>
      <c r="G104" s="1147"/>
      <c r="H104" s="1147"/>
      <c r="I104" s="1147"/>
      <c r="J104" s="1147"/>
      <c r="K104" s="1147"/>
      <c r="L104" s="1147"/>
      <c r="M104" s="1147"/>
      <c r="N104" s="1403"/>
      <c r="O104" s="1403"/>
      <c r="P104" s="1587"/>
      <c r="Q104" s="1406"/>
    </row>
    <row r="105" spans="1:17" ht="14.4">
      <c r="A105" s="991"/>
      <c r="B105" s="1148" t="s">
        <v>1386</v>
      </c>
      <c r="C105" s="1156"/>
      <c r="D105" s="1156"/>
      <c r="E105" s="1170"/>
      <c r="F105" s="1170"/>
      <c r="G105" s="1170"/>
      <c r="H105" s="1170"/>
      <c r="I105" s="1170"/>
      <c r="J105" s="1170"/>
      <c r="K105" s="1215"/>
      <c r="L105" s="1216"/>
      <c r="M105" s="1217"/>
      <c r="N105" s="1401"/>
      <c r="O105" s="1401"/>
      <c r="P105" s="1585"/>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ht="14.4">
      <c r="A107" s="991"/>
      <c r="B107" s="1148" t="s">
        <v>1581</v>
      </c>
      <c r="C107" s="1170"/>
      <c r="D107" s="1170"/>
      <c r="E107" s="1170"/>
      <c r="F107" s="1170"/>
      <c r="G107" s="1170"/>
      <c r="H107" s="1170"/>
      <c r="I107" s="1170"/>
      <c r="J107" s="1170"/>
      <c r="K107" s="1215"/>
      <c r="L107" s="1216"/>
      <c r="M107" s="1217"/>
      <c r="N107" s="1401"/>
      <c r="O107" s="1401"/>
      <c r="P107" s="1585"/>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ht="14.4">
      <c r="A109" s="991"/>
      <c r="B109" s="1148" t="s">
        <v>1387</v>
      </c>
      <c r="C109" s="1156"/>
      <c r="D109" s="1156"/>
      <c r="E109" s="1156"/>
      <c r="F109" s="1170"/>
      <c r="G109" s="1170"/>
      <c r="H109" s="1170"/>
      <c r="I109" s="1170"/>
      <c r="J109" s="1170"/>
      <c r="K109" s="1215"/>
      <c r="L109" s="1216"/>
      <c r="M109" s="1217"/>
      <c r="N109" s="1401"/>
      <c r="O109" s="1401"/>
      <c r="P109" s="1585"/>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ht="14.4">
      <c r="A114" s="991"/>
      <c r="B114" s="1148" t="s">
        <v>1391</v>
      </c>
      <c r="C114" s="1156"/>
      <c r="D114" s="1156"/>
      <c r="E114" s="1170"/>
      <c r="F114" s="1170"/>
      <c r="G114" s="1170"/>
      <c r="H114" s="1170"/>
      <c r="I114" s="1170"/>
      <c r="J114" s="1170"/>
      <c r="K114" s="1215"/>
      <c r="L114" s="1216"/>
      <c r="M114" s="1217"/>
      <c r="N114" s="1401"/>
      <c r="O114" s="1401"/>
      <c r="P114" s="1585"/>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ht="14.4">
      <c r="A116" s="991"/>
      <c r="B116" s="1148" t="s">
        <v>1393</v>
      </c>
      <c r="C116" s="1156"/>
      <c r="D116" s="1156"/>
      <c r="E116" s="1156"/>
      <c r="F116" s="1156"/>
      <c r="G116" s="1156"/>
      <c r="H116" s="1170"/>
      <c r="I116" s="1170"/>
      <c r="J116" s="1170"/>
      <c r="K116" s="1215"/>
      <c r="L116" s="1216"/>
      <c r="M116" s="1217"/>
      <c r="N116" s="1401"/>
      <c r="O116" s="1401"/>
      <c r="P116" s="1585"/>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ht="14.4">
      <c r="A118" s="991"/>
      <c r="B118" s="1148" t="s">
        <v>1582</v>
      </c>
      <c r="C118" s="1170"/>
      <c r="D118" s="1170"/>
      <c r="E118" s="1170"/>
      <c r="F118" s="1170"/>
      <c r="G118" s="1170"/>
      <c r="H118" s="1170"/>
      <c r="I118" s="1170"/>
      <c r="J118" s="1170"/>
      <c r="K118" s="1215"/>
      <c r="L118" s="1216"/>
      <c r="M118" s="1217"/>
      <c r="N118" s="1401"/>
      <c r="O118" s="1401"/>
      <c r="P118" s="1585"/>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8.8">
      <c r="A120" s="996"/>
      <c r="B120" s="1148" t="s">
        <v>1583</v>
      </c>
      <c r="C120" s="1156"/>
      <c r="D120" s="1156"/>
      <c r="E120" s="1156"/>
      <c r="F120" s="1156"/>
      <c r="G120" s="1156"/>
      <c r="H120" s="1156"/>
      <c r="I120" s="1156"/>
      <c r="J120" s="1156"/>
      <c r="K120" s="1156"/>
      <c r="L120" s="1313"/>
      <c r="M120" s="1314"/>
      <c r="N120" s="1404"/>
      <c r="O120" s="1404"/>
      <c r="P120" s="1587"/>
      <c r="Q120" s="1406"/>
    </row>
    <row r="121" spans="1:17" s="901" customFormat="1">
      <c r="A121" s="1155"/>
      <c r="B121" s="1146"/>
      <c r="C121" s="1158"/>
      <c r="D121" s="1147"/>
      <c r="E121" s="1147"/>
      <c r="F121" s="1147"/>
      <c r="G121" s="1147"/>
      <c r="H121" s="1147"/>
      <c r="I121" s="1147"/>
      <c r="J121" s="1147"/>
      <c r="K121" s="1147"/>
      <c r="L121" s="1147"/>
      <c r="M121" s="1147"/>
      <c r="N121" s="1404"/>
      <c r="O121" s="1404"/>
      <c r="P121" s="1587"/>
      <c r="Q121" s="1406"/>
    </row>
    <row r="122" spans="1:17" ht="14.4">
      <c r="A122" s="991"/>
      <c r="B122" s="1148" t="s">
        <v>1397</v>
      </c>
      <c r="C122" s="1156"/>
      <c r="D122" s="1156"/>
      <c r="E122" s="1156"/>
      <c r="F122" s="1170"/>
      <c r="G122" s="1170"/>
      <c r="H122" s="1170"/>
      <c r="I122" s="1170"/>
      <c r="J122" s="1170"/>
      <c r="K122" s="1215"/>
      <c r="L122" s="1216"/>
      <c r="M122" s="1217"/>
      <c r="N122" s="1401"/>
      <c r="O122" s="1401"/>
      <c r="P122" s="1585"/>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ht="28.8">
      <c r="A124" s="991"/>
      <c r="B124" s="1148" t="s">
        <v>1399</v>
      </c>
      <c r="C124" s="1166" t="s">
        <v>1416</v>
      </c>
      <c r="D124" s="1166" t="s">
        <v>1417</v>
      </c>
      <c r="E124" s="1166" t="s">
        <v>1418</v>
      </c>
      <c r="F124" s="1166" t="s">
        <v>1419</v>
      </c>
      <c r="G124" s="1166" t="s">
        <v>1420</v>
      </c>
      <c r="H124" s="1149"/>
      <c r="I124" s="1149"/>
      <c r="J124" s="1149"/>
      <c r="K124" s="1190"/>
      <c r="L124" s="1191"/>
      <c r="M124" s="1192"/>
      <c r="N124" s="1401"/>
      <c r="O124" s="1401"/>
      <c r="P124" s="1587"/>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c r="A131" s="952"/>
      <c r="B131" s="1162"/>
      <c r="C131" s="1163"/>
      <c r="D131" s="1163"/>
      <c r="E131" s="1163"/>
      <c r="F131" s="1163"/>
      <c r="G131" s="1172"/>
      <c r="H131" s="1172"/>
      <c r="I131" s="1172"/>
      <c r="J131" s="1172"/>
      <c r="K131" s="1172"/>
      <c r="L131" s="1172"/>
      <c r="M131" s="1221"/>
      <c r="N131" s="1403"/>
      <c r="O131" s="1403"/>
      <c r="P131" s="1585"/>
      <c r="Q131" s="1396"/>
    </row>
    <row r="136" spans="1:17" ht="14.4">
      <c r="B136" s="1593" t="s">
        <v>1584</v>
      </c>
    </row>
    <row r="137" spans="1:17" ht="15">
      <c r="B137" s="1594" t="s">
        <v>1585</v>
      </c>
      <c r="C137" s="1595"/>
      <c r="D137" s="1595"/>
      <c r="E137" s="1595"/>
      <c r="F137" s="1595"/>
      <c r="G137" s="1596"/>
      <c r="H137" s="1597"/>
      <c r="I137" s="1621" t="s">
        <v>1586</v>
      </c>
      <c r="J137" s="1595"/>
      <c r="K137" s="1622"/>
    </row>
    <row r="138" spans="1:17" ht="15">
      <c r="B138" s="1598"/>
      <c r="C138" s="1599" t="s">
        <v>1587</v>
      </c>
      <c r="D138" s="1599" t="s">
        <v>1588</v>
      </c>
      <c r="E138" s="1600" t="s">
        <v>1589</v>
      </c>
      <c r="F138" s="1601" t="s">
        <v>1590</v>
      </c>
      <c r="G138" s="1599" t="s">
        <v>1588</v>
      </c>
      <c r="H138" s="1602" t="s">
        <v>1589</v>
      </c>
      <c r="I138" s="1623"/>
      <c r="J138" s="1599" t="s">
        <v>1591</v>
      </c>
      <c r="K138" s="1602" t="s">
        <v>1592</v>
      </c>
    </row>
    <row r="139" spans="1:17" ht="15">
      <c r="B139" s="1603">
        <v>6</v>
      </c>
      <c r="C139" s="1604">
        <v>96</v>
      </c>
      <c r="D139" s="1605" t="s">
        <v>1593</v>
      </c>
      <c r="E139" s="1606">
        <v>100</v>
      </c>
      <c r="F139" s="1607">
        <v>102.5</v>
      </c>
      <c r="G139" s="1605" t="s">
        <v>1593</v>
      </c>
      <c r="H139" s="1608">
        <v>105</v>
      </c>
      <c r="I139" s="1624" t="s">
        <v>1594</v>
      </c>
      <c r="J139" s="1604">
        <v>20</v>
      </c>
      <c r="K139" s="1625">
        <f>C145/(J139-2)</f>
        <v>4.0555555555555553E-3</v>
      </c>
    </row>
    <row r="140" spans="1:17" ht="15">
      <c r="B140" s="1609">
        <v>5</v>
      </c>
      <c r="C140" s="1610">
        <v>100</v>
      </c>
      <c r="D140" s="1610"/>
      <c r="E140" s="1611"/>
      <c r="F140" s="1612">
        <v>102</v>
      </c>
      <c r="G140" s="1610"/>
      <c r="H140" s="1613"/>
      <c r="I140" s="1626" t="s">
        <v>1595</v>
      </c>
      <c r="J140" s="419">
        <f>ROUNDUP((J139-1)/2,0)</f>
        <v>10</v>
      </c>
      <c r="K140" s="1627">
        <v>100</v>
      </c>
    </row>
    <row r="141" spans="1:17" ht="15">
      <c r="B141" s="1609">
        <v>4</v>
      </c>
      <c r="C141" s="1610">
        <v>102</v>
      </c>
      <c r="D141" s="1610"/>
      <c r="E141" s="1611"/>
      <c r="F141" s="1612">
        <v>101.5</v>
      </c>
      <c r="G141" s="1610"/>
      <c r="H141" s="1613"/>
      <c r="I141" s="1626" t="s">
        <v>1596</v>
      </c>
      <c r="J141" s="419">
        <v>1</v>
      </c>
      <c r="K141" s="1628">
        <f>ROUND(100+(J141-J140)*K139*100,1)</f>
        <v>96.4</v>
      </c>
    </row>
    <row r="142" spans="1:17" ht="15">
      <c r="B142" s="1609">
        <v>3</v>
      </c>
      <c r="C142" s="1610">
        <v>103</v>
      </c>
      <c r="D142" s="1610"/>
      <c r="E142" s="1611"/>
      <c r="F142" s="1612">
        <v>101</v>
      </c>
      <c r="G142" s="1610"/>
      <c r="H142" s="1613"/>
      <c r="I142" s="1626" t="s">
        <v>1597</v>
      </c>
      <c r="J142" s="419">
        <f>J139</f>
        <v>20</v>
      </c>
      <c r="K142" s="1629">
        <v>95</v>
      </c>
    </row>
    <row r="143" spans="1:17" ht="15">
      <c r="B143" s="1609">
        <v>2</v>
      </c>
      <c r="C143" s="1610">
        <v>100</v>
      </c>
      <c r="D143" s="1610"/>
      <c r="E143" s="1611"/>
      <c r="F143" s="1612">
        <v>100.5</v>
      </c>
      <c r="G143" s="1610"/>
      <c r="H143" s="1613"/>
      <c r="I143" s="1626" t="s">
        <v>1598</v>
      </c>
      <c r="J143" s="1610">
        <v>15</v>
      </c>
      <c r="K143" s="1628">
        <f>ROUND(100+(J143-J140)*K139*100,1)</f>
        <v>102</v>
      </c>
    </row>
    <row r="144" spans="1:17" ht="15">
      <c r="B144" s="1609">
        <v>1</v>
      </c>
      <c r="C144" s="1610">
        <v>98</v>
      </c>
      <c r="D144" s="1614" t="s">
        <v>1599</v>
      </c>
      <c r="E144" s="1611">
        <v>102</v>
      </c>
      <c r="F144" s="1615">
        <v>100</v>
      </c>
      <c r="G144" s="1614" t="s">
        <v>1599</v>
      </c>
      <c r="H144" s="1613">
        <v>105</v>
      </c>
      <c r="I144" s="1626" t="s">
        <v>1598</v>
      </c>
      <c r="J144" s="1610">
        <v>18</v>
      </c>
      <c r="K144" s="1628">
        <f>ROUND(100+(J144-J140)*K139*100,1)</f>
        <v>103.2</v>
      </c>
    </row>
    <row r="145" spans="2:11" ht="15.6">
      <c r="B145" s="719" t="s">
        <v>1600</v>
      </c>
      <c r="C145" s="1616">
        <f>ROUND(MAX(C139:C144)/MIN(C139:C144)-1,3)</f>
        <v>7.2999999999999995E-2</v>
      </c>
      <c r="D145" s="1617"/>
      <c r="E145" s="1617"/>
      <c r="F145" s="1618" t="s">
        <v>1601</v>
      </c>
      <c r="G145" s="1619"/>
      <c r="H145" s="1620"/>
      <c r="I145" s="1630" t="s">
        <v>1598</v>
      </c>
      <c r="J145" s="1631">
        <v>8</v>
      </c>
      <c r="K145" s="1632">
        <f>ROUND(100+(J145-J140)*K139*100,1)</f>
        <v>99.2</v>
      </c>
    </row>
    <row r="147" spans="2:11" ht="14.4">
      <c r="B147" s="1593" t="s">
        <v>1602</v>
      </c>
    </row>
    <row r="148" spans="2:11" ht="14.4">
      <c r="B148" s="1593" t="s">
        <v>1603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43" priority="14"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J52:J54">
    <cfRule type="containsText" dxfId="138" priority="15" stopIfTrue="1" operator="containsText" text="超过">
      <formula>NOT(ISERROR(SEARCH("超过",F52)))</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G54">
    <cfRule type="expression" dxfId="135" priority="12"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1613</v>
      </c>
      <c r="C1" s="3473" t="s">
        <v>1614</v>
      </c>
      <c r="D1" s="3474"/>
      <c r="E1" s="3474"/>
      <c r="F1" s="3474"/>
      <c r="G1" s="3474"/>
      <c r="H1" s="3474"/>
      <c r="I1" s="3474"/>
      <c r="J1" s="3474"/>
      <c r="K1" s="3474"/>
      <c r="L1" s="3474"/>
      <c r="M1" s="3474"/>
      <c r="N1" s="3474"/>
      <c r="O1" s="3474"/>
      <c r="P1" s="3474"/>
      <c r="Q1" s="3474"/>
      <c r="R1" s="3474"/>
      <c r="S1" s="3475"/>
      <c r="T1" s="1419" t="s">
        <v>1615</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1616</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1617</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1618</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1619</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1620</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1621</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1622</v>
      </c>
      <c r="B17" s="1451" t="s">
        <v>1623</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1624</v>
      </c>
      <c r="E19" s="1461"/>
      <c r="F19" s="1461"/>
      <c r="G19" s="1461"/>
      <c r="H19" s="1462"/>
      <c r="I19" s="1459"/>
      <c r="J19" s="1459"/>
      <c r="K19" s="1459"/>
      <c r="L19" s="1459"/>
      <c r="M19" s="1459"/>
      <c r="N19" s="1459"/>
      <c r="O19" s="1459"/>
      <c r="P19" s="1459"/>
      <c r="Q19" s="1459"/>
      <c r="R19" s="1459"/>
      <c r="S19" s="1458"/>
    </row>
    <row r="20" spans="1:45" ht="15.6">
      <c r="A20" s="1463" t="s">
        <v>1625</v>
      </c>
      <c r="B20" s="1464">
        <f ca="1">IF(D20="——",S22,S22-F20)</f>
        <v>2516.0747999999999</v>
      </c>
      <c r="C20" s="1459"/>
      <c r="D20" s="1465" t="s">
        <v>124</v>
      </c>
      <c r="E20" s="1466"/>
      <c r="F20" s="1419" t="e">
        <f ca="1">SUMIF(INDIRECT("'"&amp;H20&amp;"'"&amp;"!A:A"),"承租人权益价值",INDIRECT("'"&amp;H20&amp;"'"&amp;"!c:c"))</f>
        <v>#REF!</v>
      </c>
      <c r="G20" s="1419" t="s">
        <v>809</v>
      </c>
      <c r="H20" s="1467"/>
      <c r="I20" s="1459"/>
      <c r="J20" s="1459"/>
      <c r="K20" s="1459"/>
      <c r="L20" s="1459"/>
      <c r="M20" s="1459"/>
      <c r="N20" s="1459"/>
      <c r="O20" s="1459"/>
      <c r="P20" s="1459"/>
      <c r="Q20" s="1459"/>
      <c r="R20" s="1459"/>
      <c r="S20" s="1458"/>
    </row>
    <row r="21" spans="1:45" ht="15.6">
      <c r="A21" s="1463" t="s">
        <v>1626</v>
      </c>
      <c r="B21" s="1464">
        <f ca="1">ROUND(B20*10000/B22,0)</f>
        <v>28410</v>
      </c>
      <c r="C21" s="1459"/>
      <c r="D21" s="1459"/>
      <c r="E21" s="1459"/>
      <c r="F21" s="1459"/>
      <c r="G21" s="1459"/>
      <c r="H21" s="1459"/>
      <c r="I21" s="1459"/>
      <c r="J21" s="1459"/>
      <c r="K21" s="1459"/>
      <c r="L21" s="1459"/>
      <c r="M21" s="1459"/>
      <c r="N21" s="1459"/>
      <c r="O21" s="1459"/>
      <c r="P21" s="1459"/>
      <c r="Q21" s="1459"/>
      <c r="R21" s="1459"/>
      <c r="S21" s="1458"/>
      <c r="T21" s="1522" t="s">
        <v>1627</v>
      </c>
      <c r="U21" s="1522" t="s">
        <v>1335</v>
      </c>
    </row>
    <row r="22" spans="1:45">
      <c r="A22" s="1468" t="s">
        <v>1628</v>
      </c>
      <c r="B22" s="1469">
        <f>SUM(B24:B10000)</f>
        <v>885.63</v>
      </c>
      <c r="C22" s="3476" t="s">
        <v>124</v>
      </c>
      <c r="D22" s="3477"/>
      <c r="E22" s="3477"/>
      <c r="F22" s="3477"/>
      <c r="G22" s="3477"/>
      <c r="H22" s="3477"/>
      <c r="I22" s="3477"/>
      <c r="J22" s="3477"/>
      <c r="K22" s="3477"/>
      <c r="L22" s="3477"/>
      <c r="M22" s="3477"/>
      <c r="N22" s="3477"/>
      <c r="O22" s="3477"/>
      <c r="P22" s="3477"/>
      <c r="Q22" s="3478"/>
      <c r="R22" s="1469">
        <f ca="1">ROUND(S22*10000/B22,0)</f>
        <v>28410</v>
      </c>
      <c r="S22" s="1469">
        <f ca="1">SUM(S24:S10000)</f>
        <v>2516.0747999999999</v>
      </c>
      <c r="T22" s="1417" t="e">
        <f ca="1">SUM(T24:T32)</f>
        <v>#REF!</v>
      </c>
      <c r="U22" s="1417" t="e">
        <f ca="1">ROUND(T22*10000/B22,0)</f>
        <v>#REF!</v>
      </c>
    </row>
    <row r="23" spans="1:45" s="1414" customFormat="1" ht="24">
      <c r="A23" s="1472" t="s">
        <v>1629</v>
      </c>
      <c r="B23" s="1472" t="s">
        <v>469</v>
      </c>
      <c r="C23" s="1472" t="s">
        <v>1615</v>
      </c>
      <c r="D23" s="1472" t="str">
        <f>B5</f>
        <v>装修状况</v>
      </c>
      <c r="E23" s="1472" t="s">
        <v>1615</v>
      </c>
      <c r="F23" s="1472" t="str">
        <f>B7</f>
        <v>修正项3</v>
      </c>
      <c r="G23" s="1472" t="s">
        <v>1615</v>
      </c>
      <c r="H23" s="1472" t="str">
        <f>B9</f>
        <v>修正项4</v>
      </c>
      <c r="I23" s="1472" t="s">
        <v>1615</v>
      </c>
      <c r="J23" s="1472" t="str">
        <f>B11</f>
        <v>修正项5</v>
      </c>
      <c r="K23" s="1472" t="s">
        <v>1615</v>
      </c>
      <c r="L23" s="1472" t="str">
        <f>B13</f>
        <v>修正项6</v>
      </c>
      <c r="M23" s="1472" t="s">
        <v>1615</v>
      </c>
      <c r="N23" s="1472" t="str">
        <f>B15</f>
        <v>修正项7</v>
      </c>
      <c r="O23" s="1472" t="s">
        <v>1615</v>
      </c>
      <c r="P23" s="1472" t="str">
        <f>B17</f>
        <v>楼层</v>
      </c>
      <c r="Q23" s="1472" t="s">
        <v>1615</v>
      </c>
      <c r="R23" s="1472" t="s">
        <v>1630</v>
      </c>
      <c r="S23" s="1472" t="s">
        <v>1631</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355.32</v>
      </c>
      <c r="C24" s="1474">
        <v>1</v>
      </c>
      <c r="D24" s="1475" t="s">
        <v>1398</v>
      </c>
      <c r="E24" s="1474">
        <v>1</v>
      </c>
      <c r="F24" s="1475"/>
      <c r="G24" s="1474">
        <v>1</v>
      </c>
      <c r="H24" s="1475"/>
      <c r="I24" s="1474">
        <v>1</v>
      </c>
      <c r="J24" s="1475"/>
      <c r="K24" s="1474">
        <v>1</v>
      </c>
      <c r="L24" s="1475"/>
      <c r="M24" s="1474">
        <v>1</v>
      </c>
      <c r="N24" s="1475"/>
      <c r="O24" s="1474">
        <v>1</v>
      </c>
      <c r="P24" s="1475"/>
      <c r="Q24" s="1474">
        <v>1</v>
      </c>
      <c r="R24" s="1473">
        <f ca="1">结果表110!H102</f>
        <v>28410</v>
      </c>
      <c r="S24" s="1525">
        <f t="shared" ref="S24:S32" ca="1" si="11">ROUND(R24*B24/10000,4)</f>
        <v>1009.4641</v>
      </c>
      <c r="T24" s="1526">
        <f ca="1">结果表110!N59</f>
        <v>373.5462</v>
      </c>
      <c r="U24" s="1526">
        <f ca="1">结果表110!N61</f>
        <v>4218</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111</v>
      </c>
      <c r="B25" s="1477">
        <f>'数据-基础表'!G14</f>
        <v>374.94</v>
      </c>
      <c r="C25" s="1469">
        <f>IF(B25="",1,(LOOKUP(B25,$3:$3,$4:$4)-LOOKUP($B$24,$3:$3,$4:$4)+100)/100)</f>
        <v>1</v>
      </c>
      <c r="D25" s="1475" t="s">
        <v>1398</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28410</v>
      </c>
      <c r="S25" s="1468">
        <f t="shared" ca="1" si="11"/>
        <v>1065.2045000000001</v>
      </c>
      <c r="T25" s="1417" t="e">
        <f>#REF!</f>
        <v>#REF!</v>
      </c>
      <c r="U25" s="1417" t="e">
        <f>#REF!</f>
        <v>#REF!</v>
      </c>
    </row>
    <row r="26" spans="1:45">
      <c r="A26" s="1476">
        <f>'数据-基础表'!C15</f>
        <v>112</v>
      </c>
      <c r="B26" s="1477">
        <f>'数据-基础表'!G15</f>
        <v>155.37</v>
      </c>
      <c r="C26" s="1469">
        <f t="shared" ref="C26:C89" si="12">IF(B26="",1,(LOOKUP(B26,$3:$3,$4:$4)-LOOKUP($B$24,$3:$3,$4:$4)+100)/100)</f>
        <v>1</v>
      </c>
      <c r="D26" s="1475" t="s">
        <v>1398</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28410</v>
      </c>
      <c r="S26" s="1468">
        <f t="shared" ca="1" si="11"/>
        <v>441.40620000000001</v>
      </c>
      <c r="T26" s="1417" t="e">
        <f>#REF!</f>
        <v>#REF!</v>
      </c>
      <c r="U26" s="1417" t="e">
        <f>#REF!</f>
        <v>#REF!</v>
      </c>
    </row>
    <row r="27" spans="1:45">
      <c r="A27" s="1476">
        <f>'数据-基础表'!C16</f>
        <v>0</v>
      </c>
      <c r="B27" s="1477">
        <f>'数据-基础表'!G16</f>
        <v>0</v>
      </c>
      <c r="C27" s="1469">
        <f t="shared" si="12"/>
        <v>1</v>
      </c>
      <c r="D27" s="1475" t="s">
        <v>1398</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28410</v>
      </c>
      <c r="S27" s="1468">
        <f t="shared" ca="1" si="11"/>
        <v>0</v>
      </c>
      <c r="T27" s="1417" t="e">
        <f>#REF!</f>
        <v>#REF!</v>
      </c>
      <c r="U27" s="1417" t="e">
        <f>#REF!</f>
        <v>#REF!</v>
      </c>
    </row>
    <row r="28" spans="1:45">
      <c r="A28" s="1476">
        <f>'数据-基础表'!C17</f>
        <v>0</v>
      </c>
      <c r="B28" s="1477">
        <f>'数据-基础表'!G17</f>
        <v>0</v>
      </c>
      <c r="C28" s="1469">
        <f t="shared" si="12"/>
        <v>1</v>
      </c>
      <c r="D28" s="1475" t="s">
        <v>1398</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28410</v>
      </c>
      <c r="S28" s="1468">
        <f t="shared" ca="1" si="11"/>
        <v>0</v>
      </c>
      <c r="T28" s="1417" t="e">
        <f>#REF!</f>
        <v>#REF!</v>
      </c>
      <c r="U28" s="1417" t="e">
        <f>#REF!</f>
        <v>#REF!</v>
      </c>
    </row>
    <row r="29" spans="1:45">
      <c r="A29" s="1476">
        <f>'数据-基础表'!C18</f>
        <v>0</v>
      </c>
      <c r="B29" s="1477">
        <f>'数据-基础表'!G18</f>
        <v>0</v>
      </c>
      <c r="C29" s="1469">
        <f t="shared" si="12"/>
        <v>1</v>
      </c>
      <c r="D29" s="1475" t="s">
        <v>1398</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28410</v>
      </c>
      <c r="S29" s="1468">
        <f t="shared" ca="1" si="11"/>
        <v>0</v>
      </c>
      <c r="T29" s="1417" t="e">
        <f>#REF!</f>
        <v>#REF!</v>
      </c>
      <c r="U29" s="1417" t="e">
        <f>#REF!</f>
        <v>#REF!</v>
      </c>
    </row>
    <row r="30" spans="1:45">
      <c r="A30" s="1476">
        <f>'数据-基础表'!C19</f>
        <v>0</v>
      </c>
      <c r="B30" s="1477">
        <f>'数据-基础表'!G19</f>
        <v>0</v>
      </c>
      <c r="C30" s="1469">
        <f t="shared" si="12"/>
        <v>1</v>
      </c>
      <c r="D30" s="1475" t="s">
        <v>1398</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28410</v>
      </c>
      <c r="S30" s="1468">
        <f t="shared" ca="1" si="11"/>
        <v>0</v>
      </c>
      <c r="T30" s="1417" t="e">
        <f>#REF!</f>
        <v>#REF!</v>
      </c>
      <c r="U30" s="1417" t="e">
        <f>#REF!</f>
        <v>#REF!</v>
      </c>
    </row>
    <row r="31" spans="1:45">
      <c r="A31" s="1476">
        <f>'数据-基础表'!C20</f>
        <v>0</v>
      </c>
      <c r="B31" s="1477">
        <f>'数据-基础表'!G20</f>
        <v>0</v>
      </c>
      <c r="C31" s="1469">
        <f t="shared" si="12"/>
        <v>1</v>
      </c>
      <c r="D31" s="1475" t="s">
        <v>1398</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28410</v>
      </c>
      <c r="S31" s="1468">
        <f t="shared" ca="1" si="11"/>
        <v>0</v>
      </c>
      <c r="T31" s="1417" t="e">
        <f>#REF!</f>
        <v>#REF!</v>
      </c>
      <c r="U31" s="1417" t="e">
        <f>#REF!</f>
        <v>#REF!</v>
      </c>
    </row>
    <row r="32" spans="1:45">
      <c r="A32" s="1476">
        <f>'数据-基础表'!C21</f>
        <v>0</v>
      </c>
      <c r="B32" s="1477">
        <f>'数据-基础表'!G21</f>
        <v>0</v>
      </c>
      <c r="C32" s="1469">
        <f t="shared" si="12"/>
        <v>1</v>
      </c>
      <c r="D32" s="1475" t="s">
        <v>1398</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28410</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1632</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999</v>
      </c>
      <c r="B3" s="916">
        <f>IF(C2="——",C43,ROUND(B2*10000/D3,0))</f>
        <v>0</v>
      </c>
      <c r="C3" s="1273" t="s">
        <v>1345</v>
      </c>
      <c r="D3" s="1274">
        <f>IF(D1="",'数据-汇总表'!E3,SUMIF('数据-汇总表'!$C19:$C33,D1,'数据-汇总表'!$E19:$E33))</f>
        <v>885.63</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1346</v>
      </c>
      <c r="B4" s="919"/>
      <c r="C4" s="3432" t="s">
        <v>1347</v>
      </c>
      <c r="D4" s="3433"/>
      <c r="E4" s="3434" t="s">
        <v>1348</v>
      </c>
      <c r="F4" s="3435"/>
      <c r="G4" s="3432" t="s">
        <v>1349</v>
      </c>
      <c r="H4" s="3433"/>
      <c r="I4" s="3432" t="s">
        <v>1350</v>
      </c>
      <c r="J4" s="3433"/>
      <c r="K4" s="1064" t="s">
        <v>1351</v>
      </c>
      <c r="L4" s="1380"/>
      <c r="M4" s="1050"/>
      <c r="N4" s="1050"/>
      <c r="O4" s="1050"/>
      <c r="P4" s="3439" t="s">
        <v>1352</v>
      </c>
      <c r="Q4" s="3440"/>
      <c r="R4" s="3443" t="s">
        <v>1348</v>
      </c>
      <c r="S4" s="3444"/>
      <c r="T4" s="3443" t="s">
        <v>1349</v>
      </c>
      <c r="U4" s="3444"/>
      <c r="V4" s="3409" t="s">
        <v>1350</v>
      </c>
      <c r="W4" s="3409"/>
      <c r="X4" s="1113"/>
      <c r="Y4" s="3443" t="s">
        <v>1352</v>
      </c>
      <c r="Z4" s="3444"/>
      <c r="AA4" s="3438" t="s">
        <v>1348</v>
      </c>
      <c r="AB4" s="3391" t="s">
        <v>1349</v>
      </c>
      <c r="AC4" s="3438" t="s">
        <v>1350</v>
      </c>
    </row>
    <row r="5" spans="1:29">
      <c r="A5" s="922"/>
      <c r="B5" s="923"/>
      <c r="C5" s="3448" t="s">
        <v>1575</v>
      </c>
      <c r="D5" s="3437"/>
      <c r="E5" s="3472" t="s">
        <v>1576</v>
      </c>
      <c r="F5" s="3450"/>
      <c r="G5" s="3448" t="s">
        <v>1577</v>
      </c>
      <c r="H5" s="3437"/>
      <c r="I5" s="3448" t="s">
        <v>1353</v>
      </c>
      <c r="J5" s="3437"/>
      <c r="K5" s="1064"/>
      <c r="L5" s="1380"/>
      <c r="M5" s="1050"/>
      <c r="N5" s="1050"/>
      <c r="O5" s="1050"/>
      <c r="P5" s="3441"/>
      <c r="Q5" s="3399"/>
      <c r="R5" s="3404"/>
      <c r="S5" s="3405"/>
      <c r="T5" s="3404"/>
      <c r="U5" s="3405"/>
      <c r="V5" s="3409"/>
      <c r="W5" s="3409"/>
      <c r="X5" s="1113"/>
      <c r="Y5" s="3404"/>
      <c r="Z5" s="3405"/>
      <c r="AA5" s="3391"/>
      <c r="AB5" s="3391"/>
      <c r="AC5" s="3391"/>
    </row>
    <row r="6" spans="1:29" ht="14.4">
      <c r="A6" s="924"/>
      <c r="B6" s="925"/>
      <c r="C6" s="3427" t="s">
        <v>1354</v>
      </c>
      <c r="D6" s="3428"/>
      <c r="E6" s="3429" t="s">
        <v>1354</v>
      </c>
      <c r="F6" s="3430"/>
      <c r="G6" s="3427" t="s">
        <v>1354</v>
      </c>
      <c r="H6" s="3428"/>
      <c r="I6" s="3427" t="s">
        <v>1354</v>
      </c>
      <c r="J6" s="3428"/>
      <c r="K6" s="1064" t="s">
        <v>1355</v>
      </c>
      <c r="L6" s="1380"/>
      <c r="M6" s="1050"/>
      <c r="N6" s="1050"/>
      <c r="O6" s="1050"/>
      <c r="P6" s="3442"/>
      <c r="Q6" s="3401"/>
      <c r="R6" s="3404"/>
      <c r="S6" s="3405"/>
      <c r="T6" s="3406"/>
      <c r="U6" s="3407"/>
      <c r="V6" s="3409"/>
      <c r="W6" s="3409"/>
      <c r="X6" s="1113"/>
      <c r="Y6" s="3406"/>
      <c r="Z6" s="3407"/>
      <c r="AA6" s="3392"/>
      <c r="AB6" s="3392"/>
      <c r="AC6" s="3392"/>
    </row>
    <row r="7" spans="1:29" s="899" customFormat="1" ht="14.4">
      <c r="A7" s="927" t="s">
        <v>1356</v>
      </c>
      <c r="B7" s="928"/>
      <c r="C7" s="929">
        <f>'数据-取费表'!B2</f>
        <v>45839</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15" t="s">
        <v>1357</v>
      </c>
      <c r="Q7" s="3431"/>
      <c r="R7" s="1114" t="s">
        <v>1358</v>
      </c>
      <c r="S7" s="1115">
        <f t="shared" ref="S7:S15" si="0">F7</f>
        <v>0</v>
      </c>
      <c r="T7" s="1114" t="s">
        <v>1358</v>
      </c>
      <c r="U7" s="1115">
        <f t="shared" ref="U7:U15" si="1">H7</f>
        <v>0</v>
      </c>
      <c r="V7" s="1114" t="s">
        <v>1358</v>
      </c>
      <c r="W7" s="1115">
        <f t="shared" ref="W7:W15" si="2">J7</f>
        <v>0</v>
      </c>
      <c r="X7" s="1116"/>
      <c r="Y7" s="3415" t="s">
        <v>1357</v>
      </c>
      <c r="Z7" s="3416"/>
      <c r="AA7" s="1126" t="e">
        <f>D7/F7</f>
        <v>#DIV/0!</v>
      </c>
      <c r="AB7" s="1126" t="e">
        <f>D7/H7</f>
        <v>#DIV/0!</v>
      </c>
      <c r="AC7" s="1126" t="e">
        <f>D7/J7</f>
        <v>#DIV/0!</v>
      </c>
    </row>
    <row r="8" spans="1:29" s="899" customFormat="1" ht="14.4">
      <c r="A8" s="927" t="s">
        <v>1359</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15" t="s">
        <v>1361</v>
      </c>
      <c r="Q8" s="3416"/>
      <c r="R8" s="1114" t="s">
        <v>1358</v>
      </c>
      <c r="S8" s="1115">
        <f t="shared" si="0"/>
        <v>100</v>
      </c>
      <c r="T8" s="1114" t="s">
        <v>1358</v>
      </c>
      <c r="U8" s="1115">
        <f t="shared" si="1"/>
        <v>100</v>
      </c>
      <c r="V8" s="1114" t="s">
        <v>1358</v>
      </c>
      <c r="W8" s="1115">
        <f t="shared" si="2"/>
        <v>100</v>
      </c>
      <c r="X8" s="1116"/>
      <c r="Y8" s="3415" t="s">
        <v>1361</v>
      </c>
      <c r="Z8" s="3416"/>
      <c r="AA8" s="1126">
        <f t="shared" ref="AA8:AA40" si="3">D8/F8</f>
        <v>1</v>
      </c>
      <c r="AB8" s="1126">
        <f t="shared" ref="AB8:AB40" si="4">D8/H8</f>
        <v>1</v>
      </c>
      <c r="AC8" s="1126">
        <f t="shared" ref="AC8:AC40" si="5">D8/J8</f>
        <v>1</v>
      </c>
    </row>
    <row r="9" spans="1:29" s="899" customFormat="1" ht="14.4">
      <c r="A9" s="935" t="s">
        <v>1362</v>
      </c>
      <c r="B9" s="936" t="s">
        <v>1363</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11" t="s">
        <v>1364</v>
      </c>
      <c r="Q9" s="790" t="str">
        <f t="shared" ref="Q9:Q15" si="6">B9</f>
        <v>用途</v>
      </c>
      <c r="R9" s="1114" t="s">
        <v>1358</v>
      </c>
      <c r="S9" s="1115">
        <f t="shared" si="0"/>
        <v>100</v>
      </c>
      <c r="T9" s="1114" t="s">
        <v>1358</v>
      </c>
      <c r="U9" s="1115">
        <f t="shared" si="1"/>
        <v>100</v>
      </c>
      <c r="V9" s="1114" t="s">
        <v>1358</v>
      </c>
      <c r="W9" s="1115">
        <f t="shared" si="2"/>
        <v>100</v>
      </c>
      <c r="X9" s="1116"/>
      <c r="Y9" s="3297"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11"/>
      <c r="Q10" s="790" t="str">
        <f t="shared" si="6"/>
        <v>土地使用年限（年）</v>
      </c>
      <c r="R10" s="1114" t="s">
        <v>1358</v>
      </c>
      <c r="S10" s="1115">
        <f t="shared" si="0"/>
        <v>100</v>
      </c>
      <c r="T10" s="1114" t="s">
        <v>1358</v>
      </c>
      <c r="U10" s="1115">
        <f t="shared" si="1"/>
        <v>100</v>
      </c>
      <c r="V10" s="1114" t="s">
        <v>1358</v>
      </c>
      <c r="W10" s="1115">
        <f t="shared" si="2"/>
        <v>100</v>
      </c>
      <c r="X10" s="1116"/>
      <c r="Y10" s="3297"/>
      <c r="Z10" s="1126" t="str">
        <f t="shared" si="7"/>
        <v>土地使用年限（年）</v>
      </c>
      <c r="AA10" s="1126">
        <f t="shared" si="3"/>
        <v>1</v>
      </c>
      <c r="AB10" s="1126">
        <f t="shared" si="4"/>
        <v>1</v>
      </c>
      <c r="AC10" s="1126">
        <f t="shared" si="5"/>
        <v>1</v>
      </c>
    </row>
    <row r="11" spans="1:29" ht="15">
      <c r="A11" s="943"/>
      <c r="B11" s="940" t="s">
        <v>1367</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11"/>
      <c r="Q11" s="790" t="str">
        <f t="shared" si="6"/>
        <v>容积率</v>
      </c>
      <c r="R11" s="1114" t="s">
        <v>1358</v>
      </c>
      <c r="S11" s="1115">
        <f t="shared" si="0"/>
        <v>100</v>
      </c>
      <c r="T11" s="1114" t="s">
        <v>1358</v>
      </c>
      <c r="U11" s="1115">
        <f t="shared" si="1"/>
        <v>100</v>
      </c>
      <c r="V11" s="1114" t="s">
        <v>1358</v>
      </c>
      <c r="W11" s="1115">
        <f t="shared" si="2"/>
        <v>100</v>
      </c>
      <c r="X11" s="1116"/>
      <c r="Y11" s="3297"/>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11"/>
      <c r="Q12" s="790">
        <f t="shared" si="6"/>
        <v>111</v>
      </c>
      <c r="R12" s="1114" t="s">
        <v>1358</v>
      </c>
      <c r="S12" s="1115">
        <f t="shared" si="0"/>
        <v>100</v>
      </c>
      <c r="T12" s="1114" t="s">
        <v>1358</v>
      </c>
      <c r="U12" s="1115">
        <f t="shared" si="1"/>
        <v>100</v>
      </c>
      <c r="V12" s="1114" t="s">
        <v>1358</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11"/>
      <c r="Q13" s="790">
        <f t="shared" si="6"/>
        <v>111</v>
      </c>
      <c r="R13" s="1114" t="s">
        <v>1358</v>
      </c>
      <c r="S13" s="1115">
        <f t="shared" si="0"/>
        <v>100</v>
      </c>
      <c r="T13" s="1114" t="s">
        <v>1358</v>
      </c>
      <c r="U13" s="1115">
        <f t="shared" si="1"/>
        <v>100</v>
      </c>
      <c r="V13" s="1114" t="s">
        <v>1358</v>
      </c>
      <c r="W13" s="1115">
        <f t="shared" si="2"/>
        <v>100</v>
      </c>
      <c r="X13" s="1116"/>
      <c r="Y13" s="3297"/>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11"/>
      <c r="Q14" s="790">
        <f t="shared" si="6"/>
        <v>111</v>
      </c>
      <c r="R14" s="1114" t="s">
        <v>1358</v>
      </c>
      <c r="S14" s="1115">
        <f t="shared" si="0"/>
        <v>100</v>
      </c>
      <c r="T14" s="1114" t="s">
        <v>1358</v>
      </c>
      <c r="U14" s="1115">
        <f t="shared" si="1"/>
        <v>100</v>
      </c>
      <c r="V14" s="1114" t="s">
        <v>1358</v>
      </c>
      <c r="W14" s="1115">
        <f t="shared" si="2"/>
        <v>100</v>
      </c>
      <c r="X14" s="1116"/>
      <c r="Y14" s="3297"/>
      <c r="Z14" s="1126">
        <f t="shared" si="7"/>
        <v>111</v>
      </c>
      <c r="AA14" s="1126">
        <f t="shared" si="3"/>
        <v>1</v>
      </c>
      <c r="AB14" s="1126">
        <f t="shared" si="4"/>
        <v>1</v>
      </c>
      <c r="AC14" s="1126">
        <f t="shared" si="5"/>
        <v>1</v>
      </c>
    </row>
    <row r="15" spans="1:29" ht="15">
      <c r="A15" s="956" t="s">
        <v>1368</v>
      </c>
      <c r="B15" s="1232" t="s">
        <v>1633</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23" t="s">
        <v>1370</v>
      </c>
      <c r="Q15" s="621" t="str">
        <f t="shared" si="6"/>
        <v>产业集聚程度</v>
      </c>
      <c r="R15" s="1118" t="s">
        <v>1358</v>
      </c>
      <c r="S15" s="1119">
        <f t="shared" si="0"/>
        <v>100</v>
      </c>
      <c r="T15" s="1118" t="s">
        <v>1358</v>
      </c>
      <c r="U15" s="1119">
        <f t="shared" si="1"/>
        <v>100</v>
      </c>
      <c r="V15" s="1118" t="s">
        <v>1358</v>
      </c>
      <c r="W15" s="1119">
        <f t="shared" si="2"/>
        <v>100</v>
      </c>
      <c r="X15" s="1113"/>
      <c r="Y15" s="3423" t="s">
        <v>1370</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24"/>
      <c r="Q16" s="621"/>
      <c r="R16" s="1118"/>
      <c r="S16" s="1119"/>
      <c r="T16" s="1118"/>
      <c r="U16" s="1119"/>
      <c r="V16" s="1118"/>
      <c r="W16" s="1119"/>
      <c r="X16" s="1113"/>
      <c r="Y16" s="3424"/>
      <c r="Z16" s="1102"/>
      <c r="AA16" s="1102">
        <v>1</v>
      </c>
      <c r="AB16" s="1102">
        <v>1</v>
      </c>
      <c r="AC16" s="1102">
        <v>1</v>
      </c>
    </row>
    <row r="17" spans="1:29" ht="15">
      <c r="A17" s="943"/>
      <c r="B17" s="1234" t="s">
        <v>1372</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24"/>
      <c r="Q17" s="621" t="str">
        <f>B17</f>
        <v>交通便捷度</v>
      </c>
      <c r="R17" s="1118" t="s">
        <v>1358</v>
      </c>
      <c r="S17" s="1119">
        <f>F17</f>
        <v>100</v>
      </c>
      <c r="T17" s="1118" t="s">
        <v>1358</v>
      </c>
      <c r="U17" s="1119">
        <f>H17</f>
        <v>100</v>
      </c>
      <c r="V17" s="1118" t="s">
        <v>1358</v>
      </c>
      <c r="W17" s="1119">
        <f>J17</f>
        <v>100</v>
      </c>
      <c r="X17" s="1113"/>
      <c r="Y17" s="3424"/>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24"/>
      <c r="Q18" s="621"/>
      <c r="R18" s="1118"/>
      <c r="S18" s="1119"/>
      <c r="T18" s="1118"/>
      <c r="U18" s="1119"/>
      <c r="V18" s="1118"/>
      <c r="W18" s="1119"/>
      <c r="X18" s="1113"/>
      <c r="Y18" s="3424"/>
      <c r="Z18" s="1102"/>
      <c r="AA18" s="1102">
        <v>1</v>
      </c>
      <c r="AB18" s="1102">
        <v>1</v>
      </c>
      <c r="AC18" s="1102">
        <v>1</v>
      </c>
    </row>
    <row r="19" spans="1:29" ht="15">
      <c r="A19" s="943"/>
      <c r="B19" s="1234" t="s">
        <v>1373</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24"/>
      <c r="Q19" s="621" t="str">
        <f>B19</f>
        <v>公共配套设施</v>
      </c>
      <c r="R19" s="1118" t="s">
        <v>1358</v>
      </c>
      <c r="S19" s="1119">
        <f>F19</f>
        <v>100</v>
      </c>
      <c r="T19" s="1118" t="s">
        <v>1358</v>
      </c>
      <c r="U19" s="1119">
        <f>H19</f>
        <v>100</v>
      </c>
      <c r="V19" s="1118" t="s">
        <v>1358</v>
      </c>
      <c r="W19" s="1119">
        <f>J19</f>
        <v>100</v>
      </c>
      <c r="X19" s="1113"/>
      <c r="Y19" s="3424"/>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24"/>
      <c r="Q20" s="621"/>
      <c r="R20" s="1118"/>
      <c r="S20" s="1119"/>
      <c r="T20" s="1118"/>
      <c r="U20" s="1119"/>
      <c r="V20" s="1118"/>
      <c r="W20" s="1119"/>
      <c r="X20" s="1113"/>
      <c r="Y20" s="3424"/>
      <c r="Z20" s="1102"/>
      <c r="AA20" s="1102">
        <v>1</v>
      </c>
      <c r="AB20" s="1102">
        <v>1</v>
      </c>
      <c r="AC20" s="1102">
        <v>1</v>
      </c>
    </row>
    <row r="21" spans="1:29" ht="15">
      <c r="A21" s="943"/>
      <c r="B21" s="1238" t="s">
        <v>1375</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24"/>
      <c r="Q21" s="621" t="str">
        <f>B21</f>
        <v>基础设施水平</v>
      </c>
      <c r="R21" s="1118" t="s">
        <v>1358</v>
      </c>
      <c r="S21" s="1119">
        <f>F21</f>
        <v>100</v>
      </c>
      <c r="T21" s="1118" t="s">
        <v>1358</v>
      </c>
      <c r="U21" s="1119">
        <f>H21</f>
        <v>100</v>
      </c>
      <c r="V21" s="1118" t="s">
        <v>1358</v>
      </c>
      <c r="W21" s="1119">
        <f>J21</f>
        <v>100</v>
      </c>
      <c r="X21" s="1113"/>
      <c r="Y21" s="3424"/>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24"/>
      <c r="Q22" s="621"/>
      <c r="R22" s="1118"/>
      <c r="S22" s="1119"/>
      <c r="T22" s="1118"/>
      <c r="U22" s="1119"/>
      <c r="V22" s="1118"/>
      <c r="W22" s="1119"/>
      <c r="X22" s="1113"/>
      <c r="Y22" s="3424"/>
      <c r="Z22" s="1102"/>
      <c r="AA22" s="1102">
        <v>1</v>
      </c>
      <c r="AB22" s="1102">
        <v>1</v>
      </c>
      <c r="AC22" s="1102">
        <v>1</v>
      </c>
    </row>
    <row r="23" spans="1:29" ht="15">
      <c r="A23" s="943"/>
      <c r="B23" s="1234" t="s">
        <v>1376</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24"/>
      <c r="Q23" s="621" t="str">
        <f>B23</f>
        <v>环境质量</v>
      </c>
      <c r="R23" s="1118" t="s">
        <v>1358</v>
      </c>
      <c r="S23" s="1119">
        <f>F23</f>
        <v>100</v>
      </c>
      <c r="T23" s="1118" t="s">
        <v>1358</v>
      </c>
      <c r="U23" s="1119">
        <f>H23</f>
        <v>100</v>
      </c>
      <c r="V23" s="1118" t="s">
        <v>1358</v>
      </c>
      <c r="W23" s="1119">
        <f>J23</f>
        <v>100</v>
      </c>
      <c r="X23" s="1113"/>
      <c r="Y23" s="3424"/>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24"/>
      <c r="Q24" s="621"/>
      <c r="R24" s="1118"/>
      <c r="S24" s="1119"/>
      <c r="T24" s="1118"/>
      <c r="U24" s="1119"/>
      <c r="V24" s="1118"/>
      <c r="W24" s="1119"/>
      <c r="X24" s="1113"/>
      <c r="Y24" s="3424"/>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24"/>
      <c r="Q25" s="621">
        <f>B25</f>
        <v>111</v>
      </c>
      <c r="R25" s="1118" t="s">
        <v>1358</v>
      </c>
      <c r="S25" s="1119">
        <f>F25</f>
        <v>100</v>
      </c>
      <c r="T25" s="1118" t="s">
        <v>1358</v>
      </c>
      <c r="U25" s="1119">
        <f>H25</f>
        <v>100</v>
      </c>
      <c r="V25" s="1118" t="s">
        <v>1358</v>
      </c>
      <c r="W25" s="1119">
        <f>J25</f>
        <v>100</v>
      </c>
      <c r="X25" s="1113"/>
      <c r="Y25" s="3424"/>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24"/>
      <c r="Q26" s="621">
        <f t="shared" ref="Q26:Q40" si="11">B26</f>
        <v>111</v>
      </c>
      <c r="R26" s="1118" t="s">
        <v>1358</v>
      </c>
      <c r="S26" s="1119">
        <f>F26</f>
        <v>100</v>
      </c>
      <c r="T26" s="1118" t="s">
        <v>1358</v>
      </c>
      <c r="U26" s="1119">
        <f>H26</f>
        <v>100</v>
      </c>
      <c r="V26" s="1118" t="s">
        <v>1358</v>
      </c>
      <c r="W26" s="1119">
        <f>J26</f>
        <v>100</v>
      </c>
      <c r="X26" s="1113"/>
      <c r="Y26" s="3424"/>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24"/>
      <c r="Q27" s="790">
        <f t="shared" si="11"/>
        <v>111</v>
      </c>
      <c r="R27" s="1114" t="s">
        <v>1358</v>
      </c>
      <c r="S27" s="1115">
        <f>F27</f>
        <v>100</v>
      </c>
      <c r="T27" s="1114" t="s">
        <v>1358</v>
      </c>
      <c r="U27" s="1115">
        <f>H27</f>
        <v>100</v>
      </c>
      <c r="V27" s="1114" t="s">
        <v>1358</v>
      </c>
      <c r="W27" s="1115">
        <f>J27</f>
        <v>100</v>
      </c>
      <c r="X27" s="1116"/>
      <c r="Y27" s="3424"/>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24"/>
      <c r="Q28" s="621">
        <f t="shared" si="11"/>
        <v>111</v>
      </c>
      <c r="R28" s="1118" t="s">
        <v>1358</v>
      </c>
      <c r="S28" s="1119">
        <f t="shared" ref="S28:S40" si="12">F28</f>
        <v>100</v>
      </c>
      <c r="T28" s="1118" t="s">
        <v>1358</v>
      </c>
      <c r="U28" s="1119">
        <f t="shared" ref="U28:U40" si="13">H28</f>
        <v>100</v>
      </c>
      <c r="V28" s="1118" t="s">
        <v>1358</v>
      </c>
      <c r="W28" s="1119">
        <f t="shared" ref="W28:W40" si="14">J28</f>
        <v>100</v>
      </c>
      <c r="X28" s="1113"/>
      <c r="Y28" s="3424"/>
      <c r="Z28" s="1102">
        <f t="shared" ref="Z28:Z40" si="15">Q28</f>
        <v>111</v>
      </c>
      <c r="AA28" s="1102">
        <f t="shared" si="3"/>
        <v>1</v>
      </c>
      <c r="AB28" s="1102">
        <f t="shared" si="4"/>
        <v>1</v>
      </c>
      <c r="AC28" s="1102">
        <f t="shared" si="5"/>
        <v>1</v>
      </c>
    </row>
    <row r="29" spans="1:29" ht="30">
      <c r="A29" s="1282" t="s">
        <v>1381</v>
      </c>
      <c r="B29" s="936" t="s">
        <v>1382</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79" t="s">
        <v>1384</v>
      </c>
      <c r="Q29" s="621" t="str">
        <f t="shared" si="11"/>
        <v>建筑类型</v>
      </c>
      <c r="R29" s="1118" t="s">
        <v>1358</v>
      </c>
      <c r="S29" s="1119">
        <f t="shared" si="12"/>
        <v>100</v>
      </c>
      <c r="T29" s="1118" t="s">
        <v>1358</v>
      </c>
      <c r="U29" s="1119">
        <f t="shared" si="13"/>
        <v>100</v>
      </c>
      <c r="V29" s="1118" t="s">
        <v>1358</v>
      </c>
      <c r="W29" s="1119">
        <f t="shared" si="14"/>
        <v>100</v>
      </c>
      <c r="X29" s="1113"/>
      <c r="Y29" s="3425" t="s">
        <v>1384</v>
      </c>
      <c r="Z29" s="1102" t="str">
        <f t="shared" si="15"/>
        <v>建筑类型</v>
      </c>
      <c r="AA29" s="1102">
        <f t="shared" si="3"/>
        <v>1</v>
      </c>
      <c r="AB29" s="1102">
        <f t="shared" si="4"/>
        <v>1</v>
      </c>
      <c r="AC29" s="1102">
        <f t="shared" si="5"/>
        <v>1</v>
      </c>
    </row>
    <row r="30" spans="1:29" s="901" customFormat="1" ht="15">
      <c r="A30" s="996"/>
      <c r="B30" s="940" t="s">
        <v>1385</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25"/>
      <c r="Q30" s="1308" t="str">
        <f t="shared" si="11"/>
        <v>项目建筑规模</v>
      </c>
      <c r="R30" s="1120" t="s">
        <v>1358</v>
      </c>
      <c r="S30" s="1121" t="e">
        <f t="shared" si="12"/>
        <v>#N/A</v>
      </c>
      <c r="T30" s="1120" t="s">
        <v>1358</v>
      </c>
      <c r="U30" s="1121" t="e">
        <f t="shared" si="13"/>
        <v>#N/A</v>
      </c>
      <c r="V30" s="1120" t="s">
        <v>1358</v>
      </c>
      <c r="W30" s="1121" t="e">
        <f t="shared" si="14"/>
        <v>#N/A</v>
      </c>
      <c r="X30" s="1122"/>
      <c r="Y30" s="3425"/>
      <c r="Z30" s="1127" t="str">
        <f t="shared" si="15"/>
        <v>项目建筑规模</v>
      </c>
      <c r="AA30" s="1102" t="e">
        <f t="shared" si="3"/>
        <v>#N/A</v>
      </c>
      <c r="AB30" s="1102" t="e">
        <f t="shared" si="4"/>
        <v>#N/A</v>
      </c>
      <c r="AC30" s="1102" t="e">
        <f t="shared" si="5"/>
        <v>#N/A</v>
      </c>
    </row>
    <row r="31" spans="1:29" ht="15">
      <c r="A31" s="991"/>
      <c r="B31" s="940" t="s">
        <v>1386</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25"/>
      <c r="Q31" s="621" t="str">
        <f t="shared" si="11"/>
        <v>建筑结构</v>
      </c>
      <c r="R31" s="1118" t="s">
        <v>1358</v>
      </c>
      <c r="S31" s="1119">
        <f t="shared" si="12"/>
        <v>100</v>
      </c>
      <c r="T31" s="1118" t="s">
        <v>1358</v>
      </c>
      <c r="U31" s="1119">
        <f t="shared" si="13"/>
        <v>100</v>
      </c>
      <c r="V31" s="1118" t="s">
        <v>1358</v>
      </c>
      <c r="W31" s="1119">
        <f t="shared" si="14"/>
        <v>100</v>
      </c>
      <c r="X31" s="1113"/>
      <c r="Y31" s="3425"/>
      <c r="Z31" s="1102" t="str">
        <f t="shared" si="15"/>
        <v>建筑结构</v>
      </c>
      <c r="AA31" s="1102">
        <f t="shared" si="3"/>
        <v>1</v>
      </c>
      <c r="AB31" s="1102">
        <f t="shared" si="4"/>
        <v>1</v>
      </c>
      <c r="AC31" s="1102">
        <f t="shared" si="5"/>
        <v>1</v>
      </c>
    </row>
    <row r="32" spans="1:29" ht="15">
      <c r="A32" s="991"/>
      <c r="B32" s="940" t="s">
        <v>1387</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25"/>
      <c r="Q32" s="621" t="str">
        <f t="shared" si="11"/>
        <v>公共部分装修</v>
      </c>
      <c r="R32" s="1118" t="s">
        <v>1358</v>
      </c>
      <c r="S32" s="1119">
        <f t="shared" si="12"/>
        <v>100</v>
      </c>
      <c r="T32" s="1118" t="s">
        <v>1358</v>
      </c>
      <c r="U32" s="1119">
        <f t="shared" si="13"/>
        <v>100</v>
      </c>
      <c r="V32" s="1118" t="s">
        <v>1358</v>
      </c>
      <c r="W32" s="1119">
        <f t="shared" si="14"/>
        <v>100</v>
      </c>
      <c r="X32" s="1113"/>
      <c r="Y32" s="3425"/>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25"/>
      <c r="Q33" s="621" t="str">
        <f t="shared" si="11"/>
        <v>成新度</v>
      </c>
      <c r="R33" s="1118" t="s">
        <v>1358</v>
      </c>
      <c r="S33" s="1119" t="e">
        <f t="shared" si="12"/>
        <v>#N/A</v>
      </c>
      <c r="T33" s="1118" t="s">
        <v>1358</v>
      </c>
      <c r="U33" s="1119" t="e">
        <f t="shared" si="13"/>
        <v>#N/A</v>
      </c>
      <c r="V33" s="1118" t="s">
        <v>1358</v>
      </c>
      <c r="W33" s="1119" t="e">
        <f t="shared" si="14"/>
        <v>#N/A</v>
      </c>
      <c r="X33" s="1113"/>
      <c r="Y33" s="3425"/>
      <c r="Z33" s="1102" t="str">
        <f t="shared" si="15"/>
        <v>成新度</v>
      </c>
      <c r="AA33" s="1102" t="e">
        <f t="shared" si="3"/>
        <v>#N/A</v>
      </c>
      <c r="AB33" s="1102" t="e">
        <f t="shared" si="4"/>
        <v>#N/A</v>
      </c>
      <c r="AC33" s="1102" t="e">
        <f t="shared" si="5"/>
        <v>#N/A</v>
      </c>
    </row>
    <row r="34" spans="1:29" s="899" customFormat="1" ht="15">
      <c r="A34" s="993"/>
      <c r="B34" s="940" t="s">
        <v>1391</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25"/>
      <c r="Q34" s="790" t="str">
        <f t="shared" si="11"/>
        <v>物业管理</v>
      </c>
      <c r="R34" s="1114" t="s">
        <v>1358</v>
      </c>
      <c r="S34" s="1115">
        <f t="shared" si="12"/>
        <v>100</v>
      </c>
      <c r="T34" s="1114" t="s">
        <v>1358</v>
      </c>
      <c r="U34" s="1115">
        <f t="shared" si="13"/>
        <v>100</v>
      </c>
      <c r="V34" s="1114" t="s">
        <v>1358</v>
      </c>
      <c r="W34" s="1115">
        <f t="shared" si="14"/>
        <v>100</v>
      </c>
      <c r="X34" s="1116"/>
      <c r="Y34" s="3425"/>
      <c r="Z34" s="1126" t="str">
        <f t="shared" si="15"/>
        <v>物业管理</v>
      </c>
      <c r="AA34" s="1126">
        <f t="shared" si="3"/>
        <v>1</v>
      </c>
      <c r="AB34" s="1126">
        <f t="shared" si="4"/>
        <v>1</v>
      </c>
      <c r="AC34" s="1126">
        <f t="shared" si="5"/>
        <v>1</v>
      </c>
    </row>
    <row r="35" spans="1:29" ht="15">
      <c r="A35" s="991"/>
      <c r="B35" s="940" t="s">
        <v>1393</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25" t="s">
        <v>1384</v>
      </c>
      <c r="Q35" s="621" t="str">
        <f t="shared" si="11"/>
        <v>市政基础设施</v>
      </c>
      <c r="R35" s="1118" t="s">
        <v>1358</v>
      </c>
      <c r="S35" s="1119">
        <f t="shared" si="12"/>
        <v>100</v>
      </c>
      <c r="T35" s="1118" t="s">
        <v>1358</v>
      </c>
      <c r="U35" s="1119">
        <f t="shared" si="13"/>
        <v>100</v>
      </c>
      <c r="V35" s="1118" t="s">
        <v>1358</v>
      </c>
      <c r="W35" s="1119">
        <f t="shared" si="14"/>
        <v>100</v>
      </c>
      <c r="X35" s="1113"/>
      <c r="Y35" s="3425" t="s">
        <v>1384</v>
      </c>
      <c r="Z35" s="1102" t="str">
        <f t="shared" si="15"/>
        <v>市政基础设施</v>
      </c>
      <c r="AA35" s="1102">
        <f t="shared" si="3"/>
        <v>1</v>
      </c>
      <c r="AB35" s="1102">
        <f t="shared" si="4"/>
        <v>1</v>
      </c>
      <c r="AC35" s="1102">
        <f t="shared" si="5"/>
        <v>1</v>
      </c>
    </row>
    <row r="36" spans="1:29" ht="15">
      <c r="A36" s="991"/>
      <c r="B36" s="940" t="s">
        <v>1397</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25"/>
      <c r="Q36" s="621" t="str">
        <f t="shared" si="11"/>
        <v>内部装修</v>
      </c>
      <c r="R36" s="1118" t="s">
        <v>1358</v>
      </c>
      <c r="S36" s="1119">
        <f t="shared" si="12"/>
        <v>100</v>
      </c>
      <c r="T36" s="1118" t="s">
        <v>1358</v>
      </c>
      <c r="U36" s="1119">
        <f t="shared" si="13"/>
        <v>100</v>
      </c>
      <c r="V36" s="1118" t="s">
        <v>1358</v>
      </c>
      <c r="W36" s="1119">
        <f t="shared" si="14"/>
        <v>100</v>
      </c>
      <c r="X36" s="1113"/>
      <c r="Y36" s="3425"/>
      <c r="Z36" s="1102" t="str">
        <f t="shared" si="15"/>
        <v>内部装修</v>
      </c>
      <c r="AA36" s="1102">
        <f t="shared" si="3"/>
        <v>1</v>
      </c>
      <c r="AB36" s="1102">
        <f t="shared" si="4"/>
        <v>1</v>
      </c>
      <c r="AC36" s="1102">
        <f t="shared" si="5"/>
        <v>1</v>
      </c>
    </row>
    <row r="37" spans="1:29" ht="15">
      <c r="A37" s="991"/>
      <c r="B37" s="940" t="s">
        <v>1634</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25"/>
      <c r="Q37" s="621" t="str">
        <f t="shared" si="11"/>
        <v>内部装修状况</v>
      </c>
      <c r="R37" s="1118" t="s">
        <v>1358</v>
      </c>
      <c r="S37" s="1119">
        <f t="shared" si="12"/>
        <v>100</v>
      </c>
      <c r="T37" s="1118" t="s">
        <v>1358</v>
      </c>
      <c r="U37" s="1119">
        <f t="shared" si="13"/>
        <v>100</v>
      </c>
      <c r="V37" s="1118" t="s">
        <v>1358</v>
      </c>
      <c r="W37" s="1119">
        <f t="shared" si="14"/>
        <v>100</v>
      </c>
      <c r="X37" s="1113"/>
      <c r="Y37" s="3425"/>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25"/>
      <c r="Q38" s="1308">
        <f t="shared" si="11"/>
        <v>111</v>
      </c>
      <c r="R38" s="1120" t="s">
        <v>1358</v>
      </c>
      <c r="S38" s="1121">
        <f t="shared" si="12"/>
        <v>100</v>
      </c>
      <c r="T38" s="1120" t="s">
        <v>1358</v>
      </c>
      <c r="U38" s="1121">
        <f t="shared" si="13"/>
        <v>100</v>
      </c>
      <c r="V38" s="1120" t="s">
        <v>1358</v>
      </c>
      <c r="W38" s="1121">
        <f t="shared" si="14"/>
        <v>100</v>
      </c>
      <c r="X38" s="1122"/>
      <c r="Y38" s="3425"/>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25"/>
      <c r="Q39" s="621">
        <f t="shared" si="11"/>
        <v>111</v>
      </c>
      <c r="R39" s="1118" t="s">
        <v>1358</v>
      </c>
      <c r="S39" s="1119">
        <f t="shared" si="12"/>
        <v>100</v>
      </c>
      <c r="T39" s="1118" t="s">
        <v>1358</v>
      </c>
      <c r="U39" s="1119">
        <f t="shared" si="13"/>
        <v>100</v>
      </c>
      <c r="V39" s="1118" t="s">
        <v>1358</v>
      </c>
      <c r="W39" s="1119">
        <f t="shared" si="14"/>
        <v>100</v>
      </c>
      <c r="X39" s="1113"/>
      <c r="Y39" s="3425"/>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26"/>
      <c r="Q40" s="621">
        <f t="shared" si="11"/>
        <v>111</v>
      </c>
      <c r="R40" s="1118" t="s">
        <v>1358</v>
      </c>
      <c r="S40" s="1119">
        <f t="shared" si="12"/>
        <v>100</v>
      </c>
      <c r="T40" s="1118" t="s">
        <v>1358</v>
      </c>
      <c r="U40" s="1119">
        <f t="shared" si="13"/>
        <v>100</v>
      </c>
      <c r="V40" s="1118" t="s">
        <v>1358</v>
      </c>
      <c r="W40" s="1119">
        <f t="shared" si="14"/>
        <v>100</v>
      </c>
      <c r="X40" s="1113"/>
      <c r="Y40" s="3426"/>
      <c r="Z40" s="1102">
        <f t="shared" si="15"/>
        <v>111</v>
      </c>
      <c r="AA40" s="1102">
        <f t="shared" si="3"/>
        <v>1</v>
      </c>
      <c r="AB40" s="1102">
        <f t="shared" si="4"/>
        <v>1</v>
      </c>
      <c r="AC40" s="1102">
        <f t="shared" si="5"/>
        <v>1</v>
      </c>
    </row>
    <row r="41" spans="1:29" ht="14.4">
      <c r="A41" s="998" t="s">
        <v>1400</v>
      </c>
      <c r="B41" s="1291"/>
      <c r="C41" s="1292" t="s">
        <v>124</v>
      </c>
      <c r="D41" s="1001"/>
      <c r="E41" s="1002"/>
      <c r="F41" s="1003"/>
      <c r="G41" s="1004"/>
      <c r="H41" s="1005"/>
      <c r="I41" s="1002"/>
      <c r="J41" s="1005"/>
      <c r="K41" s="1093"/>
      <c r="L41" s="1392"/>
      <c r="M41" s="1050"/>
      <c r="N41" s="1050"/>
      <c r="O41" s="1050"/>
      <c r="P41" s="3411" t="str">
        <f>A41</f>
        <v>成交单价（元/平方米）</v>
      </c>
      <c r="Q41" s="3411"/>
      <c r="R41" s="3409">
        <f>E41</f>
        <v>0</v>
      </c>
      <c r="S41" s="3409"/>
      <c r="T41" s="3409">
        <f>G41</f>
        <v>0</v>
      </c>
      <c r="U41" s="3409"/>
      <c r="V41" s="3409">
        <f>I41</f>
        <v>0</v>
      </c>
      <c r="W41" s="3409"/>
      <c r="X41" s="1055"/>
      <c r="Y41" s="1128"/>
      <c r="Z41" s="1055"/>
      <c r="AA41" s="1055"/>
      <c r="AB41" s="1055"/>
      <c r="AC41" s="1055"/>
    </row>
    <row r="42" spans="1:29" ht="14.4">
      <c r="A42" s="1006" t="s">
        <v>1401</v>
      </c>
      <c r="B42" s="1293"/>
      <c r="C42" s="1294" t="e">
        <f>R43</f>
        <v>#DIV/0!</v>
      </c>
      <c r="D42" s="1009" t="s">
        <v>1402</v>
      </c>
      <c r="E42" s="1295" t="e">
        <f>R42</f>
        <v>#DIV/0!</v>
      </c>
      <c r="F42" s="1010"/>
      <c r="G42" s="1294" t="e">
        <f>T42</f>
        <v>#DIV/0!</v>
      </c>
      <c r="H42" s="1010"/>
      <c r="I42" s="1295" t="e">
        <f>V42</f>
        <v>#DIV/0!</v>
      </c>
      <c r="J42" s="1010"/>
      <c r="K42" s="1095">
        <f>F42+H42+J42</f>
        <v>0</v>
      </c>
      <c r="L42" s="1392"/>
      <c r="M42" s="1050"/>
      <c r="N42" s="1050"/>
      <c r="O42" s="1050"/>
      <c r="P42" s="3411" t="str">
        <f>A42</f>
        <v>比较价值（元/平方米）</v>
      </c>
      <c r="Q42" s="3411"/>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1055"/>
      <c r="Y42" s="1055"/>
      <c r="Z42" s="1055"/>
      <c r="AA42" s="1055"/>
      <c r="AB42" s="1055"/>
      <c r="AC42" s="1055"/>
    </row>
    <row r="43" spans="1:29" ht="14.4">
      <c r="A43" s="1012" t="s">
        <v>1403</v>
      </c>
      <c r="B43" s="1013"/>
      <c r="C43" s="925" t="e">
        <f>R43</f>
        <v>#DIV/0!</v>
      </c>
      <c r="D43" s="925"/>
      <c r="E43" s="925"/>
      <c r="F43" s="925"/>
      <c r="G43" s="925"/>
      <c r="H43" s="925"/>
      <c r="I43" s="925"/>
      <c r="J43" s="925"/>
      <c r="K43" s="1096"/>
      <c r="L43" s="1392"/>
      <c r="M43" s="1050"/>
      <c r="N43" s="1050"/>
      <c r="O43" s="1050"/>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1407</v>
      </c>
      <c r="B51" s="1055"/>
      <c r="C51" s="1056"/>
      <c r="D51" s="1056"/>
      <c r="E51" s="1056"/>
      <c r="F51" s="1057"/>
      <c r="G51" s="1057"/>
      <c r="H51" s="1056"/>
      <c r="I51" s="1056"/>
      <c r="J51" s="1056"/>
      <c r="K51" s="1255"/>
      <c r="L51" s="1256"/>
      <c r="M51" s="1110"/>
      <c r="N51" s="1110"/>
      <c r="O51" s="1110"/>
      <c r="P51" s="1395"/>
      <c r="Q51" s="1396"/>
    </row>
    <row r="52" spans="1:17" s="904" customFormat="1" ht="14.4">
      <c r="A52" s="1297" t="s">
        <v>1356</v>
      </c>
      <c r="B52" s="1298"/>
      <c r="C52" s="1299" t="str">
        <f>YEAR(C7)&amp;"-"&amp;MONTH(C7)</f>
        <v>2025-7</v>
      </c>
      <c r="D52" s="1300">
        <f>EDATE(C52,-1)</f>
        <v>45809</v>
      </c>
      <c r="E52" s="1300">
        <f t="shared" ref="E52:O52" si="16">EDATE(D52,-1)</f>
        <v>45778</v>
      </c>
      <c r="F52" s="1300">
        <f t="shared" si="16"/>
        <v>45748</v>
      </c>
      <c r="G52" s="1300">
        <f t="shared" si="16"/>
        <v>45717</v>
      </c>
      <c r="H52" s="1300">
        <f t="shared" si="16"/>
        <v>45689</v>
      </c>
      <c r="I52" s="1300">
        <f t="shared" si="16"/>
        <v>45658</v>
      </c>
      <c r="J52" s="1300">
        <f t="shared" si="16"/>
        <v>45627</v>
      </c>
      <c r="K52" s="1300">
        <f t="shared" si="16"/>
        <v>45597</v>
      </c>
      <c r="L52" s="1300">
        <f t="shared" si="16"/>
        <v>45566</v>
      </c>
      <c r="M52" s="1300">
        <f t="shared" si="16"/>
        <v>45536</v>
      </c>
      <c r="N52" s="1300">
        <f t="shared" si="16"/>
        <v>45505</v>
      </c>
      <c r="O52" s="1300">
        <f t="shared" si="16"/>
        <v>45474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1408</v>
      </c>
      <c r="B54" s="1136"/>
      <c r="C54" s="1137"/>
      <c r="D54" s="1138"/>
      <c r="E54" s="1138"/>
      <c r="F54" s="1138"/>
      <c r="G54" s="1138"/>
      <c r="H54" s="1138"/>
      <c r="I54" s="1138"/>
      <c r="J54" s="1138"/>
      <c r="K54" s="1138"/>
      <c r="L54" s="1138"/>
      <c r="M54" s="1178"/>
      <c r="N54" s="1397"/>
      <c r="O54" s="1398"/>
      <c r="P54" s="1396"/>
      <c r="Q54" s="1396"/>
    </row>
    <row r="55" spans="1:17" s="899" customFormat="1" ht="14.4">
      <c r="A55" s="1139" t="s">
        <v>1359</v>
      </c>
      <c r="B55" s="1140"/>
      <c r="C55" s="1141" t="s">
        <v>1409</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1410</v>
      </c>
      <c r="B57" s="1145" t="s">
        <v>1363</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1366</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1367</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1368</v>
      </c>
      <c r="B70" s="1145" t="s">
        <v>1633</v>
      </c>
      <c r="C70" s="1165" t="s">
        <v>1416</v>
      </c>
      <c r="D70" s="1165" t="s">
        <v>1417</v>
      </c>
      <c r="E70" s="1165" t="s">
        <v>1418</v>
      </c>
      <c r="F70" s="1165" t="s">
        <v>1419</v>
      </c>
      <c r="G70" s="1165" t="s">
        <v>1420</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1372</v>
      </c>
      <c r="C72" s="1166" t="s">
        <v>1416</v>
      </c>
      <c r="D72" s="1166" t="s">
        <v>1417</v>
      </c>
      <c r="E72" s="1166" t="s">
        <v>1418</v>
      </c>
      <c r="F72" s="1166" t="s">
        <v>1419</v>
      </c>
      <c r="G72" s="1166" t="s">
        <v>1420</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1373</v>
      </c>
      <c r="C74" s="1166" t="s">
        <v>1416</v>
      </c>
      <c r="D74" s="1166" t="s">
        <v>1417</v>
      </c>
      <c r="E74" s="1166" t="s">
        <v>1418</v>
      </c>
      <c r="F74" s="1166" t="s">
        <v>1419</v>
      </c>
      <c r="G74" s="1166" t="s">
        <v>1420</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1375</v>
      </c>
      <c r="C76" s="1083" t="s">
        <v>1421</v>
      </c>
      <c r="D76" s="1083" t="s">
        <v>1422</v>
      </c>
      <c r="E76" s="1083" t="s">
        <v>1423</v>
      </c>
      <c r="F76" s="1083" t="s">
        <v>1424</v>
      </c>
      <c r="G76" s="1083" t="s">
        <v>1425</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1376</v>
      </c>
      <c r="C78" s="1166" t="s">
        <v>1416</v>
      </c>
      <c r="D78" s="1166" t="s">
        <v>1417</v>
      </c>
      <c r="E78" s="1166" t="s">
        <v>1418</v>
      </c>
      <c r="F78" s="1166" t="s">
        <v>1419</v>
      </c>
      <c r="G78" s="1166" t="s">
        <v>1420</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1381</v>
      </c>
      <c r="B88" s="1145" t="s">
        <v>1382</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1385</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1386</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1387</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1391</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1393</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1397</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1635</v>
      </c>
      <c r="C106" s="1166" t="s">
        <v>1416</v>
      </c>
      <c r="D106" s="1166" t="s">
        <v>1417</v>
      </c>
      <c r="E106" s="1166" t="s">
        <v>1418</v>
      </c>
      <c r="F106" s="1166" t="s">
        <v>1419</v>
      </c>
      <c r="G106" s="1166" t="s">
        <v>1420</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F7:F40 H7:H40 J7:J40">
    <cfRule type="cellIs" dxfId="125" priority="1" operator="notEqual">
      <formula>100</formula>
    </cfRule>
  </conditionalFormatting>
  <conditionalFormatting sqref="F42">
    <cfRule type="expression" dxfId="124" priority="4">
      <formula>$D$42="简单平均"</formula>
    </cfRule>
  </conditionalFormatting>
  <conditionalFormatting sqref="F46:F48 H46:H48">
    <cfRule type="containsText" dxfId="123" priority="17" stopIfTrue="1" operator="containsText" text="超过">
      <formula>NOT(ISERROR(SEARCH("超过",F46)))</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G48">
    <cfRule type="expression" dxfId="120" priority="13" stopIfTrue="1">
      <formula>$H$48="超过30%"</formula>
    </cfRule>
  </conditionalFormatting>
  <conditionalFormatting sqref="H42">
    <cfRule type="expression" dxfId="119" priority="3">
      <formula>$D$42="简单平均"</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J42">
    <cfRule type="expression" dxfId="115" priority="2">
      <formula>$D$42="简单平均"</formula>
    </cfRule>
  </conditionalFormatting>
  <conditionalFormatting sqref="J46:J48">
    <cfRule type="containsText" dxfId="11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46" t="s">
        <v>82</v>
      </c>
    </row>
    <row r="3" spans="1:1" ht="17.399999999999999">
      <c r="A3" s="3147" t="str">
        <f>项目基本情况!B5&amp;"："</f>
        <v>：</v>
      </c>
    </row>
    <row r="4" spans="1:1" ht="34.799999999999997">
      <c r="A4" s="3148" t="str">
        <f>"受贵公司委托，我公司对"&amp;项目基本情况!S1&amp;"进行了预评估。"</f>
        <v>受贵公司委托，我公司对北京市房地产抵押价值进行了预评估。</v>
      </c>
    </row>
    <row r="5" spans="1:1" ht="17.399999999999999">
      <c r="A5" s="3149" t="s">
        <v>83</v>
      </c>
    </row>
    <row r="6" spans="1:1" ht="17.399999999999999">
      <c r="A6" s="3150" t="s">
        <v>84</v>
      </c>
    </row>
    <row r="7" spans="1:1" ht="52.2">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估价对象为北京市房地产，为所有。根据《国有土地使用证》[]，估价对象（分摊）出让国有建设用地使用权面积为0平方米，建筑面积为885.63平方米。</v>
      </c>
    </row>
    <row r="8" spans="1:1" ht="54.6">
      <c r="A8" s="3151" t="s">
        <v>85</v>
      </c>
    </row>
    <row r="9" spans="1:1" ht="17.399999999999999">
      <c r="A9" s="3150" t="s">
        <v>86</v>
      </c>
    </row>
    <row r="10" spans="1:1" ht="69.599999999999994">
      <c r="A10" s="3148" t="str">
        <f>"估价对象为"&amp;项目基本情况!S2&amp;IF(结果表110!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估价对象为北京市房地产,属开发建设的办公项目，该项目尚在开发建设中。根据《国有土地使用证》[]，估价对象（分摊）出让国有建设用地使用权面积为0平方米，规划建筑面积为885.63平方米。</v>
      </c>
    </row>
    <row r="11" spans="1:1" ht="72">
      <c r="A11" s="3151" t="s">
        <v>87</v>
      </c>
    </row>
    <row r="12" spans="1:1" ht="17.399999999999999">
      <c r="A12" s="3149" t="s">
        <v>88</v>
      </c>
    </row>
    <row r="13" spans="1:1" ht="38.25" customHeight="1">
      <c r="A13" s="31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7" t="s">
        <v>89</v>
      </c>
    </row>
    <row r="15" spans="1:1" ht="17.399999999999999">
      <c r="A15" s="3152" t="str">
        <f>TEXT(项目基本情况!D3,"yyyy年m月d日;;")&amp;IF(项目基本情况!D3=项目基本情况!B3,"（评估专业人员实地查勘之日）","")</f>
        <v>2025年7月1日（评估专业人员实地查勘之日）</v>
      </c>
    </row>
    <row r="16" spans="1:1" ht="17.399999999999999">
      <c r="A16" s="3147" t="s">
        <v>90</v>
      </c>
    </row>
    <row r="17" spans="1:1" ht="69.599999999999994">
      <c r="A17" s="3148" t="s">
        <v>91</v>
      </c>
    </row>
    <row r="18" spans="1:1" ht="69.599999999999994">
      <c r="A18" s="31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9" spans="1:1" ht="157.5" customHeight="1">
      <c r="A19" s="31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48" t="str">
        <f>IF(项目基本情况!B9="房地产市场价值","——",IF(项目基本情况!E9="——","",定义!C57))</f>
        <v/>
      </c>
    </row>
    <row r="23" spans="1:1" ht="17.399999999999999">
      <c r="A23" s="3147" t="s">
        <v>92</v>
      </c>
    </row>
    <row r="24" spans="1:1" ht="17.399999999999999">
      <c r="A24" s="3122" t="str">
        <f>"本次评估采用的主估价方法为"&amp;结果表110!K4&amp;"和"&amp;结果表110!L4&amp;"。"</f>
        <v>本次评估采用的主估价方法为比较法和收益法。</v>
      </c>
    </row>
    <row r="25" spans="1:1" ht="17.399999999999999">
      <c r="A25" s="3122"/>
    </row>
    <row r="26" spans="1:1" ht="17.399999999999999">
      <c r="A26" s="3153"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1637</v>
      </c>
      <c r="C1" s="1262" t="s">
        <v>1341</v>
      </c>
      <c r="D1" s="1263"/>
      <c r="E1" s="1264"/>
      <c r="F1" s="1265"/>
      <c r="G1" s="1322" t="s">
        <v>1344</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997</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999</v>
      </c>
      <c r="B3" s="916" t="e">
        <f>IF(AND(C2="——",B37="元/平方米"),C39,ROUND(B2*10000/D3,0))</f>
        <v>#DIV/0!</v>
      </c>
      <c r="C3" s="1273" t="s">
        <v>1345</v>
      </c>
      <c r="D3" s="1274">
        <f>SUMIF('数据-汇总表'!$C19:$C33,D1,'数据-汇总表'!$E19:$E33)</f>
        <v>0</v>
      </c>
      <c r="E3" s="1273" t="s">
        <v>1638</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1346</v>
      </c>
      <c r="B4" s="919"/>
      <c r="C4" s="3432" t="s">
        <v>1347</v>
      </c>
      <c r="D4" s="3433"/>
      <c r="E4" s="3434" t="s">
        <v>1348</v>
      </c>
      <c r="F4" s="3435"/>
      <c r="G4" s="3432" t="s">
        <v>1349</v>
      </c>
      <c r="H4" s="3433"/>
      <c r="I4" s="3432" t="s">
        <v>1350</v>
      </c>
      <c r="J4" s="3433"/>
      <c r="K4" s="1064" t="s">
        <v>1351</v>
      </c>
      <c r="L4" s="1065"/>
      <c r="M4" s="1015"/>
      <c r="N4" s="1015"/>
      <c r="O4" s="1015"/>
      <c r="P4" s="3439" t="s">
        <v>1352</v>
      </c>
      <c r="Q4" s="3440"/>
      <c r="R4" s="3443" t="s">
        <v>1348</v>
      </c>
      <c r="S4" s="3444"/>
      <c r="T4" s="3443" t="s">
        <v>1349</v>
      </c>
      <c r="U4" s="3444"/>
      <c r="V4" s="3409" t="s">
        <v>1350</v>
      </c>
      <c r="W4" s="3409"/>
      <c r="X4" s="1113"/>
      <c r="Y4" s="3443" t="s">
        <v>1352</v>
      </c>
      <c r="Z4" s="3444"/>
      <c r="AA4" s="3438" t="s">
        <v>1348</v>
      </c>
      <c r="AB4" s="3391" t="s">
        <v>1349</v>
      </c>
      <c r="AC4" s="3438" t="s">
        <v>1350</v>
      </c>
    </row>
    <row r="5" spans="1:29">
      <c r="A5" s="922"/>
      <c r="B5" s="923"/>
      <c r="C5" s="3448" t="s">
        <v>1575</v>
      </c>
      <c r="D5" s="3437"/>
      <c r="E5" s="3472" t="s">
        <v>1576</v>
      </c>
      <c r="F5" s="3450"/>
      <c r="G5" s="3448" t="s">
        <v>1577</v>
      </c>
      <c r="H5" s="3437"/>
      <c r="I5" s="3448" t="s">
        <v>1353</v>
      </c>
      <c r="J5" s="3437"/>
      <c r="K5" s="1064"/>
      <c r="L5" s="1065"/>
      <c r="M5" s="1015"/>
      <c r="N5" s="1015"/>
      <c r="O5" s="1015"/>
      <c r="P5" s="3441"/>
      <c r="Q5" s="3399"/>
      <c r="R5" s="3404"/>
      <c r="S5" s="3405"/>
      <c r="T5" s="3404"/>
      <c r="U5" s="3405"/>
      <c r="V5" s="3409"/>
      <c r="W5" s="3409"/>
      <c r="X5" s="1113"/>
      <c r="Y5" s="3404"/>
      <c r="Z5" s="3405"/>
      <c r="AA5" s="3391"/>
      <c r="AB5" s="3391"/>
      <c r="AC5" s="3391"/>
    </row>
    <row r="6" spans="1:29" ht="14.4">
      <c r="A6" s="924"/>
      <c r="B6" s="925"/>
      <c r="C6" s="3427" t="s">
        <v>1354</v>
      </c>
      <c r="D6" s="3428"/>
      <c r="E6" s="3429" t="s">
        <v>1354</v>
      </c>
      <c r="F6" s="3430"/>
      <c r="G6" s="3427" t="s">
        <v>1354</v>
      </c>
      <c r="H6" s="3428"/>
      <c r="I6" s="3427" t="s">
        <v>1354</v>
      </c>
      <c r="J6" s="3428"/>
      <c r="K6" s="1064" t="s">
        <v>1355</v>
      </c>
      <c r="L6" s="1065"/>
      <c r="M6" s="1015"/>
      <c r="N6" s="1015"/>
      <c r="O6" s="1015"/>
      <c r="P6" s="3442"/>
      <c r="Q6" s="3401"/>
      <c r="R6" s="3404"/>
      <c r="S6" s="3405"/>
      <c r="T6" s="3406"/>
      <c r="U6" s="3407"/>
      <c r="V6" s="3409"/>
      <c r="W6" s="3409"/>
      <c r="X6" s="1113"/>
      <c r="Y6" s="3406"/>
      <c r="Z6" s="3407"/>
      <c r="AA6" s="3392"/>
      <c r="AB6" s="3392"/>
      <c r="AC6" s="3392"/>
    </row>
    <row r="7" spans="1:29" s="899" customFormat="1" ht="14.4">
      <c r="A7" s="927" t="s">
        <v>1356</v>
      </c>
      <c r="B7" s="928"/>
      <c r="C7" s="929">
        <f>'数据-取费表'!B2</f>
        <v>45839</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15" t="s">
        <v>1357</v>
      </c>
      <c r="Q7" s="3431"/>
      <c r="R7" s="1114" t="s">
        <v>1358</v>
      </c>
      <c r="S7" s="1115">
        <f t="shared" ref="S7:S14" si="0">F7</f>
        <v>0</v>
      </c>
      <c r="T7" s="1114" t="s">
        <v>1358</v>
      </c>
      <c r="U7" s="1115">
        <f t="shared" ref="U7:U14" si="1">H7</f>
        <v>0</v>
      </c>
      <c r="V7" s="1114" t="s">
        <v>1358</v>
      </c>
      <c r="W7" s="1115">
        <f t="shared" ref="W7:W14" si="2">J7</f>
        <v>0</v>
      </c>
      <c r="X7" s="1116"/>
      <c r="Y7" s="3415" t="s">
        <v>1357</v>
      </c>
      <c r="Z7" s="3416"/>
      <c r="AA7" s="1126" t="e">
        <f>D7/F7</f>
        <v>#DIV/0!</v>
      </c>
      <c r="AB7" s="1126" t="e">
        <f>D7/H7</f>
        <v>#DIV/0!</v>
      </c>
      <c r="AC7" s="1126" t="e">
        <f>D7/J7</f>
        <v>#DIV/0!</v>
      </c>
    </row>
    <row r="8" spans="1:29" s="899" customFormat="1" ht="14.4">
      <c r="A8" s="927" t="s">
        <v>1359</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15" t="s">
        <v>1361</v>
      </c>
      <c r="Q8" s="3416"/>
      <c r="R8" s="1114" t="s">
        <v>1358</v>
      </c>
      <c r="S8" s="1115">
        <f t="shared" si="0"/>
        <v>100</v>
      </c>
      <c r="T8" s="1114" t="s">
        <v>1358</v>
      </c>
      <c r="U8" s="1115">
        <f t="shared" si="1"/>
        <v>100</v>
      </c>
      <c r="V8" s="1114" t="s">
        <v>1358</v>
      </c>
      <c r="W8" s="1115">
        <f t="shared" si="2"/>
        <v>100</v>
      </c>
      <c r="X8" s="1116"/>
      <c r="Y8" s="3415" t="s">
        <v>1361</v>
      </c>
      <c r="Z8" s="3416"/>
      <c r="AA8" s="1126">
        <f t="shared" ref="AA8:AA36" si="3">D8/F8</f>
        <v>1</v>
      </c>
      <c r="AB8" s="1126">
        <f t="shared" ref="AB8:AB36" si="4">D8/H8</f>
        <v>1</v>
      </c>
      <c r="AC8" s="1126">
        <f t="shared" ref="AC8:AC36" si="5">D8/J8</f>
        <v>1</v>
      </c>
    </row>
    <row r="9" spans="1:29" s="899" customFormat="1" ht="14.4">
      <c r="A9" s="1324" t="s">
        <v>1362</v>
      </c>
      <c r="B9" s="1325" t="s">
        <v>1363</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11" t="s">
        <v>1364</v>
      </c>
      <c r="Q9" s="790" t="str">
        <f t="shared" ref="Q9:Q14" si="6">B9</f>
        <v>用途</v>
      </c>
      <c r="R9" s="1114" t="s">
        <v>1358</v>
      </c>
      <c r="S9" s="1115">
        <f t="shared" si="0"/>
        <v>100</v>
      </c>
      <c r="T9" s="1114" t="s">
        <v>1358</v>
      </c>
      <c r="U9" s="1115">
        <f t="shared" si="1"/>
        <v>100</v>
      </c>
      <c r="V9" s="1114" t="s">
        <v>1358</v>
      </c>
      <c r="W9" s="1115">
        <f t="shared" si="2"/>
        <v>100</v>
      </c>
      <c r="X9" s="1116"/>
      <c r="Y9" s="3297" t="s">
        <v>1365</v>
      </c>
      <c r="Z9" s="1126" t="str">
        <f t="shared" ref="Z9:Z14" si="7">Q9</f>
        <v>用途</v>
      </c>
      <c r="AA9" s="1126">
        <f t="shared" si="3"/>
        <v>1</v>
      </c>
      <c r="AB9" s="1126">
        <f t="shared" si="4"/>
        <v>1</v>
      </c>
      <c r="AC9" s="1126">
        <f t="shared" si="5"/>
        <v>1</v>
      </c>
    </row>
    <row r="10" spans="1:29" s="900" customFormat="1" ht="28.8">
      <c r="A10" s="1327"/>
      <c r="B10" s="1328" t="s">
        <v>1366</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11"/>
      <c r="Q10" s="790" t="str">
        <f t="shared" si="6"/>
        <v>土地使用年限（年）</v>
      </c>
      <c r="R10" s="1114" t="s">
        <v>1358</v>
      </c>
      <c r="S10" s="1115">
        <f t="shared" si="0"/>
        <v>100</v>
      </c>
      <c r="T10" s="1114" t="s">
        <v>1358</v>
      </c>
      <c r="U10" s="1115">
        <f t="shared" si="1"/>
        <v>100</v>
      </c>
      <c r="V10" s="1114" t="s">
        <v>1358</v>
      </c>
      <c r="W10" s="1115">
        <f t="shared" si="2"/>
        <v>100</v>
      </c>
      <c r="X10" s="1116"/>
      <c r="Y10" s="3297"/>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11"/>
      <c r="Q11" s="790">
        <f t="shared" si="6"/>
        <v>111</v>
      </c>
      <c r="R11" s="1114" t="s">
        <v>1358</v>
      </c>
      <c r="S11" s="1115">
        <f t="shared" si="0"/>
        <v>100</v>
      </c>
      <c r="T11" s="1114" t="s">
        <v>1358</v>
      </c>
      <c r="U11" s="1115">
        <f t="shared" si="1"/>
        <v>100</v>
      </c>
      <c r="V11" s="1114" t="s">
        <v>1358</v>
      </c>
      <c r="W11" s="1115">
        <f t="shared" si="2"/>
        <v>100</v>
      </c>
      <c r="X11" s="1116"/>
      <c r="Y11" s="3297"/>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11"/>
      <c r="Q12" s="790">
        <f t="shared" si="6"/>
        <v>111</v>
      </c>
      <c r="R12" s="1114" t="s">
        <v>1358</v>
      </c>
      <c r="S12" s="1115">
        <f t="shared" si="0"/>
        <v>100</v>
      </c>
      <c r="T12" s="1114" t="s">
        <v>1358</v>
      </c>
      <c r="U12" s="1115">
        <f t="shared" si="1"/>
        <v>100</v>
      </c>
      <c r="V12" s="1114" t="s">
        <v>1358</v>
      </c>
      <c r="W12" s="1115">
        <f t="shared" si="2"/>
        <v>100</v>
      </c>
      <c r="X12" s="1116"/>
      <c r="Y12" s="3297"/>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11"/>
      <c r="Q13" s="790">
        <f t="shared" si="6"/>
        <v>111</v>
      </c>
      <c r="R13" s="1114" t="s">
        <v>1358</v>
      </c>
      <c r="S13" s="1115">
        <f t="shared" si="0"/>
        <v>100</v>
      </c>
      <c r="T13" s="1114" t="s">
        <v>1358</v>
      </c>
      <c r="U13" s="1115">
        <f t="shared" si="1"/>
        <v>100</v>
      </c>
      <c r="V13" s="1114" t="s">
        <v>1358</v>
      </c>
      <c r="W13" s="1115">
        <f t="shared" si="2"/>
        <v>100</v>
      </c>
      <c r="X13" s="1116"/>
      <c r="Y13" s="3297"/>
      <c r="Z13" s="1126">
        <f t="shared" si="7"/>
        <v>111</v>
      </c>
      <c r="AA13" s="1126">
        <f t="shared" si="3"/>
        <v>1</v>
      </c>
      <c r="AB13" s="1126">
        <f t="shared" si="4"/>
        <v>1</v>
      </c>
      <c r="AC13" s="1126">
        <f t="shared" si="5"/>
        <v>1</v>
      </c>
    </row>
    <row r="14" spans="1:29" ht="15">
      <c r="A14" s="918" t="s">
        <v>1368</v>
      </c>
      <c r="B14" s="957" t="s">
        <v>1372</v>
      </c>
      <c r="C14" s="958" t="str">
        <f>IF(B1="工业",估价对象房地状况!G4,估价对象房地状况!C6)</f>
        <v>一般</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23" t="s">
        <v>1370</v>
      </c>
      <c r="Q14" s="621" t="str">
        <f t="shared" si="6"/>
        <v>交通便捷度</v>
      </c>
      <c r="R14" s="1118" t="s">
        <v>1358</v>
      </c>
      <c r="S14" s="1119">
        <f t="shared" si="0"/>
        <v>100</v>
      </c>
      <c r="T14" s="1118" t="s">
        <v>1358</v>
      </c>
      <c r="U14" s="1119">
        <f t="shared" si="1"/>
        <v>100</v>
      </c>
      <c r="V14" s="1118" t="s">
        <v>1358</v>
      </c>
      <c r="W14" s="1119">
        <f t="shared" si="2"/>
        <v>100</v>
      </c>
      <c r="X14" s="1113"/>
      <c r="Y14" s="3423" t="s">
        <v>1370</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24"/>
      <c r="Q15" s="621"/>
      <c r="R15" s="1118"/>
      <c r="S15" s="1119"/>
      <c r="T15" s="1118"/>
      <c r="U15" s="1119"/>
      <c r="V15" s="1118"/>
      <c r="W15" s="1119"/>
      <c r="X15" s="1113"/>
      <c r="Y15" s="3424"/>
      <c r="Z15" s="1102"/>
      <c r="AA15" s="1102">
        <v>1</v>
      </c>
      <c r="AB15" s="1102">
        <v>1</v>
      </c>
      <c r="AC15" s="1102">
        <v>1</v>
      </c>
    </row>
    <row r="16" spans="1:29" ht="15">
      <c r="A16" s="922"/>
      <c r="B16" s="966" t="s">
        <v>1373</v>
      </c>
      <c r="C16" s="967" t="str">
        <f>IF(B1="工业",估价对象房地状况!G5,估价对象房地状况!C7)</f>
        <v>一般</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24"/>
      <c r="Q16" s="621" t="str">
        <f>B16</f>
        <v>公共配套设施</v>
      </c>
      <c r="R16" s="1118" t="s">
        <v>1358</v>
      </c>
      <c r="S16" s="1119">
        <f>F16</f>
        <v>100</v>
      </c>
      <c r="T16" s="1118" t="s">
        <v>1358</v>
      </c>
      <c r="U16" s="1119">
        <f>H16</f>
        <v>100</v>
      </c>
      <c r="V16" s="1118" t="s">
        <v>1358</v>
      </c>
      <c r="W16" s="1119">
        <f>J16</f>
        <v>100</v>
      </c>
      <c r="X16" s="1113"/>
      <c r="Y16" s="3424"/>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24"/>
      <c r="Q17" s="621"/>
      <c r="R17" s="1118"/>
      <c r="S17" s="1119"/>
      <c r="T17" s="1118"/>
      <c r="U17" s="1119"/>
      <c r="V17" s="1118"/>
      <c r="W17" s="1119"/>
      <c r="X17" s="1113"/>
      <c r="Y17" s="3424"/>
      <c r="Z17" s="1102"/>
      <c r="AA17" s="1102">
        <v>1</v>
      </c>
      <c r="AB17" s="1102">
        <v>1</v>
      </c>
      <c r="AC17" s="1102">
        <v>1</v>
      </c>
    </row>
    <row r="18" spans="1:29" ht="15">
      <c r="A18" s="922"/>
      <c r="B18" s="973" t="s">
        <v>1375</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24"/>
      <c r="Q18" s="621" t="str">
        <f>B18</f>
        <v>基础设施水平</v>
      </c>
      <c r="R18" s="1118" t="s">
        <v>1358</v>
      </c>
      <c r="S18" s="1119">
        <f>F18</f>
        <v>100</v>
      </c>
      <c r="T18" s="1118" t="s">
        <v>1358</v>
      </c>
      <c r="U18" s="1119">
        <f>H18</f>
        <v>100</v>
      </c>
      <c r="V18" s="1118" t="s">
        <v>1358</v>
      </c>
      <c r="W18" s="1119">
        <f>J18</f>
        <v>100</v>
      </c>
      <c r="X18" s="1113"/>
      <c r="Y18" s="3424"/>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24"/>
      <c r="Q19" s="621"/>
      <c r="R19" s="1118"/>
      <c r="S19" s="1119"/>
      <c r="T19" s="1118"/>
      <c r="U19" s="1119"/>
      <c r="V19" s="1118"/>
      <c r="W19" s="1119"/>
      <c r="X19" s="1113"/>
      <c r="Y19" s="3424"/>
      <c r="Z19" s="1102"/>
      <c r="AA19" s="1102">
        <v>1</v>
      </c>
      <c r="AB19" s="1102">
        <v>1</v>
      </c>
      <c r="AC19" s="1102">
        <v>1</v>
      </c>
    </row>
    <row r="20" spans="1:29" ht="15">
      <c r="A20" s="922"/>
      <c r="B20" s="966" t="s">
        <v>1579</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24"/>
      <c r="Q20" s="621" t="str">
        <f>B20</f>
        <v>自然及人文环境</v>
      </c>
      <c r="R20" s="1118" t="s">
        <v>1358</v>
      </c>
      <c r="S20" s="1119">
        <f>F20</f>
        <v>100</v>
      </c>
      <c r="T20" s="1118" t="s">
        <v>1358</v>
      </c>
      <c r="U20" s="1119">
        <f>H20</f>
        <v>100</v>
      </c>
      <c r="V20" s="1118" t="s">
        <v>1358</v>
      </c>
      <c r="W20" s="1119">
        <f>J20</f>
        <v>100</v>
      </c>
      <c r="X20" s="1113"/>
      <c r="Y20" s="3424"/>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24"/>
      <c r="Q21" s="621"/>
      <c r="R21" s="1118"/>
      <c r="S21" s="1119"/>
      <c r="T21" s="1118"/>
      <c r="U21" s="1119"/>
      <c r="V21" s="1118"/>
      <c r="W21" s="1119"/>
      <c r="X21" s="1113"/>
      <c r="Y21" s="3424"/>
      <c r="Z21" s="1102"/>
      <c r="AA21" s="1102">
        <v>1</v>
      </c>
      <c r="AB21" s="1102">
        <v>1</v>
      </c>
      <c r="AC21" s="1102">
        <v>1</v>
      </c>
    </row>
    <row r="22" spans="1:29" ht="15">
      <c r="A22" s="922"/>
      <c r="B22" s="966" t="s">
        <v>1378</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24"/>
      <c r="Q22" s="621" t="str">
        <f>B22</f>
        <v>楼层</v>
      </c>
      <c r="R22" s="1118" t="s">
        <v>1358</v>
      </c>
      <c r="S22" s="1119">
        <f>F22</f>
        <v>100</v>
      </c>
      <c r="T22" s="1118" t="s">
        <v>1358</v>
      </c>
      <c r="U22" s="1119">
        <f>H22</f>
        <v>100</v>
      </c>
      <c r="V22" s="1118" t="s">
        <v>1358</v>
      </c>
      <c r="W22" s="1119">
        <f>J22</f>
        <v>100</v>
      </c>
      <c r="X22" s="1113"/>
      <c r="Y22" s="3424"/>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24"/>
      <c r="Q23" s="621">
        <f>B23</f>
        <v>111</v>
      </c>
      <c r="R23" s="1118" t="s">
        <v>1358</v>
      </c>
      <c r="S23" s="1119">
        <f>F23</f>
        <v>100</v>
      </c>
      <c r="T23" s="1118" t="s">
        <v>1358</v>
      </c>
      <c r="U23" s="1119">
        <f>H23</f>
        <v>100</v>
      </c>
      <c r="V23" s="1118" t="s">
        <v>1358</v>
      </c>
      <c r="W23" s="1119">
        <f>J23</f>
        <v>100</v>
      </c>
      <c r="X23" s="1113"/>
      <c r="Y23" s="3424"/>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24"/>
      <c r="Q24" s="621">
        <f t="shared" ref="Q24:Q36" si="11">B24</f>
        <v>111</v>
      </c>
      <c r="R24" s="1118" t="s">
        <v>1358</v>
      </c>
      <c r="S24" s="1119">
        <f>F24</f>
        <v>100</v>
      </c>
      <c r="T24" s="1118" t="s">
        <v>1358</v>
      </c>
      <c r="U24" s="1119">
        <f>H24</f>
        <v>100</v>
      </c>
      <c r="V24" s="1118" t="s">
        <v>1358</v>
      </c>
      <c r="W24" s="1119">
        <f>J24</f>
        <v>100</v>
      </c>
      <c r="X24" s="1113"/>
      <c r="Y24" s="3424"/>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24"/>
      <c r="Q25" s="790">
        <f t="shared" si="11"/>
        <v>111</v>
      </c>
      <c r="R25" s="1114" t="s">
        <v>1358</v>
      </c>
      <c r="S25" s="1115">
        <f>F25</f>
        <v>100</v>
      </c>
      <c r="T25" s="1114" t="s">
        <v>1358</v>
      </c>
      <c r="U25" s="1115">
        <f>H25</f>
        <v>100</v>
      </c>
      <c r="V25" s="1114" t="s">
        <v>1358</v>
      </c>
      <c r="W25" s="1115">
        <f>J25</f>
        <v>100</v>
      </c>
      <c r="X25" s="1116"/>
      <c r="Y25" s="3424"/>
      <c r="Z25" s="1126">
        <f>Q25</f>
        <v>111</v>
      </c>
      <c r="AA25" s="1102">
        <f t="shared" si="3"/>
        <v>1</v>
      </c>
      <c r="AB25" s="1102">
        <f t="shared" si="4"/>
        <v>1</v>
      </c>
      <c r="AC25" s="1102">
        <f t="shared" si="5"/>
        <v>1</v>
      </c>
    </row>
    <row r="26" spans="1:29" ht="30">
      <c r="A26" s="1339" t="s">
        <v>1381</v>
      </c>
      <c r="B26" s="938" t="s">
        <v>1639</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79" t="s">
        <v>1384</v>
      </c>
      <c r="Q26" s="621" t="str">
        <f t="shared" si="11"/>
        <v>配套类型</v>
      </c>
      <c r="R26" s="1118" t="s">
        <v>1358</v>
      </c>
      <c r="S26" s="1119">
        <f t="shared" ref="S26:S36" si="12">F26</f>
        <v>0</v>
      </c>
      <c r="T26" s="1118" t="s">
        <v>1358</v>
      </c>
      <c r="U26" s="1119">
        <f t="shared" ref="U26:U36" si="13">H26</f>
        <v>0</v>
      </c>
      <c r="V26" s="1118" t="s">
        <v>1358</v>
      </c>
      <c r="W26" s="1119">
        <f t="shared" ref="W26:W36" si="14">J26</f>
        <v>0</v>
      </c>
      <c r="X26" s="1113"/>
      <c r="Y26" s="3425" t="s">
        <v>1384</v>
      </c>
      <c r="Z26" s="1102" t="str">
        <f t="shared" ref="Z26:Z36" si="15">Q26</f>
        <v>配套类型</v>
      </c>
      <c r="AA26" s="1102" t="e">
        <f t="shared" si="3"/>
        <v>#DIV/0!</v>
      </c>
      <c r="AB26" s="1102" t="e">
        <f t="shared" si="4"/>
        <v>#DIV/0!</v>
      </c>
      <c r="AC26" s="1102" t="e">
        <f t="shared" si="5"/>
        <v>#DIV/0!</v>
      </c>
    </row>
    <row r="27" spans="1:29" s="901" customFormat="1" ht="15">
      <c r="A27" s="1341"/>
      <c r="B27" s="942" t="s">
        <v>1640</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25"/>
      <c r="Q27" s="1308" t="str">
        <f t="shared" si="11"/>
        <v>项目停车位配比</v>
      </c>
      <c r="R27" s="1120" t="s">
        <v>1358</v>
      </c>
      <c r="S27" s="1121">
        <f t="shared" si="12"/>
        <v>100</v>
      </c>
      <c r="T27" s="1120" t="s">
        <v>1358</v>
      </c>
      <c r="U27" s="1121">
        <f t="shared" si="13"/>
        <v>100</v>
      </c>
      <c r="V27" s="1120" t="s">
        <v>1358</v>
      </c>
      <c r="W27" s="1121">
        <f t="shared" si="14"/>
        <v>100</v>
      </c>
      <c r="X27" s="1122"/>
      <c r="Y27" s="3425"/>
      <c r="Z27" s="1127" t="str">
        <f t="shared" si="15"/>
        <v>项目停车位配比</v>
      </c>
      <c r="AA27" s="1102">
        <f t="shared" si="3"/>
        <v>1</v>
      </c>
      <c r="AB27" s="1102">
        <f t="shared" si="4"/>
        <v>1</v>
      </c>
      <c r="AC27" s="1102">
        <f t="shared" si="5"/>
        <v>1</v>
      </c>
    </row>
    <row r="28" spans="1:29" ht="15">
      <c r="A28" s="1343"/>
      <c r="B28" s="942" t="s">
        <v>1387</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25"/>
      <c r="Q28" s="621" t="str">
        <f t="shared" si="11"/>
        <v>公共部分装修</v>
      </c>
      <c r="R28" s="1118" t="s">
        <v>1358</v>
      </c>
      <c r="S28" s="1119">
        <f t="shared" si="12"/>
        <v>100</v>
      </c>
      <c r="T28" s="1118" t="s">
        <v>1358</v>
      </c>
      <c r="U28" s="1119">
        <f t="shared" si="13"/>
        <v>100</v>
      </c>
      <c r="V28" s="1118" t="s">
        <v>1358</v>
      </c>
      <c r="W28" s="1119">
        <f t="shared" si="14"/>
        <v>100</v>
      </c>
      <c r="X28" s="1113"/>
      <c r="Y28" s="3425"/>
      <c r="Z28" s="1102" t="str">
        <f t="shared" si="15"/>
        <v>公共部分装修</v>
      </c>
      <c r="AA28" s="1102">
        <f t="shared" si="3"/>
        <v>1</v>
      </c>
      <c r="AB28" s="1102">
        <f t="shared" si="4"/>
        <v>1</v>
      </c>
      <c r="AC28" s="1102">
        <f t="shared" si="5"/>
        <v>1</v>
      </c>
    </row>
    <row r="29" spans="1:29" ht="15">
      <c r="A29" s="1343"/>
      <c r="B29" s="942" t="s">
        <v>1641</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25"/>
      <c r="Q29" s="621" t="str">
        <f t="shared" si="11"/>
        <v>成新率</v>
      </c>
      <c r="R29" s="1118" t="s">
        <v>1358</v>
      </c>
      <c r="S29" s="1119" t="e">
        <f t="shared" si="12"/>
        <v>#N/A</v>
      </c>
      <c r="T29" s="1118" t="s">
        <v>1358</v>
      </c>
      <c r="U29" s="1119" t="e">
        <f t="shared" si="13"/>
        <v>#N/A</v>
      </c>
      <c r="V29" s="1118" t="s">
        <v>1358</v>
      </c>
      <c r="W29" s="1119" t="e">
        <f t="shared" si="14"/>
        <v>#N/A</v>
      </c>
      <c r="X29" s="1113"/>
      <c r="Y29" s="3425"/>
      <c r="Z29" s="1102" t="str">
        <f t="shared" si="15"/>
        <v>成新率</v>
      </c>
      <c r="AA29" s="1102" t="e">
        <f t="shared" si="3"/>
        <v>#N/A</v>
      </c>
      <c r="AB29" s="1102" t="e">
        <f t="shared" si="4"/>
        <v>#N/A</v>
      </c>
      <c r="AC29" s="1102" t="e">
        <f t="shared" si="5"/>
        <v>#N/A</v>
      </c>
    </row>
    <row r="30" spans="1:29" ht="15">
      <c r="A30" s="1343"/>
      <c r="B30" s="942" t="s">
        <v>1642</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25"/>
      <c r="Q30" s="621" t="str">
        <f t="shared" si="11"/>
        <v>物业等级</v>
      </c>
      <c r="R30" s="1118" t="s">
        <v>1358</v>
      </c>
      <c r="S30" s="1119">
        <f t="shared" si="12"/>
        <v>100</v>
      </c>
      <c r="T30" s="1118" t="s">
        <v>1358</v>
      </c>
      <c r="U30" s="1119">
        <f t="shared" si="13"/>
        <v>100</v>
      </c>
      <c r="V30" s="1118" t="s">
        <v>1358</v>
      </c>
      <c r="W30" s="1119">
        <f t="shared" si="14"/>
        <v>100</v>
      </c>
      <c r="X30" s="1113"/>
      <c r="Y30" s="3425"/>
      <c r="Z30" s="1102" t="str">
        <f t="shared" si="15"/>
        <v>物业等级</v>
      </c>
      <c r="AA30" s="1102">
        <f t="shared" si="3"/>
        <v>1</v>
      </c>
      <c r="AB30" s="1102">
        <f t="shared" si="4"/>
        <v>1</v>
      </c>
      <c r="AC30" s="1102">
        <f t="shared" si="5"/>
        <v>1</v>
      </c>
    </row>
    <row r="31" spans="1:29" s="899" customFormat="1" ht="15">
      <c r="A31" s="1344"/>
      <c r="B31" s="942" t="s">
        <v>1643</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25"/>
      <c r="Q31" s="790" t="str">
        <f t="shared" si="11"/>
        <v>停车位面积</v>
      </c>
      <c r="R31" s="1114" t="s">
        <v>1358</v>
      </c>
      <c r="S31" s="1115" t="e">
        <f t="shared" si="12"/>
        <v>#N/A</v>
      </c>
      <c r="T31" s="1114" t="s">
        <v>1358</v>
      </c>
      <c r="U31" s="1115" t="e">
        <f t="shared" si="13"/>
        <v>#N/A</v>
      </c>
      <c r="V31" s="1114" t="s">
        <v>1358</v>
      </c>
      <c r="W31" s="1115" t="e">
        <f t="shared" si="14"/>
        <v>#N/A</v>
      </c>
      <c r="X31" s="1116"/>
      <c r="Y31" s="3425"/>
      <c r="Z31" s="1126" t="str">
        <f t="shared" si="15"/>
        <v>停车位面积</v>
      </c>
      <c r="AA31" s="1126" t="e">
        <f t="shared" si="3"/>
        <v>#N/A</v>
      </c>
      <c r="AB31" s="1126" t="e">
        <f t="shared" si="4"/>
        <v>#N/A</v>
      </c>
      <c r="AC31" s="1126" t="e">
        <f t="shared" si="5"/>
        <v>#N/A</v>
      </c>
    </row>
    <row r="32" spans="1:29" ht="15">
      <c r="A32" s="1343"/>
      <c r="B32" s="942" t="s">
        <v>1644</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25" t="s">
        <v>1384</v>
      </c>
      <c r="Q32" s="621" t="str">
        <f t="shared" si="11"/>
        <v>车位类型</v>
      </c>
      <c r="R32" s="1118" t="s">
        <v>1358</v>
      </c>
      <c r="S32" s="1119">
        <f t="shared" si="12"/>
        <v>100</v>
      </c>
      <c r="T32" s="1118" t="s">
        <v>1358</v>
      </c>
      <c r="U32" s="1119">
        <f t="shared" si="13"/>
        <v>100</v>
      </c>
      <c r="V32" s="1118" t="s">
        <v>1358</v>
      </c>
      <c r="W32" s="1119">
        <f t="shared" si="14"/>
        <v>100</v>
      </c>
      <c r="X32" s="1113"/>
      <c r="Y32" s="3425" t="s">
        <v>1384</v>
      </c>
      <c r="Z32" s="1102" t="str">
        <f t="shared" si="15"/>
        <v>车位类型</v>
      </c>
      <c r="AA32" s="1102">
        <f t="shared" si="3"/>
        <v>1</v>
      </c>
      <c r="AB32" s="1102">
        <f t="shared" si="4"/>
        <v>1</v>
      </c>
      <c r="AC32" s="1102">
        <f t="shared" si="5"/>
        <v>1</v>
      </c>
    </row>
    <row r="33" spans="1:29" ht="15">
      <c r="A33" s="1343"/>
      <c r="B33" s="942" t="s">
        <v>1645</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25"/>
      <c r="Q33" s="621" t="str">
        <f t="shared" si="11"/>
        <v>是否直接入户</v>
      </c>
      <c r="R33" s="1118" t="s">
        <v>1358</v>
      </c>
      <c r="S33" s="1119">
        <f t="shared" si="12"/>
        <v>100</v>
      </c>
      <c r="T33" s="1118" t="s">
        <v>1358</v>
      </c>
      <c r="U33" s="1119">
        <f t="shared" si="13"/>
        <v>100</v>
      </c>
      <c r="V33" s="1118" t="s">
        <v>1358</v>
      </c>
      <c r="W33" s="1119">
        <f t="shared" si="14"/>
        <v>100</v>
      </c>
      <c r="X33" s="1113"/>
      <c r="Y33" s="3425"/>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25"/>
      <c r="Q34" s="621">
        <f t="shared" si="11"/>
        <v>111</v>
      </c>
      <c r="R34" s="1118" t="s">
        <v>1358</v>
      </c>
      <c r="S34" s="1119">
        <f t="shared" si="12"/>
        <v>100</v>
      </c>
      <c r="T34" s="1118" t="s">
        <v>1358</v>
      </c>
      <c r="U34" s="1119">
        <f t="shared" si="13"/>
        <v>100</v>
      </c>
      <c r="V34" s="1118" t="s">
        <v>1358</v>
      </c>
      <c r="W34" s="1119">
        <f t="shared" si="14"/>
        <v>100</v>
      </c>
      <c r="X34" s="1113"/>
      <c r="Y34" s="3425"/>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25"/>
      <c r="Q35" s="1308">
        <f t="shared" si="11"/>
        <v>111</v>
      </c>
      <c r="R35" s="1120" t="s">
        <v>1358</v>
      </c>
      <c r="S35" s="1121">
        <f t="shared" si="12"/>
        <v>100</v>
      </c>
      <c r="T35" s="1120" t="s">
        <v>1358</v>
      </c>
      <c r="U35" s="1121">
        <f t="shared" si="13"/>
        <v>100</v>
      </c>
      <c r="V35" s="1120" t="s">
        <v>1358</v>
      </c>
      <c r="W35" s="1121">
        <f t="shared" si="14"/>
        <v>100</v>
      </c>
      <c r="X35" s="1122"/>
      <c r="Y35" s="3425"/>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25"/>
      <c r="Q36" s="621">
        <f t="shared" si="11"/>
        <v>111</v>
      </c>
      <c r="R36" s="1118" t="s">
        <v>1358</v>
      </c>
      <c r="S36" s="1119">
        <f t="shared" si="12"/>
        <v>100</v>
      </c>
      <c r="T36" s="1118" t="s">
        <v>1358</v>
      </c>
      <c r="U36" s="1119">
        <f t="shared" si="13"/>
        <v>100</v>
      </c>
      <c r="V36" s="1118" t="s">
        <v>1358</v>
      </c>
      <c r="W36" s="1119">
        <f t="shared" si="14"/>
        <v>100</v>
      </c>
      <c r="X36" s="1113"/>
      <c r="Y36" s="3425"/>
      <c r="Z36" s="1102">
        <f t="shared" si="15"/>
        <v>111</v>
      </c>
      <c r="AA36" s="1102">
        <f t="shared" si="3"/>
        <v>1</v>
      </c>
      <c r="AB36" s="1102">
        <f t="shared" si="4"/>
        <v>1</v>
      </c>
      <c r="AC36" s="1102">
        <f t="shared" si="5"/>
        <v>1</v>
      </c>
    </row>
    <row r="37" spans="1:29" ht="14.4">
      <c r="A37" s="998" t="s">
        <v>1646</v>
      </c>
      <c r="B37" s="1346" t="s">
        <v>1647</v>
      </c>
      <c r="C37" s="1292" t="s">
        <v>124</v>
      </c>
      <c r="D37" s="1001"/>
      <c r="E37" s="1002"/>
      <c r="F37" s="1003"/>
      <c r="G37" s="1004"/>
      <c r="H37" s="1005"/>
      <c r="I37" s="1002"/>
      <c r="J37" s="1005"/>
      <c r="K37" s="1355"/>
      <c r="L37" s="1094"/>
      <c r="M37" s="1015"/>
      <c r="N37" s="1015"/>
      <c r="O37" s="1015"/>
      <c r="P37" s="3411" t="str">
        <f>A37</f>
        <v>成交单价</v>
      </c>
      <c r="Q37" s="3411"/>
      <c r="R37" s="3409">
        <f>E37</f>
        <v>0</v>
      </c>
      <c r="S37" s="3409"/>
      <c r="T37" s="3409">
        <f>G37</f>
        <v>0</v>
      </c>
      <c r="U37" s="3409"/>
      <c r="V37" s="3409">
        <f>I37</f>
        <v>0</v>
      </c>
      <c r="W37" s="3409"/>
      <c r="X37" s="1055"/>
      <c r="Y37" s="1128"/>
      <c r="Z37" s="1055"/>
      <c r="AA37" s="1055"/>
      <c r="AB37" s="1055"/>
      <c r="AC37" s="1055"/>
    </row>
    <row r="38" spans="1:29" ht="14.4">
      <c r="A38" s="1006" t="s">
        <v>1401</v>
      </c>
      <c r="B38" s="1293" t="str">
        <f>B37</f>
        <v>元/平方米</v>
      </c>
      <c r="C38" s="1294" t="e">
        <f>R39</f>
        <v>#DIV/0!</v>
      </c>
      <c r="D38" s="1009" t="s">
        <v>1402</v>
      </c>
      <c r="E38" s="1295" t="e">
        <f>R38</f>
        <v>#DIV/0!</v>
      </c>
      <c r="F38" s="1010"/>
      <c r="G38" s="1294" t="e">
        <f>T38</f>
        <v>#DIV/0!</v>
      </c>
      <c r="H38" s="1010"/>
      <c r="I38" s="1295" t="e">
        <f>V38</f>
        <v>#DIV/0!</v>
      </c>
      <c r="J38" s="1010"/>
      <c r="K38" s="1095">
        <f>F38+H38+J38</f>
        <v>0</v>
      </c>
      <c r="L38" s="1094"/>
      <c r="M38" s="1015"/>
      <c r="N38" s="1015"/>
      <c r="O38" s="1015"/>
      <c r="P38" s="3411" t="str">
        <f>A38</f>
        <v>比较价值（元/平方米）</v>
      </c>
      <c r="Q38" s="3411"/>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1055"/>
      <c r="Y38" s="1055"/>
      <c r="Z38" s="1055"/>
      <c r="AA38" s="1055"/>
      <c r="AB38" s="1055"/>
      <c r="AC38" s="1055"/>
    </row>
    <row r="39" spans="1:29" ht="14.4">
      <c r="A39" s="1012" t="s">
        <v>1648</v>
      </c>
      <c r="B39" s="1013"/>
      <c r="C39" s="925" t="e">
        <f>R39</f>
        <v>#DIV/0!</v>
      </c>
      <c r="D39" s="925"/>
      <c r="E39" s="925"/>
      <c r="F39" s="925"/>
      <c r="G39" s="925"/>
      <c r="H39" s="925"/>
      <c r="I39" s="925"/>
      <c r="J39" s="925"/>
      <c r="K39" s="1356"/>
      <c r="L39" s="1094"/>
      <c r="M39" s="1015"/>
      <c r="N39" s="1015"/>
      <c r="O39" s="1015"/>
      <c r="P39" s="3445" t="str">
        <f>A39</f>
        <v>估价对象XX用房的比较价值（楼面单价，元/平方米）</v>
      </c>
      <c r="Q39" s="3446"/>
      <c r="R39" s="3480" t="e">
        <f>IF(F1="售价",ROUND(IF(D38="简单平均",AVERAGE(R38:W38),R38*F38+T38*H38+V38*J38),0),ROUND(IF(D38="简单平均",AVERAGE(R38:V38),R38*F38+T38*H38+V38*J38),1))</f>
        <v>#DIV/0!</v>
      </c>
      <c r="S39" s="3480"/>
      <c r="T39" s="3480"/>
      <c r="U39" s="3480"/>
      <c r="V39" s="3480"/>
      <c r="W39" s="3480"/>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1404</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1405</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1406</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1407</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1356</v>
      </c>
      <c r="B48" s="1298"/>
      <c r="C48" s="1299" t="str">
        <f>YEAR(C7)&amp;"-"&amp;MONTH(C7)</f>
        <v>2025-7</v>
      </c>
      <c r="D48" s="1300">
        <f>EDATE(C48,-1)</f>
        <v>45809</v>
      </c>
      <c r="E48" s="1300">
        <f t="shared" ref="E48:O48" si="16">EDATE(D48,-1)</f>
        <v>45778</v>
      </c>
      <c r="F48" s="1300">
        <f t="shared" si="16"/>
        <v>45748</v>
      </c>
      <c r="G48" s="1300">
        <f t="shared" si="16"/>
        <v>45717</v>
      </c>
      <c r="H48" s="1300">
        <f t="shared" si="16"/>
        <v>45689</v>
      </c>
      <c r="I48" s="1300">
        <f t="shared" si="16"/>
        <v>45658</v>
      </c>
      <c r="J48" s="1300">
        <f t="shared" si="16"/>
        <v>45627</v>
      </c>
      <c r="K48" s="1300">
        <f t="shared" si="16"/>
        <v>45597</v>
      </c>
      <c r="L48" s="1300">
        <f t="shared" si="16"/>
        <v>45566</v>
      </c>
      <c r="M48" s="1300">
        <f t="shared" si="16"/>
        <v>45536</v>
      </c>
      <c r="N48" s="1300">
        <f t="shared" si="16"/>
        <v>45505</v>
      </c>
      <c r="O48" s="1300">
        <f t="shared" si="16"/>
        <v>45474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1408</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1359</v>
      </c>
      <c r="B51" s="1140"/>
      <c r="C51" s="1141" t="s">
        <v>1409</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1410</v>
      </c>
      <c r="B53" s="1145" t="s">
        <v>1363</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1366</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1368</v>
      </c>
      <c r="B63" s="1145" t="s">
        <v>1372</v>
      </c>
      <c r="C63" s="1165" t="s">
        <v>1416</v>
      </c>
      <c r="D63" s="1165" t="s">
        <v>1417</v>
      </c>
      <c r="E63" s="1165" t="s">
        <v>1418</v>
      </c>
      <c r="F63" s="1165" t="s">
        <v>1419</v>
      </c>
      <c r="G63" s="1165" t="s">
        <v>1420</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1373</v>
      </c>
      <c r="C65" s="1166" t="s">
        <v>1416</v>
      </c>
      <c r="D65" s="1166" t="s">
        <v>1417</v>
      </c>
      <c r="E65" s="1166" t="s">
        <v>1418</v>
      </c>
      <c r="F65" s="1166" t="s">
        <v>1419</v>
      </c>
      <c r="G65" s="1166" t="s">
        <v>1420</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1375</v>
      </c>
      <c r="C67" s="1083" t="s">
        <v>1421</v>
      </c>
      <c r="D67" s="1083" t="s">
        <v>1422</v>
      </c>
      <c r="E67" s="1083" t="s">
        <v>1423</v>
      </c>
      <c r="F67" s="1083" t="s">
        <v>1424</v>
      </c>
      <c r="G67" s="1083" t="s">
        <v>1425</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1579</v>
      </c>
      <c r="C69" s="1166" t="s">
        <v>1416</v>
      </c>
      <c r="D69" s="1166" t="s">
        <v>1417</v>
      </c>
      <c r="E69" s="1166" t="s">
        <v>1418</v>
      </c>
      <c r="F69" s="1166" t="s">
        <v>1419</v>
      </c>
      <c r="G69" s="1166" t="s">
        <v>1420</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1378</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1381</v>
      </c>
      <c r="B79" s="1145" t="s">
        <v>1649</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1640</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1387</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1641</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1642</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1643</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1644</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1645</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113" priority="13" stopIfTrue="1">
      <formula>$F$42="超过30%"</formula>
    </cfRule>
  </conditionalFormatting>
  <conditionalFormatting sqref="E43">
    <cfRule type="expression" dxfId="112" priority="11" stopIfTrue="1">
      <formula>$F$43="超过20%"</formula>
    </cfRule>
  </conditionalFormatting>
  <conditionalFormatting sqref="E44">
    <cfRule type="expression" dxfId="111" priority="10" stopIfTrue="1">
      <formula>$F$44="超过30%"</formula>
    </cfRule>
  </conditionalFormatting>
  <conditionalFormatting sqref="F7:F36 H7:H36 J7:J36">
    <cfRule type="cellIs" dxfId="110" priority="1" operator="notEqual">
      <formula>100</formula>
    </cfRule>
  </conditionalFormatting>
  <conditionalFormatting sqref="F38">
    <cfRule type="expression" dxfId="109" priority="4">
      <formula>$D$38="简单平均"</formula>
    </cfRule>
  </conditionalFormatting>
  <conditionalFormatting sqref="F42:F44 H42:H44 J42:J44">
    <cfRule type="containsText" dxfId="108" priority="14" stopIfTrue="1" operator="containsText" text="超过">
      <formula>NOT(ISERROR(SEARCH("超过",F42)))</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G44">
    <cfRule type="expression" dxfId="105" priority="12" stopIfTrue="1">
      <formula>$H$54+$H$44="超过30%"</formula>
    </cfRule>
  </conditionalFormatting>
  <conditionalFormatting sqref="H38">
    <cfRule type="expression" dxfId="104" priority="3">
      <formula>$D$38="简单平均"</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J38">
    <cfRule type="expression" dxfId="100"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1650</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IF(C2="——",C37,ROUND(B2*10000/D3,0))</f>
        <v>#DIV/0!</v>
      </c>
      <c r="C3" s="1273" t="s">
        <v>1345</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432" t="s">
        <v>1347</v>
      </c>
      <c r="D4" s="3433"/>
      <c r="E4" s="3434" t="s">
        <v>1348</v>
      </c>
      <c r="F4" s="3435"/>
      <c r="G4" s="3432" t="s">
        <v>1349</v>
      </c>
      <c r="H4" s="3433"/>
      <c r="I4" s="3432" t="s">
        <v>1350</v>
      </c>
      <c r="J4" s="3433"/>
      <c r="K4" s="1064" t="s">
        <v>1351</v>
      </c>
      <c r="L4" s="1065"/>
      <c r="M4" s="1015"/>
      <c r="N4" s="1015"/>
      <c r="O4" s="1015"/>
      <c r="P4" s="3439" t="s">
        <v>1352</v>
      </c>
      <c r="Q4" s="3440"/>
      <c r="R4" s="3443" t="s">
        <v>1348</v>
      </c>
      <c r="S4" s="3444"/>
      <c r="T4" s="3443" t="s">
        <v>1349</v>
      </c>
      <c r="U4" s="3444"/>
      <c r="V4" s="3409" t="s">
        <v>1350</v>
      </c>
      <c r="W4" s="3409"/>
      <c r="X4" s="1113"/>
      <c r="Y4" s="3443" t="s">
        <v>1352</v>
      </c>
      <c r="Z4" s="3444"/>
      <c r="AA4" s="3438" t="s">
        <v>1348</v>
      </c>
      <c r="AB4" s="3391" t="s">
        <v>1349</v>
      </c>
      <c r="AC4" s="3438" t="s">
        <v>1350</v>
      </c>
    </row>
    <row r="5" spans="1:29">
      <c r="A5" s="922"/>
      <c r="B5" s="923"/>
      <c r="C5" s="3448" t="s">
        <v>1575</v>
      </c>
      <c r="D5" s="3437"/>
      <c r="E5" s="3472" t="s">
        <v>1576</v>
      </c>
      <c r="F5" s="3450"/>
      <c r="G5" s="3448" t="s">
        <v>1577</v>
      </c>
      <c r="H5" s="3437"/>
      <c r="I5" s="3448" t="s">
        <v>1353</v>
      </c>
      <c r="J5" s="3437"/>
      <c r="K5" s="1064"/>
      <c r="L5" s="1065"/>
      <c r="M5" s="1015"/>
      <c r="N5" s="1015"/>
      <c r="O5" s="1015"/>
      <c r="P5" s="3441"/>
      <c r="Q5" s="3399"/>
      <c r="R5" s="3404"/>
      <c r="S5" s="3405"/>
      <c r="T5" s="3404"/>
      <c r="U5" s="3405"/>
      <c r="V5" s="3409"/>
      <c r="W5" s="3409"/>
      <c r="X5" s="1113"/>
      <c r="Y5" s="3404"/>
      <c r="Z5" s="3405"/>
      <c r="AA5" s="3391"/>
      <c r="AB5" s="3391"/>
      <c r="AC5" s="3391"/>
    </row>
    <row r="6" spans="1:29" ht="14.4">
      <c r="A6" s="924"/>
      <c r="B6" s="925"/>
      <c r="C6" s="3427" t="s">
        <v>1354</v>
      </c>
      <c r="D6" s="3428"/>
      <c r="E6" s="3429" t="s">
        <v>1354</v>
      </c>
      <c r="F6" s="3430"/>
      <c r="G6" s="3427" t="s">
        <v>1354</v>
      </c>
      <c r="H6" s="3428"/>
      <c r="I6" s="3427" t="s">
        <v>1354</v>
      </c>
      <c r="J6" s="3428"/>
      <c r="K6" s="1064" t="s">
        <v>1355</v>
      </c>
      <c r="L6" s="1065"/>
      <c r="M6" s="1015"/>
      <c r="N6" s="1015"/>
      <c r="O6" s="1015"/>
      <c r="P6" s="3442"/>
      <c r="Q6" s="3401"/>
      <c r="R6" s="3404"/>
      <c r="S6" s="3405"/>
      <c r="T6" s="3406"/>
      <c r="U6" s="3407"/>
      <c r="V6" s="3409"/>
      <c r="W6" s="3409"/>
      <c r="X6" s="1113"/>
      <c r="Y6" s="3406"/>
      <c r="Z6" s="3407"/>
      <c r="AA6" s="3392"/>
      <c r="AB6" s="3392"/>
      <c r="AC6" s="3392"/>
    </row>
    <row r="7" spans="1:29" s="899" customFormat="1" ht="14.4">
      <c r="A7" s="927" t="s">
        <v>1356</v>
      </c>
      <c r="B7" s="928"/>
      <c r="C7" s="929">
        <f>'数据-取费表'!B2</f>
        <v>45839</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15" t="s">
        <v>1357</v>
      </c>
      <c r="Q7" s="3431"/>
      <c r="R7" s="1114" t="s">
        <v>1358</v>
      </c>
      <c r="S7" s="1115">
        <f t="shared" ref="S7:S14" si="0">F7</f>
        <v>0</v>
      </c>
      <c r="T7" s="1114" t="s">
        <v>1358</v>
      </c>
      <c r="U7" s="1115">
        <f t="shared" ref="U7:U14" si="1">H7</f>
        <v>0</v>
      </c>
      <c r="V7" s="1114" t="s">
        <v>1358</v>
      </c>
      <c r="W7" s="1115">
        <f t="shared" ref="W7:W14" si="2">J7</f>
        <v>0</v>
      </c>
      <c r="X7" s="1116"/>
      <c r="Y7" s="3415" t="s">
        <v>1357</v>
      </c>
      <c r="Z7" s="3416"/>
      <c r="AA7" s="1126" t="e">
        <f>D7/F7</f>
        <v>#DIV/0!</v>
      </c>
      <c r="AB7" s="1126" t="e">
        <f>D7/H7</f>
        <v>#DIV/0!</v>
      </c>
      <c r="AC7" s="1126" t="e">
        <f>D7/J7</f>
        <v>#DIV/0!</v>
      </c>
    </row>
    <row r="8" spans="1:29" s="899" customFormat="1" ht="14.4">
      <c r="A8" s="927" t="s">
        <v>1359</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15" t="s">
        <v>1361</v>
      </c>
      <c r="Q8" s="3416"/>
      <c r="R8" s="1114" t="s">
        <v>1358</v>
      </c>
      <c r="S8" s="1115">
        <f t="shared" si="0"/>
        <v>100</v>
      </c>
      <c r="T8" s="1114" t="s">
        <v>1358</v>
      </c>
      <c r="U8" s="1115">
        <f t="shared" si="1"/>
        <v>100</v>
      </c>
      <c r="V8" s="1114" t="s">
        <v>1358</v>
      </c>
      <c r="W8" s="1115">
        <f t="shared" si="2"/>
        <v>100</v>
      </c>
      <c r="X8" s="1116"/>
      <c r="Y8" s="3415" t="s">
        <v>1361</v>
      </c>
      <c r="Z8" s="3416"/>
      <c r="AA8" s="1126">
        <f t="shared" ref="AA8:AA34" si="3">D8/F8</f>
        <v>1</v>
      </c>
      <c r="AB8" s="1126">
        <f t="shared" ref="AB8:AB34" si="4">D8/H8</f>
        <v>1</v>
      </c>
      <c r="AC8" s="1126">
        <f t="shared" ref="AC8:AC34" si="5">D8/J8</f>
        <v>1</v>
      </c>
    </row>
    <row r="9" spans="1:29" s="899" customFormat="1" ht="14.4">
      <c r="A9" s="935" t="s">
        <v>1362</v>
      </c>
      <c r="B9" s="936" t="s">
        <v>1363</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11" t="s">
        <v>1364</v>
      </c>
      <c r="Q9" s="790" t="str">
        <f t="shared" ref="Q9:Q14" si="6">B9</f>
        <v>用途</v>
      </c>
      <c r="R9" s="1114" t="s">
        <v>1358</v>
      </c>
      <c r="S9" s="1115">
        <f t="shared" si="0"/>
        <v>100</v>
      </c>
      <c r="T9" s="1114" t="s">
        <v>1358</v>
      </c>
      <c r="U9" s="1115">
        <f t="shared" si="1"/>
        <v>100</v>
      </c>
      <c r="V9" s="1114" t="s">
        <v>1358</v>
      </c>
      <c r="W9" s="1115">
        <f t="shared" si="2"/>
        <v>100</v>
      </c>
      <c r="X9" s="1116"/>
      <c r="Y9" s="3297" t="s">
        <v>1365</v>
      </c>
      <c r="Z9" s="1126" t="str">
        <f t="shared" ref="Z9:Z14" si="7">Q9</f>
        <v>用途</v>
      </c>
      <c r="AA9" s="1126">
        <f t="shared" si="3"/>
        <v>1</v>
      </c>
      <c r="AB9" s="1126">
        <f t="shared" si="4"/>
        <v>1</v>
      </c>
      <c r="AC9" s="1126">
        <f t="shared" si="5"/>
        <v>1</v>
      </c>
    </row>
    <row r="10" spans="1:29" s="900" customFormat="1" ht="28.8">
      <c r="A10" s="939"/>
      <c r="B10" s="940" t="s">
        <v>1366</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11"/>
      <c r="Q10" s="790" t="str">
        <f t="shared" si="6"/>
        <v>土地使用年限（年）</v>
      </c>
      <c r="R10" s="1114" t="s">
        <v>1358</v>
      </c>
      <c r="S10" s="1115">
        <f t="shared" si="0"/>
        <v>100</v>
      </c>
      <c r="T10" s="1114" t="s">
        <v>1358</v>
      </c>
      <c r="U10" s="1115">
        <f t="shared" si="1"/>
        <v>100</v>
      </c>
      <c r="V10" s="1114" t="s">
        <v>1358</v>
      </c>
      <c r="W10" s="1115">
        <f t="shared" si="2"/>
        <v>100</v>
      </c>
      <c r="X10" s="1116"/>
      <c r="Y10" s="3297"/>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11"/>
      <c r="Q11" s="790">
        <f t="shared" si="6"/>
        <v>111</v>
      </c>
      <c r="R11" s="1114" t="s">
        <v>1358</v>
      </c>
      <c r="S11" s="1115">
        <f t="shared" si="0"/>
        <v>100</v>
      </c>
      <c r="T11" s="1114" t="s">
        <v>1358</v>
      </c>
      <c r="U11" s="1115">
        <f t="shared" si="1"/>
        <v>100</v>
      </c>
      <c r="V11" s="1114" t="s">
        <v>1358</v>
      </c>
      <c r="W11" s="1115">
        <f t="shared" si="2"/>
        <v>100</v>
      </c>
      <c r="X11" s="1116"/>
      <c r="Y11" s="3297"/>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11"/>
      <c r="Q12" s="790">
        <f t="shared" si="6"/>
        <v>111</v>
      </c>
      <c r="R12" s="1114" t="s">
        <v>1358</v>
      </c>
      <c r="S12" s="1115">
        <f t="shared" si="0"/>
        <v>100</v>
      </c>
      <c r="T12" s="1114" t="s">
        <v>1358</v>
      </c>
      <c r="U12" s="1115">
        <f t="shared" si="1"/>
        <v>100</v>
      </c>
      <c r="V12" s="1114" t="s">
        <v>1358</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11"/>
      <c r="Q13" s="790">
        <f t="shared" si="6"/>
        <v>111</v>
      </c>
      <c r="R13" s="1114" t="s">
        <v>1358</v>
      </c>
      <c r="S13" s="1115">
        <f t="shared" si="0"/>
        <v>100</v>
      </c>
      <c r="T13" s="1114" t="s">
        <v>1358</v>
      </c>
      <c r="U13" s="1115">
        <f t="shared" si="1"/>
        <v>100</v>
      </c>
      <c r="V13" s="1114" t="s">
        <v>1358</v>
      </c>
      <c r="W13" s="1115">
        <f t="shared" si="2"/>
        <v>100</v>
      </c>
      <c r="X13" s="1116"/>
      <c r="Y13" s="3297"/>
      <c r="Z13" s="1126">
        <f t="shared" si="7"/>
        <v>111</v>
      </c>
      <c r="AA13" s="1126">
        <f t="shared" si="3"/>
        <v>1</v>
      </c>
      <c r="AB13" s="1126">
        <f t="shared" si="4"/>
        <v>1</v>
      </c>
      <c r="AC13" s="1126">
        <f t="shared" si="5"/>
        <v>1</v>
      </c>
    </row>
    <row r="14" spans="1:29" ht="15">
      <c r="A14" s="956" t="s">
        <v>1368</v>
      </c>
      <c r="B14" s="1232" t="s">
        <v>1372</v>
      </c>
      <c r="C14" s="958" t="str">
        <f>IF(B1="工业",估价对象房地状况!G4,估价对象房地状况!C6)</f>
        <v>一般</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23" t="s">
        <v>1370</v>
      </c>
      <c r="Q14" s="621" t="str">
        <f t="shared" si="6"/>
        <v>交通便捷度</v>
      </c>
      <c r="R14" s="1118" t="s">
        <v>1358</v>
      </c>
      <c r="S14" s="1119">
        <f t="shared" si="0"/>
        <v>100</v>
      </c>
      <c r="T14" s="1118" t="s">
        <v>1358</v>
      </c>
      <c r="U14" s="1119">
        <f t="shared" si="1"/>
        <v>100</v>
      </c>
      <c r="V14" s="1118" t="s">
        <v>1358</v>
      </c>
      <c r="W14" s="1119">
        <f t="shared" si="2"/>
        <v>100</v>
      </c>
      <c r="X14" s="1113"/>
      <c r="Y14" s="3423" t="s">
        <v>1370</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24"/>
      <c r="Q15" s="621"/>
      <c r="R15" s="1118"/>
      <c r="S15" s="1119"/>
      <c r="T15" s="1118"/>
      <c r="U15" s="1119"/>
      <c r="V15" s="1118"/>
      <c r="W15" s="1119"/>
      <c r="X15" s="1113"/>
      <c r="Y15" s="3424"/>
      <c r="Z15" s="1102"/>
      <c r="AA15" s="1102">
        <v>1</v>
      </c>
      <c r="AB15" s="1102">
        <v>1</v>
      </c>
      <c r="AC15" s="1102">
        <v>1</v>
      </c>
    </row>
    <row r="16" spans="1:29" ht="15">
      <c r="A16" s="943"/>
      <c r="B16" s="1234" t="s">
        <v>1373</v>
      </c>
      <c r="C16" s="967" t="str">
        <f>IF(B1="工业",估价对象房地状况!G5,估价对象房地状况!C7)</f>
        <v>一般</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24"/>
      <c r="Q16" s="621" t="str">
        <f>B16</f>
        <v>公共配套设施</v>
      </c>
      <c r="R16" s="1118" t="s">
        <v>1358</v>
      </c>
      <c r="S16" s="1119">
        <f>F16</f>
        <v>100</v>
      </c>
      <c r="T16" s="1118" t="s">
        <v>1358</v>
      </c>
      <c r="U16" s="1119">
        <f>H16</f>
        <v>100</v>
      </c>
      <c r="V16" s="1118" t="s">
        <v>1358</v>
      </c>
      <c r="W16" s="1119">
        <f>J16</f>
        <v>100</v>
      </c>
      <c r="X16" s="1113"/>
      <c r="Y16" s="3424"/>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24"/>
      <c r="Q17" s="621"/>
      <c r="R17" s="1118"/>
      <c r="S17" s="1119"/>
      <c r="T17" s="1118"/>
      <c r="U17" s="1119"/>
      <c r="V17" s="1118"/>
      <c r="W17" s="1119"/>
      <c r="X17" s="1113"/>
      <c r="Y17" s="3424"/>
      <c r="Z17" s="1102"/>
      <c r="AA17" s="1102">
        <v>1</v>
      </c>
      <c r="AB17" s="1102">
        <v>1</v>
      </c>
      <c r="AC17" s="1102">
        <v>1</v>
      </c>
    </row>
    <row r="18" spans="1:29" ht="15">
      <c r="A18" s="943"/>
      <c r="B18" s="1238" t="s">
        <v>1375</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24"/>
      <c r="Q18" s="621" t="str">
        <f>B18</f>
        <v>基础设施水平</v>
      </c>
      <c r="R18" s="1118" t="s">
        <v>1358</v>
      </c>
      <c r="S18" s="1119">
        <f>F18</f>
        <v>100</v>
      </c>
      <c r="T18" s="1118" t="s">
        <v>1358</v>
      </c>
      <c r="U18" s="1119">
        <f>H18</f>
        <v>100</v>
      </c>
      <c r="V18" s="1118" t="s">
        <v>1358</v>
      </c>
      <c r="W18" s="1119">
        <f>J18</f>
        <v>100</v>
      </c>
      <c r="X18" s="1113"/>
      <c r="Y18" s="3424"/>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24"/>
      <c r="Q19" s="621"/>
      <c r="R19" s="1118"/>
      <c r="S19" s="1119"/>
      <c r="T19" s="1118"/>
      <c r="U19" s="1119"/>
      <c r="V19" s="1118"/>
      <c r="W19" s="1119"/>
      <c r="X19" s="1113"/>
      <c r="Y19" s="3424"/>
      <c r="Z19" s="1102"/>
      <c r="AA19" s="1102">
        <v>1</v>
      </c>
      <c r="AB19" s="1102">
        <v>1</v>
      </c>
      <c r="AC19" s="1102">
        <v>1</v>
      </c>
    </row>
    <row r="20" spans="1:29" ht="15">
      <c r="A20" s="943"/>
      <c r="B20" s="1234" t="s">
        <v>1579</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24"/>
      <c r="Q20" s="621" t="str">
        <f>B20</f>
        <v>自然及人文环境</v>
      </c>
      <c r="R20" s="1118" t="s">
        <v>1358</v>
      </c>
      <c r="S20" s="1119">
        <f>F20</f>
        <v>100</v>
      </c>
      <c r="T20" s="1118" t="s">
        <v>1358</v>
      </c>
      <c r="U20" s="1119">
        <f>H20</f>
        <v>100</v>
      </c>
      <c r="V20" s="1118" t="s">
        <v>1358</v>
      </c>
      <c r="W20" s="1119">
        <f>J20</f>
        <v>100</v>
      </c>
      <c r="X20" s="1113"/>
      <c r="Y20" s="3424"/>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24"/>
      <c r="Q21" s="621"/>
      <c r="R21" s="1118"/>
      <c r="S21" s="1119"/>
      <c r="T21" s="1118"/>
      <c r="U21" s="1119"/>
      <c r="V21" s="1118"/>
      <c r="W21" s="1119"/>
      <c r="X21" s="1113"/>
      <c r="Y21" s="3424"/>
      <c r="Z21" s="1102"/>
      <c r="AA21" s="1102">
        <v>1</v>
      </c>
      <c r="AB21" s="1102">
        <v>1</v>
      </c>
      <c r="AC21" s="1102">
        <v>1</v>
      </c>
    </row>
    <row r="22" spans="1:29" ht="15">
      <c r="A22" s="943"/>
      <c r="B22" s="1234" t="s">
        <v>1378</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24"/>
      <c r="Q22" s="621" t="str">
        <f>B22</f>
        <v>楼层</v>
      </c>
      <c r="R22" s="1118" t="s">
        <v>1358</v>
      </c>
      <c r="S22" s="1119">
        <f>F22</f>
        <v>100</v>
      </c>
      <c r="T22" s="1118" t="s">
        <v>1358</v>
      </c>
      <c r="U22" s="1119">
        <f>H22</f>
        <v>100</v>
      </c>
      <c r="V22" s="1118" t="s">
        <v>1358</v>
      </c>
      <c r="W22" s="1119">
        <f>J22</f>
        <v>100</v>
      </c>
      <c r="X22" s="1113"/>
      <c r="Y22" s="3424"/>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24"/>
      <c r="Q23" s="621">
        <f>B23</f>
        <v>111</v>
      </c>
      <c r="R23" s="1118" t="s">
        <v>1358</v>
      </c>
      <c r="S23" s="1119">
        <f>F23</f>
        <v>100</v>
      </c>
      <c r="T23" s="1118" t="s">
        <v>1358</v>
      </c>
      <c r="U23" s="1119">
        <f>H23</f>
        <v>100</v>
      </c>
      <c r="V23" s="1118" t="s">
        <v>1358</v>
      </c>
      <c r="W23" s="1119">
        <f>J23</f>
        <v>100</v>
      </c>
      <c r="X23" s="1113"/>
      <c r="Y23" s="3424"/>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24"/>
      <c r="Q24" s="621">
        <f t="shared" ref="Q24:Q34" si="11">B24</f>
        <v>111</v>
      </c>
      <c r="R24" s="1118" t="s">
        <v>1358</v>
      </c>
      <c r="S24" s="1119">
        <f>F24</f>
        <v>100</v>
      </c>
      <c r="T24" s="1118" t="s">
        <v>1358</v>
      </c>
      <c r="U24" s="1119">
        <f>H24</f>
        <v>100</v>
      </c>
      <c r="V24" s="1118" t="s">
        <v>1358</v>
      </c>
      <c r="W24" s="1119">
        <f>J24</f>
        <v>100</v>
      </c>
      <c r="X24" s="1113"/>
      <c r="Y24" s="3424"/>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24"/>
      <c r="Q25" s="790">
        <f t="shared" si="11"/>
        <v>111</v>
      </c>
      <c r="R25" s="1114" t="s">
        <v>1358</v>
      </c>
      <c r="S25" s="1115">
        <f>F25</f>
        <v>100</v>
      </c>
      <c r="T25" s="1114" t="s">
        <v>1358</v>
      </c>
      <c r="U25" s="1115">
        <f>H25</f>
        <v>100</v>
      </c>
      <c r="V25" s="1114" t="s">
        <v>1358</v>
      </c>
      <c r="W25" s="1115">
        <f>J25</f>
        <v>100</v>
      </c>
      <c r="X25" s="1116"/>
      <c r="Y25" s="3424"/>
      <c r="Z25" s="1126">
        <f>Q25</f>
        <v>111</v>
      </c>
      <c r="AA25" s="1102">
        <f t="shared" si="3"/>
        <v>1</v>
      </c>
      <c r="AB25" s="1102">
        <f t="shared" si="4"/>
        <v>1</v>
      </c>
      <c r="AC25" s="1102">
        <f t="shared" si="5"/>
        <v>1</v>
      </c>
    </row>
    <row r="26" spans="1:29" ht="30">
      <c r="A26" s="1282" t="s">
        <v>1381</v>
      </c>
      <c r="B26" s="936" t="s">
        <v>1387</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79" t="s">
        <v>1384</v>
      </c>
      <c r="Q26" s="621" t="str">
        <f t="shared" si="11"/>
        <v>公共部分装修</v>
      </c>
      <c r="R26" s="1118" t="s">
        <v>1358</v>
      </c>
      <c r="S26" s="1119">
        <f t="shared" ref="S26:S34" si="12">F26</f>
        <v>100</v>
      </c>
      <c r="T26" s="1118" t="s">
        <v>1358</v>
      </c>
      <c r="U26" s="1119">
        <f t="shared" ref="U26:U34" si="13">H26</f>
        <v>100</v>
      </c>
      <c r="V26" s="1118" t="s">
        <v>1358</v>
      </c>
      <c r="W26" s="1119">
        <f t="shared" ref="W26:W34" si="14">J26</f>
        <v>100</v>
      </c>
      <c r="X26" s="1113"/>
      <c r="Y26" s="3425" t="s">
        <v>1384</v>
      </c>
      <c r="Z26" s="1102" t="str">
        <f t="shared" ref="Z26:Z34" si="15">Q26</f>
        <v>公共部分装修</v>
      </c>
      <c r="AA26" s="1102">
        <f t="shared" si="3"/>
        <v>1</v>
      </c>
      <c r="AB26" s="1102">
        <f t="shared" si="4"/>
        <v>1</v>
      </c>
      <c r="AC26" s="1102">
        <f t="shared" si="5"/>
        <v>1</v>
      </c>
    </row>
    <row r="27" spans="1:29" s="901" customFormat="1" ht="15">
      <c r="A27" s="996"/>
      <c r="B27" s="940" t="s">
        <v>1641</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25"/>
      <c r="Q27" s="1308" t="str">
        <f t="shared" si="11"/>
        <v>成新率</v>
      </c>
      <c r="R27" s="1120" t="s">
        <v>1358</v>
      </c>
      <c r="S27" s="1121" t="e">
        <f t="shared" si="12"/>
        <v>#N/A</v>
      </c>
      <c r="T27" s="1120" t="s">
        <v>1358</v>
      </c>
      <c r="U27" s="1121" t="e">
        <f t="shared" si="13"/>
        <v>#N/A</v>
      </c>
      <c r="V27" s="1120" t="s">
        <v>1358</v>
      </c>
      <c r="W27" s="1121" t="e">
        <f t="shared" si="14"/>
        <v>#N/A</v>
      </c>
      <c r="X27" s="1122"/>
      <c r="Y27" s="3425"/>
      <c r="Z27" s="1127" t="str">
        <f t="shared" si="15"/>
        <v>成新率</v>
      </c>
      <c r="AA27" s="1102" t="e">
        <f t="shared" si="3"/>
        <v>#N/A</v>
      </c>
      <c r="AB27" s="1102" t="e">
        <f t="shared" si="4"/>
        <v>#N/A</v>
      </c>
      <c r="AC27" s="1102" t="e">
        <f t="shared" si="5"/>
        <v>#N/A</v>
      </c>
    </row>
    <row r="28" spans="1:29" ht="15">
      <c r="A28" s="991"/>
      <c r="B28" s="940" t="s">
        <v>1642</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25"/>
      <c r="Q28" s="621" t="str">
        <f t="shared" si="11"/>
        <v>物业等级</v>
      </c>
      <c r="R28" s="1118" t="s">
        <v>1358</v>
      </c>
      <c r="S28" s="1119">
        <f t="shared" si="12"/>
        <v>100</v>
      </c>
      <c r="T28" s="1118" t="s">
        <v>1358</v>
      </c>
      <c r="U28" s="1119">
        <f t="shared" si="13"/>
        <v>100</v>
      </c>
      <c r="V28" s="1118" t="s">
        <v>1358</v>
      </c>
      <c r="W28" s="1119">
        <f t="shared" si="14"/>
        <v>100</v>
      </c>
      <c r="X28" s="1113"/>
      <c r="Y28" s="3425"/>
      <c r="Z28" s="1102" t="str">
        <f t="shared" si="15"/>
        <v>物业等级</v>
      </c>
      <c r="AA28" s="1102">
        <f t="shared" si="3"/>
        <v>1</v>
      </c>
      <c r="AB28" s="1102">
        <f t="shared" si="4"/>
        <v>1</v>
      </c>
      <c r="AC28" s="1102">
        <f t="shared" si="5"/>
        <v>1</v>
      </c>
    </row>
    <row r="29" spans="1:29" ht="15">
      <c r="A29" s="991"/>
      <c r="B29" s="940" t="s">
        <v>1651</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25"/>
      <c r="Q29" s="621" t="str">
        <f t="shared" si="11"/>
        <v>有无电梯</v>
      </c>
      <c r="R29" s="1118" t="s">
        <v>1358</v>
      </c>
      <c r="S29" s="1119">
        <f t="shared" si="12"/>
        <v>100</v>
      </c>
      <c r="T29" s="1118" t="s">
        <v>1358</v>
      </c>
      <c r="U29" s="1119">
        <f t="shared" si="13"/>
        <v>100</v>
      </c>
      <c r="V29" s="1118" t="s">
        <v>1358</v>
      </c>
      <c r="W29" s="1119">
        <f t="shared" si="14"/>
        <v>100</v>
      </c>
      <c r="X29" s="1113"/>
      <c r="Y29" s="3425"/>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25"/>
      <c r="Q30" s="621" t="str">
        <f t="shared" si="11"/>
        <v>建筑面积</v>
      </c>
      <c r="R30" s="1118" t="s">
        <v>1358</v>
      </c>
      <c r="S30" s="1119" t="e">
        <f t="shared" si="12"/>
        <v>#N/A</v>
      </c>
      <c r="T30" s="1118" t="s">
        <v>1358</v>
      </c>
      <c r="U30" s="1119" t="e">
        <f t="shared" si="13"/>
        <v>#N/A</v>
      </c>
      <c r="V30" s="1118" t="s">
        <v>1358</v>
      </c>
      <c r="W30" s="1119" t="e">
        <f t="shared" si="14"/>
        <v>#N/A</v>
      </c>
      <c r="X30" s="1113"/>
      <c r="Y30" s="3425"/>
      <c r="Z30" s="1102" t="str">
        <f t="shared" si="15"/>
        <v>建筑面积</v>
      </c>
      <c r="AA30" s="1102" t="e">
        <f t="shared" si="3"/>
        <v>#N/A</v>
      </c>
      <c r="AB30" s="1102" t="e">
        <f t="shared" si="4"/>
        <v>#N/A</v>
      </c>
      <c r="AC30" s="1102" t="e">
        <f t="shared" si="5"/>
        <v>#N/A</v>
      </c>
    </row>
    <row r="31" spans="1:29" s="899" customFormat="1" ht="15">
      <c r="A31" s="993"/>
      <c r="B31" s="940" t="s">
        <v>1652</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25"/>
      <c r="Q31" s="790" t="str">
        <f t="shared" si="11"/>
        <v>是否封闭</v>
      </c>
      <c r="R31" s="1114" t="s">
        <v>1358</v>
      </c>
      <c r="S31" s="1115">
        <f t="shared" si="12"/>
        <v>100</v>
      </c>
      <c r="T31" s="1114" t="s">
        <v>1358</v>
      </c>
      <c r="U31" s="1115">
        <f t="shared" si="13"/>
        <v>100</v>
      </c>
      <c r="V31" s="1114" t="s">
        <v>1358</v>
      </c>
      <c r="W31" s="1115">
        <f t="shared" si="14"/>
        <v>100</v>
      </c>
      <c r="X31" s="1116"/>
      <c r="Y31" s="3425"/>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25" t="s">
        <v>1384</v>
      </c>
      <c r="Q32" s="621">
        <f t="shared" si="11"/>
        <v>111</v>
      </c>
      <c r="R32" s="1118" t="s">
        <v>1358</v>
      </c>
      <c r="S32" s="1119">
        <f t="shared" si="12"/>
        <v>100</v>
      </c>
      <c r="T32" s="1118" t="s">
        <v>1358</v>
      </c>
      <c r="U32" s="1119">
        <f t="shared" si="13"/>
        <v>100</v>
      </c>
      <c r="V32" s="1118" t="s">
        <v>1358</v>
      </c>
      <c r="W32" s="1119">
        <f t="shared" si="14"/>
        <v>100</v>
      </c>
      <c r="X32" s="1113"/>
      <c r="Y32" s="3425" t="s">
        <v>1384</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25"/>
      <c r="Q33" s="621">
        <f t="shared" si="11"/>
        <v>111</v>
      </c>
      <c r="R33" s="1118" t="s">
        <v>1358</v>
      </c>
      <c r="S33" s="1119">
        <f t="shared" si="12"/>
        <v>100</v>
      </c>
      <c r="T33" s="1118" t="s">
        <v>1358</v>
      </c>
      <c r="U33" s="1119">
        <f t="shared" si="13"/>
        <v>100</v>
      </c>
      <c r="V33" s="1118" t="s">
        <v>1358</v>
      </c>
      <c r="W33" s="1119">
        <f t="shared" si="14"/>
        <v>100</v>
      </c>
      <c r="X33" s="1113"/>
      <c r="Y33" s="3425"/>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25"/>
      <c r="Q34" s="621">
        <f t="shared" si="11"/>
        <v>111</v>
      </c>
      <c r="R34" s="1118" t="s">
        <v>1358</v>
      </c>
      <c r="S34" s="1119">
        <f t="shared" si="12"/>
        <v>100</v>
      </c>
      <c r="T34" s="1118" t="s">
        <v>1358</v>
      </c>
      <c r="U34" s="1119">
        <f t="shared" si="13"/>
        <v>100</v>
      </c>
      <c r="V34" s="1118" t="s">
        <v>1358</v>
      </c>
      <c r="W34" s="1119">
        <f t="shared" si="14"/>
        <v>100</v>
      </c>
      <c r="X34" s="1113"/>
      <c r="Y34" s="3425"/>
      <c r="Z34" s="1102">
        <f t="shared" si="15"/>
        <v>111</v>
      </c>
      <c r="AA34" s="1102">
        <f t="shared" si="3"/>
        <v>1</v>
      </c>
      <c r="AB34" s="1102">
        <f t="shared" si="4"/>
        <v>1</v>
      </c>
      <c r="AC34" s="1102">
        <f t="shared" si="5"/>
        <v>1</v>
      </c>
    </row>
    <row r="35" spans="1:30" ht="14.4">
      <c r="A35" s="998" t="s">
        <v>1400</v>
      </c>
      <c r="B35" s="1291"/>
      <c r="C35" s="1292" t="s">
        <v>124</v>
      </c>
      <c r="D35" s="1001"/>
      <c r="E35" s="1002"/>
      <c r="F35" s="1003"/>
      <c r="G35" s="1004"/>
      <c r="H35" s="1005"/>
      <c r="I35" s="1002"/>
      <c r="J35" s="1005"/>
      <c r="K35" s="1093"/>
      <c r="L35" s="1094"/>
      <c r="M35" s="1015"/>
      <c r="N35" s="1015"/>
      <c r="O35" s="1015"/>
      <c r="P35" s="3411" t="str">
        <f>A35</f>
        <v>成交单价（元/平方米）</v>
      </c>
      <c r="Q35" s="3411"/>
      <c r="R35" s="3409">
        <f>E35</f>
        <v>0</v>
      </c>
      <c r="S35" s="3409"/>
      <c r="T35" s="3409">
        <f>G35</f>
        <v>0</v>
      </c>
      <c r="U35" s="3409"/>
      <c r="V35" s="3409">
        <f>I35</f>
        <v>0</v>
      </c>
      <c r="W35" s="3409"/>
      <c r="X35" s="1055"/>
      <c r="Y35" s="1128"/>
      <c r="Z35" s="1055"/>
      <c r="AA35" s="1055"/>
      <c r="AB35" s="1055"/>
      <c r="AC35" s="1055"/>
    </row>
    <row r="36" spans="1:30" ht="14.4">
      <c r="A36" s="1006" t="s">
        <v>1401</v>
      </c>
      <c r="B36" s="1293"/>
      <c r="C36" s="1294" t="e">
        <f>R37</f>
        <v>#DIV/0!</v>
      </c>
      <c r="D36" s="1009" t="s">
        <v>1402</v>
      </c>
      <c r="E36" s="1295" t="e">
        <f>R36</f>
        <v>#DIV/0!</v>
      </c>
      <c r="F36" s="1010"/>
      <c r="G36" s="1294" t="e">
        <f>T36</f>
        <v>#DIV/0!</v>
      </c>
      <c r="H36" s="1010"/>
      <c r="I36" s="1295" t="e">
        <f>V36</f>
        <v>#DIV/0!</v>
      </c>
      <c r="J36" s="1010"/>
      <c r="K36" s="1095">
        <f>F36+H36+J36</f>
        <v>0</v>
      </c>
      <c r="L36" s="1094"/>
      <c r="M36" s="1015"/>
      <c r="N36" s="1015"/>
      <c r="O36" s="1015"/>
      <c r="P36" s="3411" t="str">
        <f>A36</f>
        <v>比较价值（元/平方米）</v>
      </c>
      <c r="Q36" s="3411"/>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1055"/>
      <c r="Y36" s="1055"/>
      <c r="Z36" s="1055"/>
      <c r="AA36" s="1055"/>
      <c r="AB36" s="1055"/>
      <c r="AC36" s="1055"/>
    </row>
    <row r="37" spans="1:30" ht="14.4">
      <c r="A37" s="1012" t="s">
        <v>1403</v>
      </c>
      <c r="B37" s="1013"/>
      <c r="C37" s="925" t="e">
        <f>R37</f>
        <v>#DIV/0!</v>
      </c>
      <c r="D37" s="925"/>
      <c r="E37" s="925"/>
      <c r="F37" s="925"/>
      <c r="G37" s="925"/>
      <c r="H37" s="925"/>
      <c r="I37" s="925"/>
      <c r="J37" s="925"/>
      <c r="K37" s="1096"/>
      <c r="L37" s="1094"/>
      <c r="M37" s="1015"/>
      <c r="N37" s="1015"/>
      <c r="O37" s="1015"/>
      <c r="P37" s="3445" t="str">
        <f>A37</f>
        <v>估价对象XX用房的比较价值（楼面单价，元/平方米）</v>
      </c>
      <c r="Q37" s="3446"/>
      <c r="R37" s="3480" t="e">
        <f>IF(F1="售价",ROUND(IF(D36="简单平均",AVERAGE(R36:W36),R36*F36+T36*H36+V36*J36),0),ROUND(IF(D36="简单平均",AVERAGE(R36:V36),R36*F36+T36*H36+V36*J36),1))</f>
        <v>#DIV/0!</v>
      </c>
      <c r="S37" s="3480"/>
      <c r="T37" s="3480"/>
      <c r="U37" s="3480"/>
      <c r="V37" s="3480"/>
      <c r="W37" s="3480"/>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1404</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1405</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1406</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1407</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1356</v>
      </c>
      <c r="B46" s="1298"/>
      <c r="C46" s="1299" t="str">
        <f>YEAR(C7)&amp;"-"&amp;MONTH(C7)</f>
        <v>2025-7</v>
      </c>
      <c r="D46" s="1300">
        <f>EDATE(C46,-1)</f>
        <v>45809</v>
      </c>
      <c r="E46" s="1300">
        <f t="shared" ref="E46:O46" si="16">EDATE(D46,-1)</f>
        <v>45778</v>
      </c>
      <c r="F46" s="1300">
        <f t="shared" si="16"/>
        <v>45748</v>
      </c>
      <c r="G46" s="1300">
        <f t="shared" si="16"/>
        <v>45717</v>
      </c>
      <c r="H46" s="1300">
        <f t="shared" si="16"/>
        <v>45689</v>
      </c>
      <c r="I46" s="1300">
        <f t="shared" si="16"/>
        <v>45658</v>
      </c>
      <c r="J46" s="1300">
        <f t="shared" si="16"/>
        <v>45627</v>
      </c>
      <c r="K46" s="1300">
        <f t="shared" si="16"/>
        <v>45597</v>
      </c>
      <c r="L46" s="1300">
        <f t="shared" si="16"/>
        <v>45566</v>
      </c>
      <c r="M46" s="1300">
        <f t="shared" si="16"/>
        <v>45536</v>
      </c>
      <c r="N46" s="1300">
        <f t="shared" si="16"/>
        <v>45505</v>
      </c>
      <c r="O46" s="1300">
        <f t="shared" si="16"/>
        <v>45474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1408</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1359</v>
      </c>
      <c r="B49" s="1140"/>
      <c r="C49" s="1141" t="s">
        <v>1409</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1410</v>
      </c>
      <c r="B51" s="1145" t="s">
        <v>1363</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1366</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1368</v>
      </c>
      <c r="B61" s="1145" t="s">
        <v>1372</v>
      </c>
      <c r="C61" s="1165" t="s">
        <v>1416</v>
      </c>
      <c r="D61" s="1165" t="s">
        <v>1417</v>
      </c>
      <c r="E61" s="1165" t="s">
        <v>1418</v>
      </c>
      <c r="F61" s="1165" t="s">
        <v>1419</v>
      </c>
      <c r="G61" s="1165" t="s">
        <v>1420</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1653</v>
      </c>
      <c r="C63" s="1166" t="s">
        <v>1416</v>
      </c>
      <c r="D63" s="1166" t="s">
        <v>1417</v>
      </c>
      <c r="E63" s="1166" t="s">
        <v>1418</v>
      </c>
      <c r="F63" s="1166" t="s">
        <v>1419</v>
      </c>
      <c r="G63" s="1166" t="s">
        <v>1420</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1375</v>
      </c>
      <c r="C65" s="1083" t="s">
        <v>1421</v>
      </c>
      <c r="D65" s="1083" t="s">
        <v>1422</v>
      </c>
      <c r="E65" s="1083" t="s">
        <v>1423</v>
      </c>
      <c r="F65" s="1083" t="s">
        <v>1424</v>
      </c>
      <c r="G65" s="1083" t="s">
        <v>1425</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1579</v>
      </c>
      <c r="C67" s="1166" t="s">
        <v>1416</v>
      </c>
      <c r="D67" s="1166" t="s">
        <v>1417</v>
      </c>
      <c r="E67" s="1166" t="s">
        <v>1418</v>
      </c>
      <c r="F67" s="1166" t="s">
        <v>1419</v>
      </c>
      <c r="G67" s="1166" t="s">
        <v>1420</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1378</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1381</v>
      </c>
      <c r="B77" s="1145" t="s">
        <v>1387</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1641</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1642</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1651</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1652</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99" priority="13" stopIfTrue="1">
      <formula>$F$40="超过30%"</formula>
    </cfRule>
  </conditionalFormatting>
  <conditionalFormatting sqref="E41">
    <cfRule type="expression" dxfId="98" priority="11" stopIfTrue="1">
      <formula>$F$41="超过20%"</formula>
    </cfRule>
  </conditionalFormatting>
  <conditionalFormatting sqref="E42">
    <cfRule type="expression" dxfId="97" priority="10" stopIfTrue="1">
      <formula>$F$42="超过30%"</formula>
    </cfRule>
  </conditionalFormatting>
  <conditionalFormatting sqref="F7:F34 H7:H34 J7:J34">
    <cfRule type="cellIs" dxfId="96" priority="1" operator="notEqual">
      <formula>100</formula>
    </cfRule>
  </conditionalFormatting>
  <conditionalFormatting sqref="F36">
    <cfRule type="expression" dxfId="95" priority="4">
      <formula>$D$36="简单平均"</formula>
    </cfRule>
  </conditionalFormatting>
  <conditionalFormatting sqref="F40:F42 H40:H42 J40:J42">
    <cfRule type="containsText" dxfId="94" priority="14" stopIfTrue="1" operator="containsText" text="超过">
      <formula>NOT(ISERROR(SEARCH("超过",F40)))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G42">
    <cfRule type="expression" dxfId="91" priority="12" stopIfTrue="1">
      <formula>$H$54+$H$42="超过30%"</formula>
    </cfRule>
  </conditionalFormatting>
  <conditionalFormatting sqref="H36">
    <cfRule type="expression" dxfId="90" priority="3">
      <formula>$D$36="简单平均"</formula>
    </cfRule>
  </conditionalFormatting>
  <conditionalFormatting sqref="I40">
    <cfRule type="expression" dxfId="89" priority="7" stopIfTrue="1">
      <formula>$J$40="超过30%"</formula>
    </cfRule>
  </conditionalFormatting>
  <conditionalFormatting sqref="I41">
    <cfRule type="expression" dxfId="88" priority="6" stopIfTrue="1">
      <formula>$J$41="超过20%"</formula>
    </cfRule>
  </conditionalFormatting>
  <conditionalFormatting sqref="I42">
    <cfRule type="expression" dxfId="87" priority="5" stopIfTrue="1">
      <formula>$J$42="超过30%"</formula>
    </cfRule>
  </conditionalFormatting>
  <conditionalFormatting sqref="J36">
    <cfRule type="expression" dxfId="86"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1655</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432" t="s">
        <v>1347</v>
      </c>
      <c r="D4" s="3433"/>
      <c r="E4" s="3434" t="s">
        <v>1348</v>
      </c>
      <c r="F4" s="3435"/>
      <c r="G4" s="3432" t="s">
        <v>1349</v>
      </c>
      <c r="H4" s="3433"/>
      <c r="I4" s="3432" t="s">
        <v>1350</v>
      </c>
      <c r="J4" s="3433"/>
      <c r="K4" s="1064" t="s">
        <v>1351</v>
      </c>
      <c r="L4" s="1065"/>
      <c r="M4" s="1015"/>
      <c r="N4" s="1015"/>
      <c r="O4" s="1015"/>
      <c r="P4" s="3439" t="s">
        <v>1352</v>
      </c>
      <c r="Q4" s="3440"/>
      <c r="R4" s="3443" t="s">
        <v>1348</v>
      </c>
      <c r="S4" s="3444"/>
      <c r="T4" s="3443" t="s">
        <v>1349</v>
      </c>
      <c r="U4" s="3444"/>
      <c r="V4" s="3409" t="s">
        <v>1350</v>
      </c>
      <c r="W4" s="3409"/>
      <c r="X4" s="1113"/>
      <c r="Y4" s="3443" t="s">
        <v>1352</v>
      </c>
      <c r="Z4" s="3444"/>
      <c r="AA4" s="3438" t="s">
        <v>1348</v>
      </c>
      <c r="AB4" s="3391" t="s">
        <v>1349</v>
      </c>
      <c r="AC4" s="3438" t="s">
        <v>1350</v>
      </c>
    </row>
    <row r="5" spans="1:29">
      <c r="A5" s="922"/>
      <c r="B5" s="923"/>
      <c r="C5" s="3448" t="s">
        <v>1575</v>
      </c>
      <c r="D5" s="3437"/>
      <c r="E5" s="3472" t="s">
        <v>1576</v>
      </c>
      <c r="F5" s="3450"/>
      <c r="G5" s="3448" t="s">
        <v>1577</v>
      </c>
      <c r="H5" s="3437"/>
      <c r="I5" s="3448" t="s">
        <v>1353</v>
      </c>
      <c r="J5" s="3437"/>
      <c r="K5" s="1064"/>
      <c r="L5" s="1065"/>
      <c r="M5" s="1015"/>
      <c r="N5" s="1015"/>
      <c r="O5" s="1015"/>
      <c r="P5" s="3441"/>
      <c r="Q5" s="3399"/>
      <c r="R5" s="3404"/>
      <c r="S5" s="3405"/>
      <c r="T5" s="3404"/>
      <c r="U5" s="3405"/>
      <c r="V5" s="3409"/>
      <c r="W5" s="3409"/>
      <c r="X5" s="1113"/>
      <c r="Y5" s="3404"/>
      <c r="Z5" s="3405"/>
      <c r="AA5" s="3391"/>
      <c r="AB5" s="3391"/>
      <c r="AC5" s="3391"/>
    </row>
    <row r="6" spans="1:29" ht="14.4">
      <c r="A6" s="924"/>
      <c r="B6" s="925"/>
      <c r="C6" s="3427" t="s">
        <v>1354</v>
      </c>
      <c r="D6" s="3428"/>
      <c r="E6" s="3429" t="s">
        <v>1354</v>
      </c>
      <c r="F6" s="3430"/>
      <c r="G6" s="3427" t="s">
        <v>1354</v>
      </c>
      <c r="H6" s="3428"/>
      <c r="I6" s="3427" t="s">
        <v>1354</v>
      </c>
      <c r="J6" s="3428"/>
      <c r="K6" s="1064" t="s">
        <v>1355</v>
      </c>
      <c r="L6" s="1065"/>
      <c r="M6" s="1015"/>
      <c r="N6" s="1015"/>
      <c r="O6" s="1015"/>
      <c r="P6" s="3442"/>
      <c r="Q6" s="3401"/>
      <c r="R6" s="3404"/>
      <c r="S6" s="3405"/>
      <c r="T6" s="3406"/>
      <c r="U6" s="3407"/>
      <c r="V6" s="3409"/>
      <c r="W6" s="3409"/>
      <c r="X6" s="1113"/>
      <c r="Y6" s="3406"/>
      <c r="Z6" s="3407"/>
      <c r="AA6" s="3392"/>
      <c r="AB6" s="3392"/>
      <c r="AC6" s="3392"/>
    </row>
    <row r="7" spans="1:29" s="899" customFormat="1" ht="14.4">
      <c r="A7" s="927" t="s">
        <v>1356</v>
      </c>
      <c r="B7" s="928"/>
      <c r="C7" s="929">
        <f>'数据-取费表'!B2</f>
        <v>45839</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15" t="s">
        <v>1357</v>
      </c>
      <c r="Q7" s="3431"/>
      <c r="R7" s="1114" t="s">
        <v>1358</v>
      </c>
      <c r="S7" s="1115">
        <f t="shared" ref="S7:S15" si="0">F7</f>
        <v>0</v>
      </c>
      <c r="T7" s="1114" t="s">
        <v>1358</v>
      </c>
      <c r="U7" s="1115">
        <f t="shared" ref="U7:U15" si="1">H7</f>
        <v>0</v>
      </c>
      <c r="V7" s="1114" t="s">
        <v>1358</v>
      </c>
      <c r="W7" s="1115">
        <f t="shared" ref="W7:W15" si="2">J7</f>
        <v>0</v>
      </c>
      <c r="X7" s="1116"/>
      <c r="Y7" s="3415" t="s">
        <v>1357</v>
      </c>
      <c r="Z7" s="3416"/>
      <c r="AA7" s="1126" t="e">
        <f>D7/F7</f>
        <v>#DIV/0!</v>
      </c>
      <c r="AB7" s="1126" t="e">
        <f>D7/H7</f>
        <v>#DIV/0!</v>
      </c>
      <c r="AC7" s="1126" t="e">
        <f>D7/J7</f>
        <v>#DIV/0!</v>
      </c>
    </row>
    <row r="8" spans="1:29" s="899" customFormat="1" ht="14.4">
      <c r="A8" s="927" t="s">
        <v>1359</v>
      </c>
      <c r="B8" s="928"/>
      <c r="C8" s="934" t="s">
        <v>1409</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15" t="s">
        <v>1361</v>
      </c>
      <c r="Q8" s="3416"/>
      <c r="R8" s="1114" t="s">
        <v>1358</v>
      </c>
      <c r="S8" s="1115">
        <f t="shared" si="0"/>
        <v>0</v>
      </c>
      <c r="T8" s="1114" t="s">
        <v>1358</v>
      </c>
      <c r="U8" s="1115">
        <f t="shared" si="1"/>
        <v>0</v>
      </c>
      <c r="V8" s="1114" t="s">
        <v>1358</v>
      </c>
      <c r="W8" s="1115">
        <f t="shared" si="2"/>
        <v>0</v>
      </c>
      <c r="X8" s="1116"/>
      <c r="Y8" s="3415" t="s">
        <v>1361</v>
      </c>
      <c r="Z8" s="3416"/>
      <c r="AA8" s="1126" t="e">
        <f t="shared" ref="AA8:AA45" si="3">D8/F8</f>
        <v>#DIV/0!</v>
      </c>
      <c r="AB8" s="1126" t="e">
        <f t="shared" ref="AB8:AB45" si="4">D8/H8</f>
        <v>#DIV/0!</v>
      </c>
      <c r="AC8" s="1126" t="e">
        <f t="shared" ref="AC8:AC45" si="5">D8/J8</f>
        <v>#DIV/0!</v>
      </c>
    </row>
    <row r="9" spans="1:29" s="899" customFormat="1" ht="14.4">
      <c r="A9" s="935" t="s">
        <v>1362</v>
      </c>
      <c r="B9" s="936" t="s">
        <v>1363</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11" t="s">
        <v>1364</v>
      </c>
      <c r="Q9" s="790" t="str">
        <f t="shared" ref="Q9:Q15" si="6">B9</f>
        <v>用途</v>
      </c>
      <c r="R9" s="1114" t="s">
        <v>1358</v>
      </c>
      <c r="S9" s="1115">
        <f t="shared" si="0"/>
        <v>100</v>
      </c>
      <c r="T9" s="1114" t="s">
        <v>1358</v>
      </c>
      <c r="U9" s="1115">
        <f t="shared" si="1"/>
        <v>100</v>
      </c>
      <c r="V9" s="1114" t="s">
        <v>1358</v>
      </c>
      <c r="W9" s="1115">
        <f t="shared" si="2"/>
        <v>100</v>
      </c>
      <c r="X9" s="1116"/>
      <c r="Y9" s="3297"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1230"/>
      <c r="F10" s="942">
        <f>ROUND(100/'数据-取费表'!G16,0)</f>
        <v>116</v>
      </c>
      <c r="G10" s="1231"/>
      <c r="H10" s="942">
        <f>ROUND(100/'数据-取费表'!G16,0)</f>
        <v>116</v>
      </c>
      <c r="I10" s="1231"/>
      <c r="J10" s="942">
        <f>ROUND(100/'数据-取费表'!G16,0)</f>
        <v>116</v>
      </c>
      <c r="K10" s="1074"/>
      <c r="L10" s="1075"/>
      <c r="M10" s="1076"/>
      <c r="N10" s="1076"/>
      <c r="O10" s="1077"/>
      <c r="P10" s="3411"/>
      <c r="Q10" s="790" t="str">
        <f t="shared" si="6"/>
        <v>土地使用年限（年）</v>
      </c>
      <c r="R10" s="1114" t="s">
        <v>1358</v>
      </c>
      <c r="S10" s="1115">
        <f t="shared" si="0"/>
        <v>116</v>
      </c>
      <c r="T10" s="1114" t="s">
        <v>1358</v>
      </c>
      <c r="U10" s="1115">
        <f t="shared" si="1"/>
        <v>116</v>
      </c>
      <c r="V10" s="1114" t="s">
        <v>1358</v>
      </c>
      <c r="W10" s="1115">
        <f t="shared" si="2"/>
        <v>116</v>
      </c>
      <c r="X10" s="1116"/>
      <c r="Y10" s="3297"/>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11"/>
      <c r="Q11" s="790" t="str">
        <f t="shared" si="6"/>
        <v>容积率</v>
      </c>
      <c r="R11" s="1114" t="s">
        <v>1358</v>
      </c>
      <c r="S11" s="1115" t="e">
        <f t="shared" si="0"/>
        <v>#N/A</v>
      </c>
      <c r="T11" s="1114" t="s">
        <v>1358</v>
      </c>
      <c r="U11" s="1115" t="e">
        <f t="shared" si="1"/>
        <v>#N/A</v>
      </c>
      <c r="V11" s="1114" t="s">
        <v>1358</v>
      </c>
      <c r="W11" s="1115" t="e">
        <f t="shared" si="2"/>
        <v>#N/A</v>
      </c>
      <c r="X11" s="1116"/>
      <c r="Y11" s="3297"/>
      <c r="Z11" s="1126" t="str">
        <f t="shared" si="7"/>
        <v>容积率</v>
      </c>
      <c r="AA11" s="1126" t="e">
        <f t="shared" si="3"/>
        <v>#N/A</v>
      </c>
      <c r="AB11" s="1126" t="e">
        <f t="shared" si="4"/>
        <v>#N/A</v>
      </c>
      <c r="AC11" s="1126" t="e">
        <f t="shared" si="5"/>
        <v>#N/A</v>
      </c>
    </row>
    <row r="12" spans="1:29" s="899" customFormat="1" ht="15">
      <c r="A12" s="946"/>
      <c r="B12" s="947" t="s">
        <v>1656</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11"/>
      <c r="Q12" s="790" t="str">
        <f t="shared" si="6"/>
        <v>配建</v>
      </c>
      <c r="R12" s="1114" t="s">
        <v>1358</v>
      </c>
      <c r="S12" s="1115">
        <f t="shared" si="0"/>
        <v>100</v>
      </c>
      <c r="T12" s="1114" t="s">
        <v>1358</v>
      </c>
      <c r="U12" s="1115">
        <f t="shared" si="1"/>
        <v>100</v>
      </c>
      <c r="V12" s="1114" t="s">
        <v>1358</v>
      </c>
      <c r="W12" s="1115">
        <f t="shared" si="2"/>
        <v>100</v>
      </c>
      <c r="X12" s="1116"/>
      <c r="Y12" s="3297"/>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11"/>
      <c r="Q13" s="790">
        <f t="shared" si="6"/>
        <v>111</v>
      </c>
      <c r="R13" s="1114" t="s">
        <v>1358</v>
      </c>
      <c r="S13" s="1115">
        <f t="shared" si="0"/>
        <v>100</v>
      </c>
      <c r="T13" s="1114" t="s">
        <v>1358</v>
      </c>
      <c r="U13" s="1115">
        <f t="shared" si="1"/>
        <v>100</v>
      </c>
      <c r="V13" s="1114" t="s">
        <v>1358</v>
      </c>
      <c r="W13" s="1115">
        <f t="shared" si="2"/>
        <v>100</v>
      </c>
      <c r="X13" s="1116"/>
      <c r="Y13" s="3297"/>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11"/>
      <c r="Q14" s="790">
        <f t="shared" si="6"/>
        <v>111</v>
      </c>
      <c r="R14" s="1114" t="s">
        <v>1358</v>
      </c>
      <c r="S14" s="1115">
        <f t="shared" si="0"/>
        <v>100</v>
      </c>
      <c r="T14" s="1114" t="s">
        <v>1358</v>
      </c>
      <c r="U14" s="1115">
        <f t="shared" si="1"/>
        <v>100</v>
      </c>
      <c r="V14" s="1114" t="s">
        <v>1358</v>
      </c>
      <c r="W14" s="1115">
        <f t="shared" si="2"/>
        <v>100</v>
      </c>
      <c r="X14" s="1116"/>
      <c r="Y14" s="3297"/>
      <c r="Z14" s="1126">
        <f t="shared" si="7"/>
        <v>111</v>
      </c>
      <c r="AA14" s="1126">
        <f t="shared" si="3"/>
        <v>1</v>
      </c>
      <c r="AB14" s="1126">
        <f t="shared" si="4"/>
        <v>1</v>
      </c>
      <c r="AC14" s="1126">
        <f t="shared" si="5"/>
        <v>1</v>
      </c>
    </row>
    <row r="15" spans="1:29" ht="15">
      <c r="A15" s="956" t="s">
        <v>1368</v>
      </c>
      <c r="B15" s="1232" t="s">
        <v>1578</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23" t="s">
        <v>1370</v>
      </c>
      <c r="Q15" s="621" t="str">
        <f t="shared" si="6"/>
        <v>居住社区成熟度</v>
      </c>
      <c r="R15" s="1118" t="s">
        <v>1358</v>
      </c>
      <c r="S15" s="1119">
        <f t="shared" si="0"/>
        <v>100</v>
      </c>
      <c r="T15" s="1118" t="s">
        <v>1358</v>
      </c>
      <c r="U15" s="1119">
        <f t="shared" si="1"/>
        <v>100</v>
      </c>
      <c r="V15" s="1118" t="s">
        <v>1358</v>
      </c>
      <c r="W15" s="1119">
        <f t="shared" si="2"/>
        <v>100</v>
      </c>
      <c r="X15" s="1113"/>
      <c r="Y15" s="3423" t="s">
        <v>1370</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24"/>
      <c r="Q16" s="621"/>
      <c r="R16" s="1118"/>
      <c r="S16" s="1119"/>
      <c r="T16" s="1118"/>
      <c r="U16" s="1119"/>
      <c r="V16" s="1118"/>
      <c r="W16" s="1119"/>
      <c r="X16" s="1113"/>
      <c r="Y16" s="3424"/>
      <c r="Z16" s="1102"/>
      <c r="AA16" s="1102">
        <v>1</v>
      </c>
      <c r="AB16" s="1102">
        <v>1</v>
      </c>
      <c r="AC16" s="1102">
        <v>1</v>
      </c>
    </row>
    <row r="17" spans="1:29" ht="15">
      <c r="A17" s="943"/>
      <c r="B17" s="1234" t="s">
        <v>1605</v>
      </c>
      <c r="C17" s="619" t="str">
        <f>估价对象房地状况!C16</f>
        <v>较差</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24"/>
      <c r="Q17" s="621" t="str">
        <f>B17</f>
        <v>商业繁华度</v>
      </c>
      <c r="R17" s="1118" t="s">
        <v>1358</v>
      </c>
      <c r="S17" s="1119">
        <f>F17</f>
        <v>100</v>
      </c>
      <c r="T17" s="1118" t="s">
        <v>1358</v>
      </c>
      <c r="U17" s="1119">
        <f>H17</f>
        <v>100</v>
      </c>
      <c r="V17" s="1118" t="s">
        <v>1358</v>
      </c>
      <c r="W17" s="1119">
        <f>J17</f>
        <v>100</v>
      </c>
      <c r="X17" s="1113"/>
      <c r="Y17" s="3424"/>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24"/>
      <c r="Q18" s="621"/>
      <c r="R18" s="1118"/>
      <c r="S18" s="1119"/>
      <c r="T18" s="1118"/>
      <c r="U18" s="1119"/>
      <c r="V18" s="1118"/>
      <c r="W18" s="1119"/>
      <c r="X18" s="1113"/>
      <c r="Y18" s="3424"/>
      <c r="Z18" s="1102"/>
      <c r="AA18" s="1102">
        <v>1</v>
      </c>
      <c r="AB18" s="1102">
        <v>1</v>
      </c>
      <c r="AC18" s="1102">
        <v>1</v>
      </c>
    </row>
    <row r="19" spans="1:29" ht="15">
      <c r="A19" s="943"/>
      <c r="B19" s="1234" t="s">
        <v>1369</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24"/>
      <c r="Q19" s="621" t="str">
        <f>B19</f>
        <v>办公集聚程度</v>
      </c>
      <c r="R19" s="1118" t="s">
        <v>1358</v>
      </c>
      <c r="S19" s="1119">
        <f>F19</f>
        <v>100</v>
      </c>
      <c r="T19" s="1118" t="s">
        <v>1358</v>
      </c>
      <c r="U19" s="1119">
        <f>H19</f>
        <v>100</v>
      </c>
      <c r="V19" s="1118" t="s">
        <v>1358</v>
      </c>
      <c r="W19" s="1119">
        <f>J19</f>
        <v>100</v>
      </c>
      <c r="X19" s="1113"/>
      <c r="Y19" s="3424"/>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24"/>
      <c r="Q20" s="621"/>
      <c r="R20" s="1118"/>
      <c r="S20" s="1119"/>
      <c r="T20" s="1118"/>
      <c r="U20" s="1119"/>
      <c r="V20" s="1118"/>
      <c r="W20" s="1119"/>
      <c r="X20" s="1113"/>
      <c r="Y20" s="3424"/>
      <c r="Z20" s="1102"/>
      <c r="AA20" s="1102">
        <v>1</v>
      </c>
      <c r="AB20" s="1102">
        <v>1</v>
      </c>
      <c r="AC20" s="1102">
        <v>1</v>
      </c>
    </row>
    <row r="21" spans="1:29" ht="15">
      <c r="A21" s="943"/>
      <c r="B21" s="1234" t="s">
        <v>1372</v>
      </c>
      <c r="C21" s="967" t="str">
        <f>估价对象房地状况!C18</f>
        <v>一般</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24"/>
      <c r="Q21" s="621" t="str">
        <f>B21</f>
        <v>交通便捷度</v>
      </c>
      <c r="R21" s="1118" t="s">
        <v>1358</v>
      </c>
      <c r="S21" s="1119">
        <f>F21</f>
        <v>100</v>
      </c>
      <c r="T21" s="1118" t="s">
        <v>1358</v>
      </c>
      <c r="U21" s="1119">
        <f>H21</f>
        <v>100</v>
      </c>
      <c r="V21" s="1118" t="s">
        <v>1358</v>
      </c>
      <c r="W21" s="1119">
        <f>J21</f>
        <v>100</v>
      </c>
      <c r="X21" s="1113"/>
      <c r="Y21" s="3424"/>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24"/>
      <c r="Q22" s="621"/>
      <c r="R22" s="1118"/>
      <c r="S22" s="1119"/>
      <c r="T22" s="1118"/>
      <c r="U22" s="1119"/>
      <c r="V22" s="1118"/>
      <c r="W22" s="1119"/>
      <c r="X22" s="1113"/>
      <c r="Y22" s="3424"/>
      <c r="Z22" s="1102"/>
      <c r="AA22" s="1102">
        <v>1</v>
      </c>
      <c r="AB22" s="1102">
        <v>1</v>
      </c>
      <c r="AC22" s="1102">
        <v>1</v>
      </c>
    </row>
    <row r="23" spans="1:29" ht="28.8">
      <c r="A23" s="922"/>
      <c r="B23" s="1234" t="s">
        <v>1657</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24"/>
      <c r="Q23" s="621" t="str">
        <f t="shared" ref="Q23:Q38" si="8">B23</f>
        <v>区域土地利用方向</v>
      </c>
      <c r="R23" s="1118" t="s">
        <v>1358</v>
      </c>
      <c r="S23" s="1119">
        <f>F23</f>
        <v>100</v>
      </c>
      <c r="T23" s="1118" t="s">
        <v>1358</v>
      </c>
      <c r="U23" s="1119">
        <f>H23</f>
        <v>100</v>
      </c>
      <c r="V23" s="1118" t="s">
        <v>1358</v>
      </c>
      <c r="W23" s="1119">
        <f>J23</f>
        <v>100</v>
      </c>
      <c r="X23" s="1113"/>
      <c r="Y23" s="3424"/>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24"/>
      <c r="Q24" s="621"/>
      <c r="R24" s="1118"/>
      <c r="S24" s="1119"/>
      <c r="T24" s="1118"/>
      <c r="U24" s="1119"/>
      <c r="V24" s="1118"/>
      <c r="W24" s="1119"/>
      <c r="X24" s="1113"/>
      <c r="Y24" s="3424"/>
      <c r="Z24" s="1102"/>
      <c r="AA24" s="1102"/>
      <c r="AB24" s="1102"/>
      <c r="AC24" s="1102"/>
    </row>
    <row r="25" spans="1:29" ht="28.8">
      <c r="A25" s="922"/>
      <c r="B25" s="1238" t="s">
        <v>1658</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24"/>
      <c r="Q25" s="621" t="str">
        <f t="shared" si="8"/>
        <v>自然及人文环境状况</v>
      </c>
      <c r="R25" s="1118" t="s">
        <v>1358</v>
      </c>
      <c r="S25" s="1119">
        <f>F25</f>
        <v>100</v>
      </c>
      <c r="T25" s="1118" t="s">
        <v>1358</v>
      </c>
      <c r="U25" s="1119">
        <f>H25</f>
        <v>100</v>
      </c>
      <c r="V25" s="1118" t="s">
        <v>1358</v>
      </c>
      <c r="W25" s="1119">
        <f>J25</f>
        <v>100</v>
      </c>
      <c r="X25" s="1113"/>
      <c r="Y25" s="3424"/>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24"/>
      <c r="Q26" s="621"/>
      <c r="R26" s="1118"/>
      <c r="S26" s="1119"/>
      <c r="T26" s="1118"/>
      <c r="U26" s="1119"/>
      <c r="V26" s="1118"/>
      <c r="W26" s="1119"/>
      <c r="X26" s="1113"/>
      <c r="Y26" s="3424"/>
      <c r="Z26" s="1102"/>
      <c r="AA26" s="1102">
        <v>1</v>
      </c>
      <c r="AB26" s="1102">
        <v>1</v>
      </c>
      <c r="AC26" s="1102">
        <v>1</v>
      </c>
    </row>
    <row r="27" spans="1:29" s="899" customFormat="1" ht="15">
      <c r="A27" s="972"/>
      <c r="B27" s="1238" t="s">
        <v>1373</v>
      </c>
      <c r="C27" s="967" t="str">
        <f>估价对象房地状况!C21</f>
        <v>一般</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24"/>
      <c r="Q27" s="790" t="str">
        <f t="shared" si="8"/>
        <v>公共配套设施</v>
      </c>
      <c r="R27" s="1114" t="s">
        <v>1358</v>
      </c>
      <c r="S27" s="1115">
        <f>F27</f>
        <v>100</v>
      </c>
      <c r="T27" s="1114" t="s">
        <v>1358</v>
      </c>
      <c r="U27" s="1115">
        <f>H27</f>
        <v>100</v>
      </c>
      <c r="V27" s="1114" t="s">
        <v>1358</v>
      </c>
      <c r="W27" s="1115">
        <f>J27</f>
        <v>100</v>
      </c>
      <c r="X27" s="1116"/>
      <c r="Y27" s="3424"/>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24"/>
      <c r="Q28" s="790"/>
      <c r="R28" s="1114"/>
      <c r="S28" s="1115"/>
      <c r="T28" s="1114"/>
      <c r="U28" s="1115"/>
      <c r="V28" s="1114"/>
      <c r="W28" s="1115"/>
      <c r="X28" s="1116"/>
      <c r="Y28" s="3424"/>
      <c r="Z28" s="1126"/>
      <c r="AA28" s="1102">
        <v>1</v>
      </c>
      <c r="AB28" s="1102">
        <v>1</v>
      </c>
      <c r="AC28" s="1102">
        <v>1</v>
      </c>
    </row>
    <row r="29" spans="1:29" s="899" customFormat="1" ht="15">
      <c r="A29" s="972"/>
      <c r="B29" s="1238" t="s">
        <v>1375</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24"/>
      <c r="Q29" s="790" t="str">
        <f t="shared" ref="Q29" si="9">B29</f>
        <v>基础设施水平</v>
      </c>
      <c r="R29" s="1114" t="s">
        <v>1358</v>
      </c>
      <c r="S29" s="1115">
        <f>F29</f>
        <v>100</v>
      </c>
      <c r="T29" s="1114" t="s">
        <v>1358</v>
      </c>
      <c r="U29" s="1115">
        <f>H29</f>
        <v>100</v>
      </c>
      <c r="V29" s="1114" t="s">
        <v>1358</v>
      </c>
      <c r="W29" s="1115">
        <f>J29</f>
        <v>100</v>
      </c>
      <c r="X29" s="1116"/>
      <c r="Y29" s="3424"/>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24"/>
      <c r="Q30" s="790"/>
      <c r="R30" s="1114"/>
      <c r="S30" s="1115"/>
      <c r="T30" s="1114"/>
      <c r="U30" s="1115"/>
      <c r="V30" s="1114"/>
      <c r="W30" s="1115"/>
      <c r="X30" s="1116"/>
      <c r="Y30" s="3424"/>
      <c r="Z30" s="1126"/>
      <c r="AA30" s="1102">
        <v>1</v>
      </c>
      <c r="AB30" s="1102">
        <v>1</v>
      </c>
      <c r="AC30" s="1102">
        <v>1</v>
      </c>
    </row>
    <row r="31" spans="1:29" ht="15">
      <c r="A31" s="943"/>
      <c r="B31" s="989" t="s">
        <v>1606</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24"/>
      <c r="Q31" s="621" t="str">
        <f t="shared" si="8"/>
        <v>临街状况</v>
      </c>
      <c r="R31" s="1118" t="s">
        <v>1358</v>
      </c>
      <c r="S31" s="1119">
        <f t="shared" ref="S31:S45" si="10">F31</f>
        <v>100</v>
      </c>
      <c r="T31" s="1118" t="s">
        <v>1358</v>
      </c>
      <c r="U31" s="1119">
        <f t="shared" ref="U31:U45" si="11">H31</f>
        <v>100</v>
      </c>
      <c r="V31" s="1118" t="s">
        <v>1358</v>
      </c>
      <c r="W31" s="1119">
        <f t="shared" ref="W31:W45" si="12">J31</f>
        <v>100</v>
      </c>
      <c r="X31" s="1113"/>
      <c r="Y31" s="3424"/>
      <c r="Z31" s="1102" t="str">
        <f t="shared" ref="Z31:Z45" si="13">Q31</f>
        <v>临街状况</v>
      </c>
      <c r="AA31" s="1102">
        <f t="shared" si="3"/>
        <v>1</v>
      </c>
      <c r="AB31" s="1102">
        <f t="shared" si="4"/>
        <v>1</v>
      </c>
      <c r="AC31" s="1102">
        <f t="shared" si="5"/>
        <v>1</v>
      </c>
    </row>
    <row r="32" spans="1:29" ht="28.8">
      <c r="A32" s="943"/>
      <c r="B32" s="1238" t="s">
        <v>1377</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24"/>
      <c r="Q32" s="621" t="str">
        <f t="shared" si="8"/>
        <v>毗邻道路的类型与等级</v>
      </c>
      <c r="R32" s="1118" t="s">
        <v>1358</v>
      </c>
      <c r="S32" s="1119">
        <f t="shared" si="10"/>
        <v>100</v>
      </c>
      <c r="T32" s="1118" t="s">
        <v>1358</v>
      </c>
      <c r="U32" s="1119">
        <f t="shared" si="11"/>
        <v>100</v>
      </c>
      <c r="V32" s="1118" t="s">
        <v>1358</v>
      </c>
      <c r="W32" s="1119">
        <f t="shared" si="12"/>
        <v>100</v>
      </c>
      <c r="X32" s="1113"/>
      <c r="Y32" s="3424"/>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24"/>
      <c r="Q33" s="621"/>
      <c r="R33" s="1118"/>
      <c r="S33" s="1119"/>
      <c r="T33" s="1118"/>
      <c r="U33" s="1119"/>
      <c r="V33" s="1118"/>
      <c r="W33" s="1119"/>
      <c r="X33" s="1113"/>
      <c r="Y33" s="3424"/>
      <c r="Z33" s="1102"/>
      <c r="AA33" s="1102">
        <v>1</v>
      </c>
      <c r="AB33" s="1102">
        <v>1</v>
      </c>
      <c r="AC33" s="1102">
        <v>1</v>
      </c>
    </row>
    <row r="34" spans="1:29" ht="15">
      <c r="A34" s="943"/>
      <c r="B34" s="940" t="s">
        <v>1659</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24"/>
      <c r="Q34" s="621" t="str">
        <f t="shared" si="8"/>
        <v>土地级别</v>
      </c>
      <c r="R34" s="1118" t="s">
        <v>1358</v>
      </c>
      <c r="S34" s="1119">
        <f t="shared" si="10"/>
        <v>100</v>
      </c>
      <c r="T34" s="1118" t="s">
        <v>1358</v>
      </c>
      <c r="U34" s="1119">
        <f t="shared" si="11"/>
        <v>100</v>
      </c>
      <c r="V34" s="1118" t="s">
        <v>1358</v>
      </c>
      <c r="W34" s="1119">
        <f t="shared" si="12"/>
        <v>100</v>
      </c>
      <c r="X34" s="1113"/>
      <c r="Y34" s="3424"/>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24"/>
      <c r="Q35" s="621">
        <f t="shared" si="8"/>
        <v>111</v>
      </c>
      <c r="R35" s="1118" t="s">
        <v>1358</v>
      </c>
      <c r="S35" s="1119">
        <f t="shared" si="10"/>
        <v>100</v>
      </c>
      <c r="T35" s="1118" t="s">
        <v>1358</v>
      </c>
      <c r="U35" s="1119">
        <f t="shared" si="11"/>
        <v>100</v>
      </c>
      <c r="V35" s="1118" t="s">
        <v>1358</v>
      </c>
      <c r="W35" s="1119">
        <f t="shared" si="12"/>
        <v>100</v>
      </c>
      <c r="X35" s="1113"/>
      <c r="Y35" s="3424"/>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79" t="s">
        <v>1384</v>
      </c>
      <c r="Q36" s="621">
        <f t="shared" si="8"/>
        <v>111</v>
      </c>
      <c r="R36" s="1118" t="s">
        <v>1358</v>
      </c>
      <c r="S36" s="1119">
        <f t="shared" si="10"/>
        <v>100</v>
      </c>
      <c r="T36" s="1118" t="s">
        <v>1358</v>
      </c>
      <c r="U36" s="1119">
        <f t="shared" si="11"/>
        <v>100</v>
      </c>
      <c r="V36" s="1118" t="s">
        <v>1358</v>
      </c>
      <c r="W36" s="1119">
        <f t="shared" si="12"/>
        <v>100</v>
      </c>
      <c r="X36" s="1113"/>
      <c r="Y36" s="3425" t="s">
        <v>1384</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25"/>
      <c r="Q37" s="621">
        <f t="shared" si="8"/>
        <v>111</v>
      </c>
      <c r="R37" s="1120" t="s">
        <v>1358</v>
      </c>
      <c r="S37" s="1121">
        <f t="shared" si="10"/>
        <v>100</v>
      </c>
      <c r="T37" s="1120" t="s">
        <v>1358</v>
      </c>
      <c r="U37" s="1121">
        <f t="shared" si="11"/>
        <v>100</v>
      </c>
      <c r="V37" s="1120" t="s">
        <v>1358</v>
      </c>
      <c r="W37" s="1121">
        <f t="shared" si="12"/>
        <v>100</v>
      </c>
      <c r="X37" s="1122"/>
      <c r="Y37" s="3425"/>
      <c r="Z37" s="1127">
        <f t="shared" si="13"/>
        <v>111</v>
      </c>
      <c r="AA37" s="1102">
        <f t="shared" si="3"/>
        <v>1</v>
      </c>
      <c r="AB37" s="1102">
        <f t="shared" si="4"/>
        <v>1</v>
      </c>
      <c r="AC37" s="1102">
        <f t="shared" si="5"/>
        <v>1</v>
      </c>
    </row>
    <row r="38" spans="1:29" ht="15.6">
      <c r="A38" s="991" t="s">
        <v>1381</v>
      </c>
      <c r="B38" s="989" t="s">
        <v>1660</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25"/>
      <c r="Q38" s="621" t="str">
        <f t="shared" si="8"/>
        <v>宗地面积</v>
      </c>
      <c r="R38" s="1118" t="s">
        <v>1358</v>
      </c>
      <c r="S38" s="1119" t="e">
        <f t="shared" si="10"/>
        <v>#N/A</v>
      </c>
      <c r="T38" s="1118" t="s">
        <v>1358</v>
      </c>
      <c r="U38" s="1119" t="e">
        <f t="shared" si="11"/>
        <v>#N/A</v>
      </c>
      <c r="V38" s="1118" t="s">
        <v>1358</v>
      </c>
      <c r="W38" s="1119" t="e">
        <f t="shared" si="12"/>
        <v>#N/A</v>
      </c>
      <c r="X38" s="1113"/>
      <c r="Y38" s="3425"/>
      <c r="Z38" s="1102" t="str">
        <f t="shared" si="13"/>
        <v>宗地面积</v>
      </c>
      <c r="AA38" s="1102" t="e">
        <f t="shared" si="3"/>
        <v>#N/A</v>
      </c>
      <c r="AB38" s="1102" t="e">
        <f t="shared" si="4"/>
        <v>#N/A</v>
      </c>
      <c r="AC38" s="1102" t="e">
        <f t="shared" si="5"/>
        <v>#N/A</v>
      </c>
    </row>
    <row r="39" spans="1:29" ht="15">
      <c r="A39" s="991"/>
      <c r="B39" s="940" t="s">
        <v>1661</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25"/>
      <c r="Q39" s="621" t="str">
        <f t="shared" ref="Q39:Q45" si="14">B39</f>
        <v>宗地形状</v>
      </c>
      <c r="R39" s="1118" t="s">
        <v>1358</v>
      </c>
      <c r="S39" s="1119">
        <f t="shared" si="10"/>
        <v>100</v>
      </c>
      <c r="T39" s="1118" t="s">
        <v>1358</v>
      </c>
      <c r="U39" s="1119">
        <f t="shared" si="11"/>
        <v>100</v>
      </c>
      <c r="V39" s="1118" t="s">
        <v>1358</v>
      </c>
      <c r="W39" s="1119">
        <f t="shared" si="12"/>
        <v>100</v>
      </c>
      <c r="X39" s="1113"/>
      <c r="Y39" s="3425"/>
      <c r="Z39" s="1102" t="str">
        <f t="shared" si="13"/>
        <v>宗地形状</v>
      </c>
      <c r="AA39" s="1102">
        <f t="shared" si="3"/>
        <v>1</v>
      </c>
      <c r="AB39" s="1102">
        <f t="shared" si="4"/>
        <v>1</v>
      </c>
      <c r="AC39" s="1102">
        <f t="shared" si="5"/>
        <v>1</v>
      </c>
    </row>
    <row r="40" spans="1:29" ht="15">
      <c r="A40" s="991"/>
      <c r="B40" s="940" t="s">
        <v>1662</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25"/>
      <c r="Q40" s="621" t="str">
        <f t="shared" si="14"/>
        <v>临街宽度及深度</v>
      </c>
      <c r="R40" s="1118" t="s">
        <v>1358</v>
      </c>
      <c r="S40" s="1119">
        <f t="shared" si="10"/>
        <v>100</v>
      </c>
      <c r="T40" s="1118" t="s">
        <v>1358</v>
      </c>
      <c r="U40" s="1119">
        <f t="shared" si="11"/>
        <v>100</v>
      </c>
      <c r="V40" s="1118" t="s">
        <v>1358</v>
      </c>
      <c r="W40" s="1119">
        <f t="shared" si="12"/>
        <v>100</v>
      </c>
      <c r="X40" s="1113"/>
      <c r="Y40" s="3425"/>
      <c r="Z40" s="1102" t="str">
        <f t="shared" si="13"/>
        <v>临街宽度及深度</v>
      </c>
      <c r="AA40" s="1102">
        <f t="shared" si="3"/>
        <v>1</v>
      </c>
      <c r="AB40" s="1102">
        <f t="shared" si="4"/>
        <v>1</v>
      </c>
      <c r="AC40" s="1102">
        <f t="shared" si="5"/>
        <v>1</v>
      </c>
    </row>
    <row r="41" spans="1:29" s="899" customFormat="1" ht="15">
      <c r="A41" s="993"/>
      <c r="B41" s="940" t="s">
        <v>1663</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25"/>
      <c r="Q41" s="621" t="str">
        <f t="shared" si="14"/>
        <v>宗地开发程度</v>
      </c>
      <c r="R41" s="1114" t="s">
        <v>1358</v>
      </c>
      <c r="S41" s="1115">
        <f t="shared" si="10"/>
        <v>100</v>
      </c>
      <c r="T41" s="1114" t="s">
        <v>1358</v>
      </c>
      <c r="U41" s="1115">
        <f t="shared" si="11"/>
        <v>100</v>
      </c>
      <c r="V41" s="1114" t="s">
        <v>1358</v>
      </c>
      <c r="W41" s="1115">
        <f t="shared" si="12"/>
        <v>100</v>
      </c>
      <c r="X41" s="1116"/>
      <c r="Y41" s="3425"/>
      <c r="Z41" s="1126" t="str">
        <f t="shared" si="13"/>
        <v>宗地开发程度</v>
      </c>
      <c r="AA41" s="1126">
        <f t="shared" si="3"/>
        <v>1</v>
      </c>
      <c r="AB41" s="1126">
        <f t="shared" si="4"/>
        <v>1</v>
      </c>
      <c r="AC41" s="1126">
        <f t="shared" si="5"/>
        <v>1</v>
      </c>
    </row>
    <row r="42" spans="1:29" ht="15">
      <c r="A42" s="991"/>
      <c r="B42" s="940" t="s">
        <v>1664</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25" t="s">
        <v>1384</v>
      </c>
      <c r="Q42" s="621" t="str">
        <f t="shared" si="14"/>
        <v>工程地质条件</v>
      </c>
      <c r="R42" s="1118" t="s">
        <v>1358</v>
      </c>
      <c r="S42" s="1119">
        <f t="shared" si="10"/>
        <v>100</v>
      </c>
      <c r="T42" s="1118" t="s">
        <v>1358</v>
      </c>
      <c r="U42" s="1119">
        <f t="shared" si="11"/>
        <v>100</v>
      </c>
      <c r="V42" s="1118" t="s">
        <v>1358</v>
      </c>
      <c r="W42" s="1119">
        <f t="shared" si="12"/>
        <v>100</v>
      </c>
      <c r="X42" s="1113"/>
      <c r="Y42" s="3425" t="s">
        <v>1384</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25"/>
      <c r="Q43" s="621">
        <f t="shared" si="14"/>
        <v>111</v>
      </c>
      <c r="R43" s="1118" t="s">
        <v>1358</v>
      </c>
      <c r="S43" s="1119">
        <f t="shared" si="10"/>
        <v>100</v>
      </c>
      <c r="T43" s="1118" t="s">
        <v>1358</v>
      </c>
      <c r="U43" s="1119">
        <f t="shared" si="11"/>
        <v>100</v>
      </c>
      <c r="V43" s="1118" t="s">
        <v>1358</v>
      </c>
      <c r="W43" s="1119">
        <f t="shared" si="12"/>
        <v>100</v>
      </c>
      <c r="X43" s="1113"/>
      <c r="Y43" s="3425"/>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25"/>
      <c r="Q44" s="621">
        <f t="shared" si="14"/>
        <v>111</v>
      </c>
      <c r="R44" s="1118" t="s">
        <v>1358</v>
      </c>
      <c r="S44" s="1119">
        <f t="shared" si="10"/>
        <v>100</v>
      </c>
      <c r="T44" s="1118" t="s">
        <v>1358</v>
      </c>
      <c r="U44" s="1119">
        <f t="shared" si="11"/>
        <v>100</v>
      </c>
      <c r="V44" s="1118" t="s">
        <v>1358</v>
      </c>
      <c r="W44" s="1119">
        <f t="shared" si="12"/>
        <v>100</v>
      </c>
      <c r="X44" s="1113"/>
      <c r="Y44" s="3425"/>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25"/>
      <c r="Q45" s="621">
        <f t="shared" si="14"/>
        <v>111</v>
      </c>
      <c r="R45" s="1120" t="s">
        <v>1358</v>
      </c>
      <c r="S45" s="1121">
        <f t="shared" si="10"/>
        <v>100</v>
      </c>
      <c r="T45" s="1120" t="s">
        <v>1358</v>
      </c>
      <c r="U45" s="1121">
        <f t="shared" si="11"/>
        <v>100</v>
      </c>
      <c r="V45" s="1120" t="s">
        <v>1358</v>
      </c>
      <c r="W45" s="1121">
        <f t="shared" si="12"/>
        <v>100</v>
      </c>
      <c r="X45" s="1122"/>
      <c r="Y45" s="3425"/>
      <c r="Z45" s="1127">
        <f t="shared" si="13"/>
        <v>111</v>
      </c>
      <c r="AA45" s="1102">
        <f t="shared" si="3"/>
        <v>1</v>
      </c>
      <c r="AB45" s="1102">
        <f t="shared" si="4"/>
        <v>1</v>
      </c>
      <c r="AC45" s="1102">
        <f t="shared" si="5"/>
        <v>1</v>
      </c>
    </row>
    <row r="46" spans="1:29" ht="14.4">
      <c r="A46" s="998" t="s">
        <v>1646</v>
      </c>
      <c r="B46" s="999" t="s">
        <v>1665</v>
      </c>
      <c r="C46" s="1000" t="s">
        <v>124</v>
      </c>
      <c r="D46" s="1001"/>
      <c r="E46" s="1002"/>
      <c r="F46" s="1003"/>
      <c r="G46" s="1004"/>
      <c r="H46" s="1005"/>
      <c r="I46" s="1002"/>
      <c r="J46" s="1005"/>
      <c r="K46" s="1093"/>
      <c r="L46" s="1094"/>
      <c r="M46" s="1015"/>
      <c r="N46" s="1015"/>
      <c r="O46" s="1015"/>
      <c r="P46" s="3411" t="str">
        <f>A46</f>
        <v>成交单价</v>
      </c>
      <c r="Q46" s="3411"/>
      <c r="R46" s="3409">
        <f>E46</f>
        <v>0</v>
      </c>
      <c r="S46" s="3409"/>
      <c r="T46" s="3409">
        <f>G46</f>
        <v>0</v>
      </c>
      <c r="U46" s="3409"/>
      <c r="V46" s="3409">
        <f>I46</f>
        <v>0</v>
      </c>
      <c r="W46" s="3409"/>
      <c r="X46" s="1055"/>
      <c r="Y46" s="1128"/>
      <c r="Z46" s="1055"/>
      <c r="AA46" s="1055"/>
      <c r="AB46" s="1055"/>
      <c r="AC46" s="1055"/>
    </row>
    <row r="47" spans="1:29" ht="14.4">
      <c r="A47" s="1006" t="s">
        <v>1401</v>
      </c>
      <c r="B47" s="1007"/>
      <c r="C47" s="1008" t="e">
        <f>R48</f>
        <v>#DIV/0!</v>
      </c>
      <c r="D47" s="1009" t="s">
        <v>1402</v>
      </c>
      <c r="E47" s="1008" t="e">
        <f>R47</f>
        <v>#DIV/0!</v>
      </c>
      <c r="F47" s="1010"/>
      <c r="G47" s="1011" t="e">
        <f>T47</f>
        <v>#DIV/0!</v>
      </c>
      <c r="H47" s="1010"/>
      <c r="I47" s="1008" t="e">
        <f>V47</f>
        <v>#DIV/0!</v>
      </c>
      <c r="J47" s="1010"/>
      <c r="K47" s="1095">
        <f>F47+H47+J47</f>
        <v>0</v>
      </c>
      <c r="L47" s="1094"/>
      <c r="M47" s="1015"/>
      <c r="N47" s="1015"/>
      <c r="O47" s="1015"/>
      <c r="P47" s="3411" t="str">
        <f>A47</f>
        <v>比较价值（元/平方米）</v>
      </c>
      <c r="Q47" s="3411"/>
      <c r="R47" s="3482" t="e">
        <f>ROUND(PRODUCT(R46,AA7:AA45),0)</f>
        <v>#DIV/0!</v>
      </c>
      <c r="S47" s="3482"/>
      <c r="T47" s="3482" t="e">
        <f>ROUND(PRODUCT(T46,AB7:AB45),0)</f>
        <v>#DIV/0!</v>
      </c>
      <c r="U47" s="3482"/>
      <c r="V47" s="3482" t="e">
        <f>ROUND(PRODUCT(V46,AC7:AC45),0)</f>
        <v>#DIV/0!</v>
      </c>
      <c r="W47" s="3482"/>
      <c r="X47" s="1055"/>
      <c r="Y47" s="1055"/>
      <c r="Z47" s="1055"/>
      <c r="AA47" s="1055"/>
      <c r="AB47" s="1055"/>
      <c r="AC47" s="1055"/>
    </row>
    <row r="48" spans="1:29" ht="14.4">
      <c r="A48" s="1012" t="s">
        <v>1666</v>
      </c>
      <c r="B48" s="1013"/>
      <c r="C48" s="1014" t="e">
        <f>R48</f>
        <v>#DIV/0!</v>
      </c>
      <c r="D48" s="1014"/>
      <c r="E48" s="1014"/>
      <c r="F48" s="1014"/>
      <c r="G48" s="1014"/>
      <c r="H48" s="1014"/>
      <c r="I48" s="1014"/>
      <c r="J48" s="1014"/>
      <c r="K48" s="1096"/>
      <c r="L48" s="1094"/>
      <c r="M48" s="1015"/>
      <c r="N48" s="1015"/>
      <c r="O48" s="1015"/>
      <c r="P48" s="3445" t="str">
        <f>A48</f>
        <v>估价对象XX用房的比较价值（楼面单价，元/平方米）</v>
      </c>
      <c r="Q48" s="3446"/>
      <c r="R48" s="3483" t="e">
        <f>ROUND(IF(D47="简单平均",AVERAGE(R47:W47),R47*F47+T47*H47+V47*J47),0)</f>
        <v>#DIV/0!</v>
      </c>
      <c r="S48" s="3483"/>
      <c r="T48" s="3483"/>
      <c r="U48" s="3483"/>
      <c r="V48" s="3483"/>
      <c r="W48" s="3483"/>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1404</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1405</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1406</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1667</v>
      </c>
      <c r="B55" s="1025" t="s">
        <v>1668</v>
      </c>
      <c r="C55" s="1026" t="s">
        <v>1669</v>
      </c>
      <c r="D55" s="1027" t="s">
        <v>1670</v>
      </c>
      <c r="E55" s="1028" t="s">
        <v>1671</v>
      </c>
      <c r="F55" s="1241" t="s">
        <v>1672</v>
      </c>
      <c r="G55" s="3432" t="s">
        <v>1673</v>
      </c>
      <c r="H55" s="3481"/>
      <c r="I55" s="1245" t="s">
        <v>1674</v>
      </c>
      <c r="J55" s="1246">
        <f>项目基本情况!F35</f>
        <v>0</v>
      </c>
      <c r="K55" s="1103" t="s">
        <v>1675</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1676</v>
      </c>
      <c r="B56" s="1031" t="e">
        <f>C48</f>
        <v>#DIV/0!</v>
      </c>
      <c r="C56" s="1032">
        <v>1</v>
      </c>
      <c r="D56" s="1033">
        <v>1</v>
      </c>
      <c r="E56" s="1032">
        <f>'数据-汇总表'!E8+'数据-汇总表'!E9</f>
        <v>885.63</v>
      </c>
      <c r="F56" s="1242" t="e">
        <f t="shared" ref="F56:F64" si="15">ROUND(B56*E56/10000,0)</f>
        <v>#DIV/0!</v>
      </c>
      <c r="G56" s="3410"/>
      <c r="H56" s="3411"/>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1677</v>
      </c>
      <c r="B57" s="362" t="e">
        <f>ROUND($C$48*C57*D57,0)</f>
        <v>#DIV/0!</v>
      </c>
      <c r="C57" s="511">
        <f t="shared" ref="C57:C64" si="16">IF($C$55="北京市系数",I57,J57)</f>
        <v>0</v>
      </c>
      <c r="D57" s="1036">
        <v>0.25</v>
      </c>
      <c r="E57" s="1037"/>
      <c r="F57" s="1242" t="e">
        <f t="shared" si="15"/>
        <v>#DIV/0!</v>
      </c>
      <c r="G57" s="1038" t="s">
        <v>1678</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1679</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1680</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1681</v>
      </c>
      <c r="B60" s="362" t="e">
        <f t="shared" si="17"/>
        <v>#DIV/0!</v>
      </c>
      <c r="C60" s="511">
        <f t="shared" si="16"/>
        <v>0</v>
      </c>
      <c r="D60" s="1036">
        <v>0.25</v>
      </c>
      <c r="E60" s="361">
        <f>'数据-汇总表'!E11</f>
        <v>0</v>
      </c>
      <c r="F60" s="1242" t="e">
        <f t="shared" si="15"/>
        <v>#DIV/0!</v>
      </c>
      <c r="G60" s="1042" t="s">
        <v>1682</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1683</v>
      </c>
      <c r="B61" s="362" t="e">
        <f t="shared" si="17"/>
        <v>#DIV/0!</v>
      </c>
      <c r="C61" s="511">
        <f t="shared" si="16"/>
        <v>0</v>
      </c>
      <c r="D61" s="1036">
        <v>0.25</v>
      </c>
      <c r="E61" s="361">
        <f>'数据-汇总表'!E12</f>
        <v>0</v>
      </c>
      <c r="F61" s="1242" t="e">
        <f t="shared" si="15"/>
        <v>#DIV/0!</v>
      </c>
      <c r="G61" s="1043" t="s">
        <v>1684</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1685</v>
      </c>
      <c r="B62" s="362" t="e">
        <f t="shared" si="17"/>
        <v>#DIV/0!</v>
      </c>
      <c r="C62" s="511">
        <f t="shared" si="16"/>
        <v>0</v>
      </c>
      <c r="D62" s="1036">
        <v>0.25</v>
      </c>
      <c r="E62" s="361">
        <f>'数据-汇总表'!E13</f>
        <v>0</v>
      </c>
      <c r="F62" s="1242" t="e">
        <f t="shared" si="15"/>
        <v>#DIV/0!</v>
      </c>
      <c r="G62" s="1043" t="s">
        <v>1686</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1687</v>
      </c>
      <c r="B63" s="362" t="e">
        <f t="shared" si="17"/>
        <v>#DIV/0!</v>
      </c>
      <c r="C63" s="511">
        <f t="shared" si="16"/>
        <v>0</v>
      </c>
      <c r="D63" s="1036">
        <v>0.25</v>
      </c>
      <c r="E63" s="361">
        <f>'数据-汇总表'!E14</f>
        <v>0</v>
      </c>
      <c r="F63" s="1242" t="e">
        <f t="shared" si="15"/>
        <v>#DIV/0!</v>
      </c>
      <c r="G63" s="1042" t="s">
        <v>1678</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1688</v>
      </c>
      <c r="B64" s="362" t="e">
        <f t="shared" si="17"/>
        <v>#DIV/0!</v>
      </c>
      <c r="C64" s="511">
        <f t="shared" si="16"/>
        <v>0</v>
      </c>
      <c r="D64" s="1036">
        <v>0.25</v>
      </c>
      <c r="E64" s="361">
        <f>'数据-汇总表'!E15</f>
        <v>0</v>
      </c>
      <c r="F64" s="1242" t="e">
        <f t="shared" si="15"/>
        <v>#DIV/0!</v>
      </c>
      <c r="G64" s="1044" t="s">
        <v>1682</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1689</v>
      </c>
      <c r="B65" s="1047" t="s">
        <v>1690</v>
      </c>
      <c r="C65" s="1047" t="s">
        <v>1690</v>
      </c>
      <c r="D65" s="1047" t="s">
        <v>1690</v>
      </c>
      <c r="E65" s="1047">
        <f>IF(B46="楼面地价",SUM(E56:E64),'数据-汇总表'!D3)</f>
        <v>885.63</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2025-7-1</v>
      </c>
      <c r="D67" s="1053">
        <f>EDATE(C67,-3)</f>
        <v>45748</v>
      </c>
      <c r="E67" s="1053">
        <f>EDATE(D67,-3)</f>
        <v>45658</v>
      </c>
      <c r="F67" s="1053">
        <f t="shared" ref="F67:O67" si="18">EDATE(E67,-3)</f>
        <v>45566</v>
      </c>
      <c r="G67" s="1053">
        <f t="shared" si="18"/>
        <v>45474</v>
      </c>
      <c r="H67" s="1053">
        <f t="shared" si="18"/>
        <v>45383</v>
      </c>
      <c r="I67" s="1053">
        <f t="shared" si="18"/>
        <v>45292</v>
      </c>
      <c r="J67" s="1053">
        <f t="shared" si="18"/>
        <v>45200</v>
      </c>
      <c r="K67" s="1053">
        <f t="shared" si="18"/>
        <v>45108</v>
      </c>
      <c r="L67" s="1053">
        <f t="shared" si="18"/>
        <v>45017</v>
      </c>
      <c r="M67" s="1053">
        <f t="shared" si="18"/>
        <v>44927</v>
      </c>
      <c r="N67" s="1053">
        <f t="shared" si="18"/>
        <v>44835</v>
      </c>
      <c r="O67" s="1053">
        <f t="shared" si="18"/>
        <v>44743</v>
      </c>
      <c r="P67" s="1015"/>
      <c r="Q67" s="1015"/>
      <c r="R67" s="1015"/>
      <c r="S67" s="1015"/>
      <c r="T67" s="1015"/>
      <c r="U67" s="1015"/>
      <c r="V67" s="1015"/>
      <c r="W67" s="1015"/>
      <c r="X67" s="1015"/>
      <c r="Y67" s="1015"/>
      <c r="Z67" s="1015"/>
      <c r="AA67" s="1015"/>
      <c r="AB67" s="1015"/>
      <c r="AC67" s="1015"/>
    </row>
    <row r="68" spans="1:29" ht="21.6">
      <c r="A68" s="1054" t="s">
        <v>1407</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1691</v>
      </c>
      <c r="B69" s="1130"/>
      <c r="C69" s="1131" t="str">
        <f>YEAR(C67)&amp;"-"&amp;ROUNDUP(MONTH(C67)/3,0)</f>
        <v>2025-3</v>
      </c>
      <c r="D69" s="1131" t="str">
        <f>YEAR(D67)&amp;"-"&amp;ROUNDUP(MONTH(D67)/3,0)</f>
        <v>2025-2</v>
      </c>
      <c r="E69" s="1131" t="str">
        <f t="shared" ref="E69:O69" si="19">YEAR(E67)&amp;"-"&amp;ROUNDUP(MONTH(E67)/3,0)</f>
        <v>2025-1</v>
      </c>
      <c r="F69" s="1131" t="str">
        <f t="shared" si="19"/>
        <v>2024-4</v>
      </c>
      <c r="G69" s="1131" t="str">
        <f t="shared" si="19"/>
        <v>2024-3</v>
      </c>
      <c r="H69" s="1131" t="str">
        <f t="shared" si="19"/>
        <v>2024-2</v>
      </c>
      <c r="I69" s="1131" t="str">
        <f t="shared" si="19"/>
        <v>2024-1</v>
      </c>
      <c r="J69" s="1131" t="str">
        <f t="shared" si="19"/>
        <v>2023-4</v>
      </c>
      <c r="K69" s="1131" t="str">
        <f t="shared" si="19"/>
        <v>2023-3</v>
      </c>
      <c r="L69" s="1131" t="str">
        <f t="shared" si="19"/>
        <v>2023-2</v>
      </c>
      <c r="M69" s="1131" t="str">
        <f t="shared" si="19"/>
        <v>2023-1</v>
      </c>
      <c r="N69" s="1131" t="str">
        <f t="shared" si="19"/>
        <v>2022-4</v>
      </c>
      <c r="O69" s="1131" t="str">
        <f t="shared" si="19"/>
        <v>2022-3</v>
      </c>
      <c r="P69" s="1176"/>
      <c r="Q69" s="1176"/>
      <c r="R69" s="1176"/>
      <c r="S69" s="1176"/>
      <c r="T69" s="1176"/>
      <c r="U69" s="1176"/>
      <c r="V69" s="1176"/>
      <c r="W69" s="1176"/>
      <c r="X69" s="1176"/>
      <c r="Y69" s="1176"/>
      <c r="Z69" s="1176"/>
      <c r="AA69" s="1176"/>
      <c r="AB69" s="1176"/>
      <c r="AC69" s="1176"/>
    </row>
    <row r="70" spans="1:29" s="899" customFormat="1" ht="30" customHeight="1">
      <c r="A70" s="1253" t="s">
        <v>1692</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1408</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1359</v>
      </c>
      <c r="B72" s="1140"/>
      <c r="C72" s="1141" t="s">
        <v>1409</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1410</v>
      </c>
      <c r="B74" s="1145" t="s">
        <v>1363</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1366</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1367</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1368</v>
      </c>
      <c r="B87" s="1145" t="s">
        <v>1578</v>
      </c>
      <c r="C87" s="1165" t="s">
        <v>1416</v>
      </c>
      <c r="D87" s="1165" t="s">
        <v>1417</v>
      </c>
      <c r="E87" s="1165" t="s">
        <v>1418</v>
      </c>
      <c r="F87" s="1165" t="s">
        <v>1419</v>
      </c>
      <c r="G87" s="1165" t="s">
        <v>1420</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1605</v>
      </c>
      <c r="C89" s="1166" t="s">
        <v>1416</v>
      </c>
      <c r="D89" s="1166" t="s">
        <v>1417</v>
      </c>
      <c r="E89" s="1166" t="s">
        <v>1418</v>
      </c>
      <c r="F89" s="1166" t="s">
        <v>1419</v>
      </c>
      <c r="G89" s="1166" t="s">
        <v>1420</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1369</v>
      </c>
      <c r="C91" s="1166" t="s">
        <v>1416</v>
      </c>
      <c r="D91" s="1166" t="s">
        <v>1417</v>
      </c>
      <c r="E91" s="1166" t="s">
        <v>1418</v>
      </c>
      <c r="F91" s="1166" t="s">
        <v>1419</v>
      </c>
      <c r="G91" s="1166" t="s">
        <v>1420</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1372</v>
      </c>
      <c r="C93" s="1166" t="s">
        <v>1416</v>
      </c>
      <c r="D93" s="1166" t="s">
        <v>1417</v>
      </c>
      <c r="E93" s="1166" t="s">
        <v>1418</v>
      </c>
      <c r="F93" s="1166" t="s">
        <v>1419</v>
      </c>
      <c r="G93" s="1166" t="s">
        <v>1420</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1657</v>
      </c>
      <c r="C95" s="1166" t="s">
        <v>1416</v>
      </c>
      <c r="D95" s="1166" t="s">
        <v>1417</v>
      </c>
      <c r="E95" s="1166" t="s">
        <v>1418</v>
      </c>
      <c r="F95" s="1166" t="s">
        <v>1419</v>
      </c>
      <c r="G95" s="1166" t="s">
        <v>1420</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1658</v>
      </c>
      <c r="C97" s="1165" t="s">
        <v>1416</v>
      </c>
      <c r="D97" s="1165" t="s">
        <v>1417</v>
      </c>
      <c r="E97" s="1165" t="s">
        <v>1418</v>
      </c>
      <c r="F97" s="1165" t="s">
        <v>1419</v>
      </c>
      <c r="G97" s="1165" t="s">
        <v>1420</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1373</v>
      </c>
      <c r="C99" s="1165" t="s">
        <v>1416</v>
      </c>
      <c r="D99" s="1165" t="s">
        <v>1417</v>
      </c>
      <c r="E99" s="1165" t="s">
        <v>1418</v>
      </c>
      <c r="F99" s="1165" t="s">
        <v>1419</v>
      </c>
      <c r="G99" s="1165" t="s">
        <v>1420</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1375</v>
      </c>
      <c r="C101" s="1083" t="s">
        <v>1421</v>
      </c>
      <c r="D101" s="1083" t="s">
        <v>1422</v>
      </c>
      <c r="E101" s="1083" t="s">
        <v>1423</v>
      </c>
      <c r="F101" s="1083" t="s">
        <v>1424</v>
      </c>
      <c r="G101" s="1083" t="s">
        <v>1425</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1693</v>
      </c>
      <c r="D103" s="1149" t="s">
        <v>1694</v>
      </c>
      <c r="E103" s="1149" t="s">
        <v>1695</v>
      </c>
      <c r="F103" s="1149" t="s">
        <v>1696</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1377</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1659</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1381</v>
      </c>
      <c r="B115" s="1145" t="s">
        <v>1660</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1661</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1662</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1663</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1664</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85" priority="13" stopIfTrue="1">
      <formula>$F$51="超过30%"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F7:F45 H7:H45 J7:J45">
    <cfRule type="cellIs" dxfId="82" priority="1" operator="notEqual">
      <formula>100</formula>
    </cfRule>
  </conditionalFormatting>
  <conditionalFormatting sqref="F47">
    <cfRule type="expression" dxfId="81" priority="4">
      <formula>$D$47="简单平均"</formula>
    </cfRule>
  </conditionalFormatting>
  <conditionalFormatting sqref="F51:F53 H51:H53 J51:J53">
    <cfRule type="containsText" dxfId="80" priority="14" stopIfTrue="1" operator="containsText" text="超过">
      <formula>NOT(ISERROR(SEARCH("超过",F51)))</formula>
    </cfRule>
  </conditionalFormatting>
  <conditionalFormatting sqref="G51">
    <cfRule type="expression" dxfId="79" priority="9" stopIfTrue="1">
      <formula>$H$53+$H$51="超过30%"</formula>
    </cfRule>
  </conditionalFormatting>
  <conditionalFormatting sqref="G52">
    <cfRule type="expression" dxfId="78" priority="8" stopIfTrue="1">
      <formula>$H$52="超过20%"</formula>
    </cfRule>
  </conditionalFormatting>
  <conditionalFormatting sqref="G53">
    <cfRule type="expression" dxfId="77" priority="12" stopIfTrue="1">
      <formula>$H$53="超过30%"</formula>
    </cfRule>
  </conditionalFormatting>
  <conditionalFormatting sqref="H47">
    <cfRule type="expression" dxfId="76" priority="3">
      <formula>$D$47="简单平均"</formula>
    </cfRule>
  </conditionalFormatting>
  <conditionalFormatting sqref="I51">
    <cfRule type="expression" dxfId="75" priority="7" stopIfTrue="1">
      <formula>$J$51="超过30%"</formula>
    </cfRule>
  </conditionalFormatting>
  <conditionalFormatting sqref="I52">
    <cfRule type="expression" dxfId="74" priority="6" stopIfTrue="1">
      <formula>$J$52="超过20%"</formula>
    </cfRule>
  </conditionalFormatting>
  <conditionalFormatting sqref="I53">
    <cfRule type="expression" dxfId="73" priority="5" stopIfTrue="1">
      <formula>$J$53="超过30%"</formula>
    </cfRule>
  </conditionalFormatting>
  <conditionalFormatting sqref="J47">
    <cfRule type="expression" dxfId="72"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1632</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432" t="s">
        <v>1347</v>
      </c>
      <c r="D4" s="3433"/>
      <c r="E4" s="3434" t="s">
        <v>1348</v>
      </c>
      <c r="F4" s="3435"/>
      <c r="G4" s="3432" t="s">
        <v>1349</v>
      </c>
      <c r="H4" s="3433"/>
      <c r="I4" s="3432" t="s">
        <v>1350</v>
      </c>
      <c r="J4" s="3433"/>
      <c r="K4" s="1064" t="s">
        <v>1351</v>
      </c>
      <c r="L4" s="1065"/>
      <c r="M4" s="1015"/>
      <c r="N4" s="1015"/>
      <c r="O4" s="1015"/>
      <c r="P4" s="3439" t="s">
        <v>1352</v>
      </c>
      <c r="Q4" s="3440"/>
      <c r="R4" s="3443" t="s">
        <v>1348</v>
      </c>
      <c r="S4" s="3444"/>
      <c r="T4" s="3443" t="s">
        <v>1349</v>
      </c>
      <c r="U4" s="3444"/>
      <c r="V4" s="3409" t="s">
        <v>1350</v>
      </c>
      <c r="W4" s="3409"/>
      <c r="X4" s="1113"/>
      <c r="Y4" s="3443" t="s">
        <v>1352</v>
      </c>
      <c r="Z4" s="3444"/>
      <c r="AA4" s="3438" t="s">
        <v>1348</v>
      </c>
      <c r="AB4" s="3391" t="s">
        <v>1349</v>
      </c>
      <c r="AC4" s="3438" t="s">
        <v>1350</v>
      </c>
    </row>
    <row r="5" spans="1:29">
      <c r="A5" s="922"/>
      <c r="B5" s="923"/>
      <c r="C5" s="3448" t="s">
        <v>1575</v>
      </c>
      <c r="D5" s="3437"/>
      <c r="E5" s="3472" t="s">
        <v>1576</v>
      </c>
      <c r="F5" s="3450"/>
      <c r="G5" s="3448" t="s">
        <v>1577</v>
      </c>
      <c r="H5" s="3437"/>
      <c r="I5" s="3448" t="s">
        <v>1353</v>
      </c>
      <c r="J5" s="3437"/>
      <c r="K5" s="1064"/>
      <c r="L5" s="1065"/>
      <c r="M5" s="1015"/>
      <c r="N5" s="1015"/>
      <c r="O5" s="1015"/>
      <c r="P5" s="3441"/>
      <c r="Q5" s="3399"/>
      <c r="R5" s="3404"/>
      <c r="S5" s="3405"/>
      <c r="T5" s="3404"/>
      <c r="U5" s="3405"/>
      <c r="V5" s="3409"/>
      <c r="W5" s="3409"/>
      <c r="X5" s="1113"/>
      <c r="Y5" s="3404"/>
      <c r="Z5" s="3405"/>
      <c r="AA5" s="3391"/>
      <c r="AB5" s="3391"/>
      <c r="AC5" s="3391"/>
    </row>
    <row r="6" spans="1:29" ht="14.4">
      <c r="A6" s="924"/>
      <c r="B6" s="925"/>
      <c r="C6" s="3484" t="s">
        <v>1697</v>
      </c>
      <c r="D6" s="3485"/>
      <c r="E6" s="3486" t="s">
        <v>1697</v>
      </c>
      <c r="F6" s="3487"/>
      <c r="G6" s="3484" t="s">
        <v>1697</v>
      </c>
      <c r="H6" s="3485"/>
      <c r="I6" s="3484" t="s">
        <v>1697</v>
      </c>
      <c r="J6" s="3485"/>
      <c r="K6" s="1064" t="s">
        <v>1355</v>
      </c>
      <c r="L6" s="1065"/>
      <c r="M6" s="1015"/>
      <c r="N6" s="1015"/>
      <c r="O6" s="1015"/>
      <c r="P6" s="3442"/>
      <c r="Q6" s="3401"/>
      <c r="R6" s="3404"/>
      <c r="S6" s="3405"/>
      <c r="T6" s="3406"/>
      <c r="U6" s="3407"/>
      <c r="V6" s="3409"/>
      <c r="W6" s="3409"/>
      <c r="X6" s="1113"/>
      <c r="Y6" s="3406"/>
      <c r="Z6" s="3407"/>
      <c r="AA6" s="3392"/>
      <c r="AB6" s="3392"/>
      <c r="AC6" s="3392"/>
    </row>
    <row r="7" spans="1:29" s="899" customFormat="1" ht="14.4">
      <c r="A7" s="927" t="s">
        <v>1356</v>
      </c>
      <c r="B7" s="928"/>
      <c r="C7" s="929">
        <f>'数据-取费表'!B2</f>
        <v>45839</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15" t="s">
        <v>1357</v>
      </c>
      <c r="Q7" s="3431"/>
      <c r="R7" s="1114" t="s">
        <v>1358</v>
      </c>
      <c r="S7" s="1115">
        <f t="shared" ref="S7:S15" si="0">F7</f>
        <v>0</v>
      </c>
      <c r="T7" s="1114" t="s">
        <v>1358</v>
      </c>
      <c r="U7" s="1115">
        <f t="shared" ref="U7:U15" si="1">H7</f>
        <v>0</v>
      </c>
      <c r="V7" s="1114" t="s">
        <v>1358</v>
      </c>
      <c r="W7" s="1115">
        <f t="shared" ref="W7:W15" si="2">J7</f>
        <v>0</v>
      </c>
      <c r="X7" s="1116"/>
      <c r="Y7" s="3415" t="s">
        <v>1357</v>
      </c>
      <c r="Z7" s="3416"/>
      <c r="AA7" s="1126" t="e">
        <f>D7/F7</f>
        <v>#DIV/0!</v>
      </c>
      <c r="AB7" s="1126" t="e">
        <f>D7/H7</f>
        <v>#DIV/0!</v>
      </c>
      <c r="AC7" s="1126" t="e">
        <f>D7/J7</f>
        <v>#DIV/0!</v>
      </c>
    </row>
    <row r="8" spans="1:29" s="899" customFormat="1" ht="14.4">
      <c r="A8" s="927" t="s">
        <v>1359</v>
      </c>
      <c r="B8" s="928"/>
      <c r="C8" s="934" t="s">
        <v>1409</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15" t="s">
        <v>1361</v>
      </c>
      <c r="Q8" s="3416"/>
      <c r="R8" s="1114" t="s">
        <v>1358</v>
      </c>
      <c r="S8" s="1115">
        <f t="shared" si="0"/>
        <v>0</v>
      </c>
      <c r="T8" s="1114" t="s">
        <v>1358</v>
      </c>
      <c r="U8" s="1115">
        <f t="shared" si="1"/>
        <v>0</v>
      </c>
      <c r="V8" s="1114" t="s">
        <v>1358</v>
      </c>
      <c r="W8" s="1115">
        <f t="shared" si="2"/>
        <v>0</v>
      </c>
      <c r="X8" s="1116"/>
      <c r="Y8" s="3415" t="s">
        <v>1361</v>
      </c>
      <c r="Z8" s="3416"/>
      <c r="AA8" s="1126" t="e">
        <f t="shared" ref="AA8:AA40" si="3">D8/F8</f>
        <v>#DIV/0!</v>
      </c>
      <c r="AB8" s="1126" t="e">
        <f t="shared" ref="AB8:AB40" si="4">D8/H8</f>
        <v>#DIV/0!</v>
      </c>
      <c r="AC8" s="1126" t="e">
        <f t="shared" ref="AC8:AC40" si="5">D8/J8</f>
        <v>#DIV/0!</v>
      </c>
    </row>
    <row r="9" spans="1:29" s="899" customFormat="1" ht="14.4">
      <c r="A9" s="935" t="s">
        <v>1362</v>
      </c>
      <c r="B9" s="936" t="s">
        <v>1363</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11" t="s">
        <v>1364</v>
      </c>
      <c r="Q9" s="790" t="str">
        <f t="shared" ref="Q9:Q15" si="6">B9</f>
        <v>用途</v>
      </c>
      <c r="R9" s="1114" t="s">
        <v>1358</v>
      </c>
      <c r="S9" s="1115">
        <f t="shared" si="0"/>
        <v>100</v>
      </c>
      <c r="T9" s="1114" t="s">
        <v>1358</v>
      </c>
      <c r="U9" s="1115">
        <f t="shared" si="1"/>
        <v>100</v>
      </c>
      <c r="V9" s="1114" t="s">
        <v>1358</v>
      </c>
      <c r="W9" s="1115">
        <f t="shared" si="2"/>
        <v>100</v>
      </c>
      <c r="X9" s="1116"/>
      <c r="Y9" s="3297"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941"/>
      <c r="F10" s="942">
        <f>ROUND(100/'数据-取费表'!G16,0)</f>
        <v>116</v>
      </c>
      <c r="G10" s="941"/>
      <c r="H10" s="942">
        <f>ROUND(100/'数据-取费表'!G16,0)</f>
        <v>116</v>
      </c>
      <c r="I10" s="941"/>
      <c r="J10" s="942">
        <f>ROUND(100/'数据-取费表'!G16,0)</f>
        <v>116</v>
      </c>
      <c r="K10" s="1074"/>
      <c r="L10" s="1075"/>
      <c r="M10" s="1076"/>
      <c r="N10" s="1076"/>
      <c r="O10" s="1077"/>
      <c r="P10" s="3411"/>
      <c r="Q10" s="790" t="str">
        <f t="shared" si="6"/>
        <v>土地使用年限（年）</v>
      </c>
      <c r="R10" s="1114" t="s">
        <v>1358</v>
      </c>
      <c r="S10" s="1115">
        <f t="shared" si="0"/>
        <v>116</v>
      </c>
      <c r="T10" s="1114" t="s">
        <v>1358</v>
      </c>
      <c r="U10" s="1115">
        <f t="shared" si="1"/>
        <v>116</v>
      </c>
      <c r="V10" s="1114" t="s">
        <v>1358</v>
      </c>
      <c r="W10" s="1115">
        <f t="shared" si="2"/>
        <v>116</v>
      </c>
      <c r="X10" s="1116"/>
      <c r="Y10" s="3297"/>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11"/>
      <c r="Q11" s="790" t="str">
        <f t="shared" si="6"/>
        <v>容积率</v>
      </c>
      <c r="R11" s="1114" t="s">
        <v>1358</v>
      </c>
      <c r="S11" s="1115" t="e">
        <f t="shared" si="0"/>
        <v>#N/A</v>
      </c>
      <c r="T11" s="1114" t="s">
        <v>1358</v>
      </c>
      <c r="U11" s="1115" t="e">
        <f t="shared" si="1"/>
        <v>#N/A</v>
      </c>
      <c r="V11" s="1114" t="s">
        <v>1358</v>
      </c>
      <c r="W11" s="1115" t="e">
        <f t="shared" si="2"/>
        <v>#N/A</v>
      </c>
      <c r="X11" s="1116"/>
      <c r="Y11" s="3297"/>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11"/>
      <c r="Q12" s="790">
        <f t="shared" si="6"/>
        <v>111</v>
      </c>
      <c r="R12" s="1114" t="s">
        <v>1358</v>
      </c>
      <c r="S12" s="1115">
        <f t="shared" si="0"/>
        <v>100</v>
      </c>
      <c r="T12" s="1114" t="s">
        <v>1358</v>
      </c>
      <c r="U12" s="1115">
        <f t="shared" si="1"/>
        <v>100</v>
      </c>
      <c r="V12" s="1114" t="s">
        <v>1358</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11"/>
      <c r="Q13" s="790">
        <f t="shared" si="6"/>
        <v>111</v>
      </c>
      <c r="R13" s="1114" t="s">
        <v>1358</v>
      </c>
      <c r="S13" s="1115">
        <f t="shared" si="0"/>
        <v>100</v>
      </c>
      <c r="T13" s="1114" t="s">
        <v>1358</v>
      </c>
      <c r="U13" s="1115">
        <f t="shared" si="1"/>
        <v>100</v>
      </c>
      <c r="V13" s="1114" t="s">
        <v>1358</v>
      </c>
      <c r="W13" s="1115">
        <f t="shared" si="2"/>
        <v>100</v>
      </c>
      <c r="X13" s="1116"/>
      <c r="Y13" s="3297"/>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11"/>
      <c r="Q14" s="790">
        <f t="shared" si="6"/>
        <v>111</v>
      </c>
      <c r="R14" s="1114" t="s">
        <v>1358</v>
      </c>
      <c r="S14" s="1115">
        <f t="shared" si="0"/>
        <v>100</v>
      </c>
      <c r="T14" s="1114" t="s">
        <v>1358</v>
      </c>
      <c r="U14" s="1115">
        <f t="shared" si="1"/>
        <v>100</v>
      </c>
      <c r="V14" s="1114" t="s">
        <v>1358</v>
      </c>
      <c r="W14" s="1115">
        <f t="shared" si="2"/>
        <v>100</v>
      </c>
      <c r="X14" s="1116"/>
      <c r="Y14" s="3297"/>
      <c r="Z14" s="1126">
        <f t="shared" si="7"/>
        <v>111</v>
      </c>
      <c r="AA14" s="1126">
        <f t="shared" si="3"/>
        <v>1</v>
      </c>
      <c r="AB14" s="1126">
        <f t="shared" si="4"/>
        <v>1</v>
      </c>
      <c r="AC14" s="1126">
        <f t="shared" si="5"/>
        <v>1</v>
      </c>
    </row>
    <row r="15" spans="1:29" ht="15">
      <c r="A15" s="956" t="s">
        <v>1368</v>
      </c>
      <c r="B15" s="957" t="s">
        <v>1633</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23" t="s">
        <v>1370</v>
      </c>
      <c r="Q15" s="621" t="str">
        <f t="shared" si="6"/>
        <v>产业集聚程度</v>
      </c>
      <c r="R15" s="1118" t="s">
        <v>1358</v>
      </c>
      <c r="S15" s="1119">
        <f t="shared" si="0"/>
        <v>100</v>
      </c>
      <c r="T15" s="1118" t="s">
        <v>1358</v>
      </c>
      <c r="U15" s="1119">
        <f t="shared" si="1"/>
        <v>100</v>
      </c>
      <c r="V15" s="1118" t="s">
        <v>1358</v>
      </c>
      <c r="W15" s="1119">
        <f t="shared" si="2"/>
        <v>100</v>
      </c>
      <c r="X15" s="1113"/>
      <c r="Y15" s="3423" t="s">
        <v>1370</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24"/>
      <c r="Q16" s="621"/>
      <c r="R16" s="1118"/>
      <c r="S16" s="1119"/>
      <c r="T16" s="1118"/>
      <c r="U16" s="1119"/>
      <c r="V16" s="1118"/>
      <c r="W16" s="1119"/>
      <c r="X16" s="1113"/>
      <c r="Y16" s="3424"/>
      <c r="Z16" s="1102"/>
      <c r="AA16" s="1102">
        <v>1</v>
      </c>
      <c r="AB16" s="1102">
        <v>1</v>
      </c>
      <c r="AC16" s="1102">
        <v>1</v>
      </c>
    </row>
    <row r="17" spans="1:29" ht="15">
      <c r="A17" s="943"/>
      <c r="B17" s="966" t="s">
        <v>1372</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24"/>
      <c r="Q17" s="621" t="str">
        <f>B17</f>
        <v>交通便捷度</v>
      </c>
      <c r="R17" s="1118" t="s">
        <v>1358</v>
      </c>
      <c r="S17" s="1119">
        <f>F17</f>
        <v>100</v>
      </c>
      <c r="T17" s="1118" t="s">
        <v>1358</v>
      </c>
      <c r="U17" s="1119">
        <f>H17</f>
        <v>100</v>
      </c>
      <c r="V17" s="1118" t="s">
        <v>1358</v>
      </c>
      <c r="W17" s="1119">
        <f>J17</f>
        <v>100</v>
      </c>
      <c r="X17" s="1113"/>
      <c r="Y17" s="3424"/>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24"/>
      <c r="Q18" s="621"/>
      <c r="R18" s="1118"/>
      <c r="S18" s="1119"/>
      <c r="T18" s="1118"/>
      <c r="U18" s="1119"/>
      <c r="V18" s="1118"/>
      <c r="W18" s="1119"/>
      <c r="X18" s="1113"/>
      <c r="Y18" s="3424"/>
      <c r="Z18" s="1102"/>
      <c r="AA18" s="1102">
        <v>1</v>
      </c>
      <c r="AB18" s="1102">
        <v>1</v>
      </c>
      <c r="AC18" s="1102">
        <v>1</v>
      </c>
    </row>
    <row r="19" spans="1:29" ht="28.8">
      <c r="A19" s="943"/>
      <c r="B19" s="966" t="s">
        <v>1657</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24"/>
      <c r="Q19" s="621" t="str">
        <f t="shared" ref="Q19:Q34" si="8">B19</f>
        <v>区域土地利用方向</v>
      </c>
      <c r="R19" s="1118" t="s">
        <v>1358</v>
      </c>
      <c r="S19" s="1119">
        <f>F19</f>
        <v>100</v>
      </c>
      <c r="T19" s="1118" t="s">
        <v>1358</v>
      </c>
      <c r="U19" s="1119">
        <f>H19</f>
        <v>100</v>
      </c>
      <c r="V19" s="1118" t="s">
        <v>1358</v>
      </c>
      <c r="W19" s="1119">
        <f>J19</f>
        <v>100</v>
      </c>
      <c r="X19" s="1113"/>
      <c r="Y19" s="3424"/>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24"/>
      <c r="Q20" s="621"/>
      <c r="R20" s="1118"/>
      <c r="S20" s="1119"/>
      <c r="T20" s="1118"/>
      <c r="U20" s="1119"/>
      <c r="V20" s="1118"/>
      <c r="W20" s="1119"/>
      <c r="X20" s="1113"/>
      <c r="Y20" s="3424"/>
      <c r="Z20" s="1102"/>
      <c r="AA20" s="1102"/>
      <c r="AB20" s="1102"/>
      <c r="AC20" s="1102"/>
    </row>
    <row r="21" spans="1:29" ht="15">
      <c r="A21" s="922"/>
      <c r="B21" s="966" t="s">
        <v>1698</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24"/>
      <c r="Q21" s="621" t="str">
        <f t="shared" si="8"/>
        <v>环境状况</v>
      </c>
      <c r="R21" s="1118" t="s">
        <v>1358</v>
      </c>
      <c r="S21" s="1119">
        <f>F21</f>
        <v>100</v>
      </c>
      <c r="T21" s="1118" t="s">
        <v>1358</v>
      </c>
      <c r="U21" s="1119">
        <f>H21</f>
        <v>100</v>
      </c>
      <c r="V21" s="1118" t="s">
        <v>1358</v>
      </c>
      <c r="W21" s="1119">
        <f>J21</f>
        <v>100</v>
      </c>
      <c r="X21" s="1113"/>
      <c r="Y21" s="3424"/>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24"/>
      <c r="Q22" s="621"/>
      <c r="R22" s="1118"/>
      <c r="S22" s="1119"/>
      <c r="T22" s="1118"/>
      <c r="U22" s="1119"/>
      <c r="V22" s="1118"/>
      <c r="W22" s="1119"/>
      <c r="X22" s="1113"/>
      <c r="Y22" s="3424"/>
      <c r="Z22" s="1102"/>
      <c r="AA22" s="1102">
        <v>1</v>
      </c>
      <c r="AB22" s="1102">
        <v>1</v>
      </c>
      <c r="AC22" s="1102">
        <v>1</v>
      </c>
    </row>
    <row r="23" spans="1:29" s="899" customFormat="1" ht="15">
      <c r="A23" s="972"/>
      <c r="B23" s="973" t="s">
        <v>1373</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24"/>
      <c r="Q23" s="790" t="str">
        <f t="shared" si="8"/>
        <v>公共配套设施</v>
      </c>
      <c r="R23" s="1114" t="s">
        <v>1358</v>
      </c>
      <c r="S23" s="1115">
        <f>F23</f>
        <v>100</v>
      </c>
      <c r="T23" s="1114" t="s">
        <v>1358</v>
      </c>
      <c r="U23" s="1115">
        <f>H23</f>
        <v>100</v>
      </c>
      <c r="V23" s="1114" t="s">
        <v>1358</v>
      </c>
      <c r="W23" s="1115">
        <f>J23</f>
        <v>100</v>
      </c>
      <c r="X23" s="1116"/>
      <c r="Y23" s="3424"/>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24"/>
      <c r="Q24" s="790"/>
      <c r="R24" s="1114"/>
      <c r="S24" s="1115"/>
      <c r="T24" s="1114"/>
      <c r="U24" s="1115"/>
      <c r="V24" s="1114"/>
      <c r="W24" s="1115"/>
      <c r="X24" s="1116"/>
      <c r="Y24" s="3424"/>
      <c r="Z24" s="1126"/>
      <c r="AA24" s="1126">
        <v>1</v>
      </c>
      <c r="AB24" s="1126">
        <v>1</v>
      </c>
      <c r="AC24" s="1126">
        <v>1</v>
      </c>
    </row>
    <row r="25" spans="1:29" s="899" customFormat="1" ht="15">
      <c r="A25" s="972"/>
      <c r="B25" s="973" t="s">
        <v>1375</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24"/>
      <c r="Q25" s="790" t="str">
        <f t="shared" ref="Q25" si="9">B25</f>
        <v>基础设施水平</v>
      </c>
      <c r="R25" s="1114" t="s">
        <v>1358</v>
      </c>
      <c r="S25" s="1115">
        <f>F25</f>
        <v>100</v>
      </c>
      <c r="T25" s="1114" t="s">
        <v>1358</v>
      </c>
      <c r="U25" s="1115">
        <f>H25</f>
        <v>100</v>
      </c>
      <c r="V25" s="1114" t="s">
        <v>1358</v>
      </c>
      <c r="W25" s="1115">
        <f>J25</f>
        <v>100</v>
      </c>
      <c r="X25" s="1116"/>
      <c r="Y25" s="3424"/>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24"/>
      <c r="Q26" s="790"/>
      <c r="R26" s="1114"/>
      <c r="S26" s="1115"/>
      <c r="T26" s="1114"/>
      <c r="U26" s="1115"/>
      <c r="V26" s="1114"/>
      <c r="W26" s="1115"/>
      <c r="X26" s="1116"/>
      <c r="Y26" s="3424"/>
      <c r="Z26" s="1126"/>
      <c r="AA26" s="1126">
        <v>1</v>
      </c>
      <c r="AB26" s="1126">
        <v>1</v>
      </c>
      <c r="AC26" s="1126">
        <v>1</v>
      </c>
    </row>
    <row r="27" spans="1:29" ht="15">
      <c r="A27" s="943"/>
      <c r="B27" s="970" t="s">
        <v>1606</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24"/>
      <c r="Q27" s="621" t="str">
        <f t="shared" si="8"/>
        <v>临街状况</v>
      </c>
      <c r="R27" s="1118" t="s">
        <v>1358</v>
      </c>
      <c r="S27" s="1119">
        <f t="shared" ref="S27:S40" si="10">F27</f>
        <v>100</v>
      </c>
      <c r="T27" s="1118" t="s">
        <v>1358</v>
      </c>
      <c r="U27" s="1119">
        <f t="shared" ref="U27:U40" si="11">H27</f>
        <v>100</v>
      </c>
      <c r="V27" s="1118" t="s">
        <v>1358</v>
      </c>
      <c r="W27" s="1119">
        <f t="shared" ref="W27:W40" si="12">J27</f>
        <v>100</v>
      </c>
      <c r="X27" s="1113"/>
      <c r="Y27" s="3424"/>
      <c r="Z27" s="1102" t="str">
        <f t="shared" ref="Z27:Z40" si="13">Q27</f>
        <v>临街状况</v>
      </c>
      <c r="AA27" s="1102">
        <f t="shared" si="3"/>
        <v>1</v>
      </c>
      <c r="AB27" s="1102">
        <f t="shared" si="4"/>
        <v>1</v>
      </c>
      <c r="AC27" s="1102">
        <f t="shared" si="5"/>
        <v>1</v>
      </c>
    </row>
    <row r="28" spans="1:29" ht="28.8">
      <c r="A28" s="943"/>
      <c r="B28" s="973" t="s">
        <v>1377</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24"/>
      <c r="Q28" s="621" t="str">
        <f t="shared" si="8"/>
        <v>毗邻道路的类型与等级</v>
      </c>
      <c r="R28" s="1118" t="s">
        <v>1358</v>
      </c>
      <c r="S28" s="1119">
        <f t="shared" si="10"/>
        <v>100</v>
      </c>
      <c r="T28" s="1118" t="s">
        <v>1358</v>
      </c>
      <c r="U28" s="1119">
        <f t="shared" si="11"/>
        <v>100</v>
      </c>
      <c r="V28" s="1118" t="s">
        <v>1358</v>
      </c>
      <c r="W28" s="1119">
        <f t="shared" si="12"/>
        <v>100</v>
      </c>
      <c r="X28" s="1113"/>
      <c r="Y28" s="3424"/>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24"/>
      <c r="Q29" s="621"/>
      <c r="R29" s="1118"/>
      <c r="S29" s="1119"/>
      <c r="T29" s="1118"/>
      <c r="U29" s="1119"/>
      <c r="V29" s="1118"/>
      <c r="W29" s="1119"/>
      <c r="X29" s="1113"/>
      <c r="Y29" s="3424"/>
      <c r="Z29" s="1102"/>
      <c r="AA29" s="1102">
        <v>1</v>
      </c>
      <c r="AB29" s="1102">
        <v>1</v>
      </c>
      <c r="AC29" s="1102">
        <v>1</v>
      </c>
    </row>
    <row r="30" spans="1:29" ht="15">
      <c r="A30" s="943"/>
      <c r="B30" s="942" t="s">
        <v>1659</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24"/>
      <c r="Q30" s="621" t="str">
        <f t="shared" si="8"/>
        <v>土地级别</v>
      </c>
      <c r="R30" s="1118" t="s">
        <v>1358</v>
      </c>
      <c r="S30" s="1119">
        <f t="shared" si="10"/>
        <v>100</v>
      </c>
      <c r="T30" s="1118" t="s">
        <v>1358</v>
      </c>
      <c r="U30" s="1119">
        <f t="shared" si="11"/>
        <v>100</v>
      </c>
      <c r="V30" s="1118" t="s">
        <v>1358</v>
      </c>
      <c r="W30" s="1119">
        <f t="shared" si="12"/>
        <v>100</v>
      </c>
      <c r="X30" s="1113"/>
      <c r="Y30" s="3424"/>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24"/>
      <c r="Q31" s="621">
        <f t="shared" si="8"/>
        <v>111</v>
      </c>
      <c r="R31" s="1118" t="s">
        <v>1358</v>
      </c>
      <c r="S31" s="1119">
        <f t="shared" si="10"/>
        <v>100</v>
      </c>
      <c r="T31" s="1118" t="s">
        <v>1358</v>
      </c>
      <c r="U31" s="1119">
        <f t="shared" si="11"/>
        <v>100</v>
      </c>
      <c r="V31" s="1118" t="s">
        <v>1358</v>
      </c>
      <c r="W31" s="1119">
        <f t="shared" si="12"/>
        <v>100</v>
      </c>
      <c r="X31" s="1113"/>
      <c r="Y31" s="3424"/>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79" t="s">
        <v>1384</v>
      </c>
      <c r="Q32" s="621">
        <f t="shared" si="8"/>
        <v>111</v>
      </c>
      <c r="R32" s="1118" t="s">
        <v>1358</v>
      </c>
      <c r="S32" s="1119">
        <f t="shared" si="10"/>
        <v>100</v>
      </c>
      <c r="T32" s="1118" t="s">
        <v>1358</v>
      </c>
      <c r="U32" s="1119">
        <f t="shared" si="11"/>
        <v>100</v>
      </c>
      <c r="V32" s="1118" t="s">
        <v>1358</v>
      </c>
      <c r="W32" s="1119">
        <f t="shared" si="12"/>
        <v>100</v>
      </c>
      <c r="X32" s="1113"/>
      <c r="Y32" s="3425" t="s">
        <v>1384</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25"/>
      <c r="Q33" s="621">
        <f t="shared" si="8"/>
        <v>111</v>
      </c>
      <c r="R33" s="1120" t="s">
        <v>1358</v>
      </c>
      <c r="S33" s="1121">
        <f t="shared" si="10"/>
        <v>100</v>
      </c>
      <c r="T33" s="1120" t="s">
        <v>1358</v>
      </c>
      <c r="U33" s="1121">
        <f t="shared" si="11"/>
        <v>100</v>
      </c>
      <c r="V33" s="1120" t="s">
        <v>1358</v>
      </c>
      <c r="W33" s="1121">
        <f t="shared" si="12"/>
        <v>100</v>
      </c>
      <c r="X33" s="1122"/>
      <c r="Y33" s="3425"/>
      <c r="Z33" s="1127">
        <f t="shared" si="13"/>
        <v>111</v>
      </c>
      <c r="AA33" s="1102">
        <f t="shared" si="3"/>
        <v>1</v>
      </c>
      <c r="AB33" s="1102">
        <f t="shared" si="4"/>
        <v>1</v>
      </c>
      <c r="AC33" s="1102">
        <f t="shared" si="5"/>
        <v>1</v>
      </c>
    </row>
    <row r="34" spans="1:31" ht="15">
      <c r="A34" s="956" t="s">
        <v>1381</v>
      </c>
      <c r="B34" s="989" t="s">
        <v>1660</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25"/>
      <c r="Q34" s="621" t="str">
        <f t="shared" si="8"/>
        <v>宗地面积</v>
      </c>
      <c r="R34" s="1118" t="s">
        <v>1358</v>
      </c>
      <c r="S34" s="1119" t="e">
        <f t="shared" si="10"/>
        <v>#N/A</v>
      </c>
      <c r="T34" s="1118" t="s">
        <v>1358</v>
      </c>
      <c r="U34" s="1119" t="e">
        <f t="shared" si="11"/>
        <v>#N/A</v>
      </c>
      <c r="V34" s="1118" t="s">
        <v>1358</v>
      </c>
      <c r="W34" s="1119" t="e">
        <f t="shared" si="12"/>
        <v>#N/A</v>
      </c>
      <c r="X34" s="1113"/>
      <c r="Y34" s="3425"/>
      <c r="Z34" s="1102" t="str">
        <f t="shared" si="13"/>
        <v>宗地面积</v>
      </c>
      <c r="AA34" s="1102" t="e">
        <f t="shared" si="3"/>
        <v>#N/A</v>
      </c>
      <c r="AB34" s="1102" t="e">
        <f t="shared" si="4"/>
        <v>#N/A</v>
      </c>
      <c r="AC34" s="1102" t="e">
        <f t="shared" si="5"/>
        <v>#N/A</v>
      </c>
    </row>
    <row r="35" spans="1:31" ht="15">
      <c r="A35" s="991"/>
      <c r="B35" s="940" t="s">
        <v>1661</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25"/>
      <c r="Q35" s="621" t="str">
        <f t="shared" ref="Q35:Q40" si="14">B35</f>
        <v>宗地形状</v>
      </c>
      <c r="R35" s="1118" t="s">
        <v>1358</v>
      </c>
      <c r="S35" s="1119">
        <f t="shared" si="10"/>
        <v>100</v>
      </c>
      <c r="T35" s="1118" t="s">
        <v>1358</v>
      </c>
      <c r="U35" s="1119">
        <f t="shared" si="11"/>
        <v>100</v>
      </c>
      <c r="V35" s="1118" t="s">
        <v>1358</v>
      </c>
      <c r="W35" s="1119">
        <f t="shared" si="12"/>
        <v>100</v>
      </c>
      <c r="X35" s="1113"/>
      <c r="Y35" s="3425"/>
      <c r="Z35" s="1102" t="str">
        <f t="shared" si="13"/>
        <v>宗地形状</v>
      </c>
      <c r="AA35" s="1102">
        <f t="shared" si="3"/>
        <v>1</v>
      </c>
      <c r="AB35" s="1102">
        <f t="shared" si="4"/>
        <v>1</v>
      </c>
      <c r="AC35" s="1102">
        <f t="shared" si="5"/>
        <v>1</v>
      </c>
    </row>
    <row r="36" spans="1:31" s="899" customFormat="1" ht="15">
      <c r="A36" s="993"/>
      <c r="B36" s="940" t="s">
        <v>1663</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25"/>
      <c r="Q36" s="621" t="str">
        <f t="shared" si="14"/>
        <v>宗地开发程度</v>
      </c>
      <c r="R36" s="1114" t="s">
        <v>1358</v>
      </c>
      <c r="S36" s="1115">
        <f t="shared" si="10"/>
        <v>100</v>
      </c>
      <c r="T36" s="1114" t="s">
        <v>1358</v>
      </c>
      <c r="U36" s="1115">
        <f t="shared" si="11"/>
        <v>100</v>
      </c>
      <c r="V36" s="1114" t="s">
        <v>1358</v>
      </c>
      <c r="W36" s="1115">
        <f t="shared" si="12"/>
        <v>100</v>
      </c>
      <c r="X36" s="1116"/>
      <c r="Y36" s="3425"/>
      <c r="Z36" s="1126" t="str">
        <f t="shared" si="13"/>
        <v>宗地开发程度</v>
      </c>
      <c r="AA36" s="1126">
        <f t="shared" si="3"/>
        <v>1</v>
      </c>
      <c r="AB36" s="1126">
        <f t="shared" si="4"/>
        <v>1</v>
      </c>
      <c r="AC36" s="1126">
        <f t="shared" si="5"/>
        <v>1</v>
      </c>
    </row>
    <row r="37" spans="1:31" ht="15">
      <c r="A37" s="991"/>
      <c r="B37" s="940" t="s">
        <v>1664</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25" t="s">
        <v>1384</v>
      </c>
      <c r="Q37" s="621" t="str">
        <f t="shared" si="14"/>
        <v>工程地质条件</v>
      </c>
      <c r="R37" s="1118" t="s">
        <v>1358</v>
      </c>
      <c r="S37" s="1119">
        <f t="shared" si="10"/>
        <v>100</v>
      </c>
      <c r="T37" s="1118" t="s">
        <v>1358</v>
      </c>
      <c r="U37" s="1119">
        <f t="shared" si="11"/>
        <v>100</v>
      </c>
      <c r="V37" s="1118" t="s">
        <v>1358</v>
      </c>
      <c r="W37" s="1119">
        <f t="shared" si="12"/>
        <v>100</v>
      </c>
      <c r="X37" s="1113"/>
      <c r="Y37" s="3425" t="s">
        <v>1384</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25"/>
      <c r="Q38" s="621">
        <f t="shared" si="14"/>
        <v>111</v>
      </c>
      <c r="R38" s="1118" t="s">
        <v>1358</v>
      </c>
      <c r="S38" s="1119">
        <f t="shared" si="10"/>
        <v>100</v>
      </c>
      <c r="T38" s="1118" t="s">
        <v>1358</v>
      </c>
      <c r="U38" s="1119">
        <f t="shared" si="11"/>
        <v>100</v>
      </c>
      <c r="V38" s="1118" t="s">
        <v>1358</v>
      </c>
      <c r="W38" s="1119">
        <f t="shared" si="12"/>
        <v>100</v>
      </c>
      <c r="X38" s="1113"/>
      <c r="Y38" s="3425"/>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25"/>
      <c r="Q39" s="621">
        <f t="shared" si="14"/>
        <v>111</v>
      </c>
      <c r="R39" s="1118" t="s">
        <v>1358</v>
      </c>
      <c r="S39" s="1119">
        <f t="shared" si="10"/>
        <v>100</v>
      </c>
      <c r="T39" s="1118" t="s">
        <v>1358</v>
      </c>
      <c r="U39" s="1119">
        <f t="shared" si="11"/>
        <v>100</v>
      </c>
      <c r="V39" s="1118" t="s">
        <v>1358</v>
      </c>
      <c r="W39" s="1119">
        <f t="shared" si="12"/>
        <v>100</v>
      </c>
      <c r="X39" s="1113"/>
      <c r="Y39" s="3425"/>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25"/>
      <c r="Q40" s="621">
        <f t="shared" si="14"/>
        <v>111</v>
      </c>
      <c r="R40" s="1120" t="s">
        <v>1358</v>
      </c>
      <c r="S40" s="1121">
        <f t="shared" si="10"/>
        <v>100</v>
      </c>
      <c r="T40" s="1120" t="s">
        <v>1358</v>
      </c>
      <c r="U40" s="1121">
        <f t="shared" si="11"/>
        <v>100</v>
      </c>
      <c r="V40" s="1120" t="s">
        <v>1358</v>
      </c>
      <c r="W40" s="1121">
        <f t="shared" si="12"/>
        <v>100</v>
      </c>
      <c r="X40" s="1122"/>
      <c r="Y40" s="3425"/>
      <c r="Z40" s="1127">
        <f t="shared" si="13"/>
        <v>111</v>
      </c>
      <c r="AA40" s="1102">
        <f t="shared" si="3"/>
        <v>1</v>
      </c>
      <c r="AB40" s="1102">
        <f t="shared" si="4"/>
        <v>1</v>
      </c>
      <c r="AC40" s="1102">
        <f t="shared" si="5"/>
        <v>1</v>
      </c>
    </row>
    <row r="41" spans="1:31" ht="14.4">
      <c r="A41" s="998" t="s">
        <v>1646</v>
      </c>
      <c r="B41" s="999" t="s">
        <v>1699</v>
      </c>
      <c r="C41" s="1000" t="s">
        <v>124</v>
      </c>
      <c r="D41" s="1001"/>
      <c r="E41" s="1002"/>
      <c r="F41" s="1003"/>
      <c r="G41" s="1004"/>
      <c r="H41" s="1005"/>
      <c r="I41" s="1002"/>
      <c r="J41" s="1005"/>
      <c r="K41" s="1093"/>
      <c r="L41" s="1094"/>
      <c r="M41" s="1015"/>
      <c r="N41" s="1015"/>
      <c r="O41" s="1015"/>
      <c r="P41" s="3411" t="str">
        <f>A41</f>
        <v>成交单价</v>
      </c>
      <c r="Q41" s="3411"/>
      <c r="R41" s="3409">
        <f>E41</f>
        <v>0</v>
      </c>
      <c r="S41" s="3409"/>
      <c r="T41" s="3409">
        <f>G41</f>
        <v>0</v>
      </c>
      <c r="U41" s="3409"/>
      <c r="V41" s="3409">
        <f>I41</f>
        <v>0</v>
      </c>
      <c r="W41" s="3409"/>
      <c r="X41" s="1055"/>
      <c r="Y41" s="1128"/>
      <c r="Z41" s="1055"/>
      <c r="AA41" s="1055"/>
      <c r="AB41" s="1055"/>
      <c r="AC41" s="1055"/>
    </row>
    <row r="42" spans="1:31" ht="14.4">
      <c r="A42" s="1006" t="s">
        <v>1401</v>
      </c>
      <c r="B42" s="1007"/>
      <c r="C42" s="1008" t="e">
        <f>R43</f>
        <v>#DIV/0!</v>
      </c>
      <c r="D42" s="1009" t="s">
        <v>1402</v>
      </c>
      <c r="E42" s="1008" t="e">
        <f>R42</f>
        <v>#DIV/0!</v>
      </c>
      <c r="F42" s="1010"/>
      <c r="G42" s="1011" t="e">
        <f>T42</f>
        <v>#DIV/0!</v>
      </c>
      <c r="H42" s="1010"/>
      <c r="I42" s="1008" t="e">
        <f>V42</f>
        <v>#DIV/0!</v>
      </c>
      <c r="J42" s="1010"/>
      <c r="K42" s="1095">
        <f>F42+H42+J42</f>
        <v>0</v>
      </c>
      <c r="L42" s="1094"/>
      <c r="M42" s="1015"/>
      <c r="N42" s="1015"/>
      <c r="O42" s="1015"/>
      <c r="P42" s="3411" t="str">
        <f>A42</f>
        <v>比较价值（元/平方米）</v>
      </c>
      <c r="Q42" s="3411"/>
      <c r="R42" s="3482" t="e">
        <f>ROUND(PRODUCT(R41,AA7:AA40),0)</f>
        <v>#DIV/0!</v>
      </c>
      <c r="S42" s="3482"/>
      <c r="T42" s="3482" t="e">
        <f>ROUND(PRODUCT(T41,AB7:AB40),0)</f>
        <v>#DIV/0!</v>
      </c>
      <c r="U42" s="3482"/>
      <c r="V42" s="3482" t="e">
        <f>ROUND(PRODUCT(V41,AC7:AC40),0)</f>
        <v>#DIV/0!</v>
      </c>
      <c r="W42" s="3482"/>
      <c r="X42" s="1055"/>
      <c r="Y42" s="1055"/>
      <c r="Z42" s="1055"/>
      <c r="AA42" s="1055"/>
      <c r="AB42" s="1055"/>
      <c r="AC42" s="1055"/>
    </row>
    <row r="43" spans="1:31" ht="14.4">
      <c r="A43" s="1012" t="s">
        <v>1403</v>
      </c>
      <c r="B43" s="1013"/>
      <c r="C43" s="1014" t="e">
        <f>R43</f>
        <v>#DIV/0!</v>
      </c>
      <c r="D43" s="1014"/>
      <c r="E43" s="1014"/>
      <c r="F43" s="1014"/>
      <c r="G43" s="1014"/>
      <c r="H43" s="1014"/>
      <c r="I43" s="1014"/>
      <c r="J43" s="1014"/>
      <c r="K43" s="1096"/>
      <c r="L43" s="1094"/>
      <c r="M43" s="1015"/>
      <c r="N43" s="1015"/>
      <c r="O43" s="1015"/>
      <c r="P43" s="3445" t="str">
        <f>A43</f>
        <v>估价对象XX用房的比较价值（楼面单价，元/平方米）</v>
      </c>
      <c r="Q43" s="3446"/>
      <c r="R43" s="3483" t="e">
        <f>ROUND(IF(D42="简单平均",AVERAGE(R42:W42),R42*F42+T42*H42+V42*J42),0)</f>
        <v>#DIV/0!</v>
      </c>
      <c r="S43" s="3483"/>
      <c r="T43" s="3483"/>
      <c r="U43" s="3483"/>
      <c r="V43" s="3483"/>
      <c r="W43" s="3483"/>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1667</v>
      </c>
      <c r="B50" s="1025" t="s">
        <v>1668</v>
      </c>
      <c r="C50" s="1026" t="s">
        <v>1669</v>
      </c>
      <c r="D50" s="1027" t="s">
        <v>1670</v>
      </c>
      <c r="E50" s="1028" t="s">
        <v>1671</v>
      </c>
      <c r="F50" s="1029" t="s">
        <v>1672</v>
      </c>
      <c r="G50" s="3432" t="s">
        <v>1673</v>
      </c>
      <c r="H50" s="3481"/>
      <c r="I50" s="1102" t="s">
        <v>1700</v>
      </c>
      <c r="J50" s="1102">
        <f>项目基本情况!F35</f>
        <v>0</v>
      </c>
      <c r="K50" s="1103" t="s">
        <v>1675</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1676</v>
      </c>
      <c r="B51" s="1031" t="e">
        <f>C43</f>
        <v>#DIV/0!</v>
      </c>
      <c r="C51" s="1032">
        <v>1</v>
      </c>
      <c r="D51" s="1033">
        <v>1</v>
      </c>
      <c r="E51" s="1032">
        <f>'数据-汇总表'!E8+'数据-汇总表'!E9</f>
        <v>885.63</v>
      </c>
      <c r="F51" s="1034" t="e">
        <f t="shared" ref="F51:F60" si="15">ROUND(B51*E51/10000,0)</f>
        <v>#DIV/0!</v>
      </c>
      <c r="G51" s="3410"/>
      <c r="H51" s="3411"/>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1677</v>
      </c>
      <c r="B52" s="362" t="e">
        <f>ROUND($C$43*C52*D52,0)</f>
        <v>#DIV/0!</v>
      </c>
      <c r="C52" s="511">
        <f t="shared" ref="C52:C60" si="16">IF($C$50="北京市系数",I52,J52)</f>
        <v>0</v>
      </c>
      <c r="D52" s="1036">
        <v>0.25</v>
      </c>
      <c r="E52" s="1037"/>
      <c r="F52" s="1034" t="e">
        <f t="shared" si="15"/>
        <v>#DIV/0!</v>
      </c>
      <c r="G52" s="1038" t="s">
        <v>1678</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1679</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1680</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1681</v>
      </c>
      <c r="B56" s="362" t="e">
        <f t="shared" si="17"/>
        <v>#DIV/0!</v>
      </c>
      <c r="C56" s="511">
        <f t="shared" si="16"/>
        <v>0</v>
      </c>
      <c r="D56" s="1036">
        <v>0.25</v>
      </c>
      <c r="E56" s="361">
        <f>'数据-汇总表'!E11</f>
        <v>0</v>
      </c>
      <c r="F56" s="1034" t="e">
        <f t="shared" si="15"/>
        <v>#DIV/0!</v>
      </c>
      <c r="G56" s="1042" t="s">
        <v>1682</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1683</v>
      </c>
      <c r="B57" s="362" t="e">
        <f t="shared" si="17"/>
        <v>#DIV/0!</v>
      </c>
      <c r="C57" s="511">
        <f t="shared" si="16"/>
        <v>0</v>
      </c>
      <c r="D57" s="1036">
        <v>0.25</v>
      </c>
      <c r="E57" s="361">
        <f>'数据-汇总表'!E12</f>
        <v>0</v>
      </c>
      <c r="F57" s="1034" t="e">
        <f t="shared" si="15"/>
        <v>#DIV/0!</v>
      </c>
      <c r="G57" s="1043" t="s">
        <v>1684</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1685</v>
      </c>
      <c r="B58" s="362" t="e">
        <f t="shared" si="17"/>
        <v>#DIV/0!</v>
      </c>
      <c r="C58" s="511">
        <f t="shared" si="16"/>
        <v>0</v>
      </c>
      <c r="D58" s="1036">
        <v>0.25</v>
      </c>
      <c r="E58" s="361">
        <f>'数据-汇总表'!E13</f>
        <v>0</v>
      </c>
      <c r="F58" s="1034" t="e">
        <f t="shared" si="15"/>
        <v>#DIV/0!</v>
      </c>
      <c r="G58" s="1043" t="s">
        <v>1686</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1687</v>
      </c>
      <c r="B59" s="362" t="e">
        <f t="shared" si="17"/>
        <v>#DIV/0!</v>
      </c>
      <c r="C59" s="511">
        <f t="shared" si="16"/>
        <v>0</v>
      </c>
      <c r="D59" s="1036">
        <v>0.25</v>
      </c>
      <c r="E59" s="361">
        <f>'数据-汇总表'!E14</f>
        <v>0</v>
      </c>
      <c r="F59" s="1034" t="e">
        <f t="shared" si="15"/>
        <v>#DIV/0!</v>
      </c>
      <c r="G59" s="1042" t="s">
        <v>1678</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1688</v>
      </c>
      <c r="B60" s="362" t="e">
        <f t="shared" si="17"/>
        <v>#DIV/0!</v>
      </c>
      <c r="C60" s="511">
        <f t="shared" si="16"/>
        <v>0</v>
      </c>
      <c r="D60" s="1036">
        <v>0.25</v>
      </c>
      <c r="E60" s="361">
        <f>'数据-汇总表'!E15</f>
        <v>0</v>
      </c>
      <c r="F60" s="1034" t="e">
        <f t="shared" si="15"/>
        <v>#DIV/0!</v>
      </c>
      <c r="G60" s="1044" t="s">
        <v>1682</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1689</v>
      </c>
      <c r="B61" s="1047" t="s">
        <v>1690</v>
      </c>
      <c r="C61" s="1047" t="s">
        <v>1690</v>
      </c>
      <c r="D61" s="1047" t="s">
        <v>1690</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2025-7-1</v>
      </c>
      <c r="D63" s="1053">
        <f>EDATE(C63,-3)</f>
        <v>45748</v>
      </c>
      <c r="E63" s="1053">
        <f>EDATE(D63,-3)</f>
        <v>45658</v>
      </c>
      <c r="F63" s="1053">
        <f t="shared" ref="F63:O63" si="18">EDATE(E63,-3)</f>
        <v>45566</v>
      </c>
      <c r="G63" s="1053">
        <f t="shared" si="18"/>
        <v>45474</v>
      </c>
      <c r="H63" s="1053">
        <f t="shared" si="18"/>
        <v>45383</v>
      </c>
      <c r="I63" s="1053">
        <f t="shared" si="18"/>
        <v>45292</v>
      </c>
      <c r="J63" s="1053">
        <f t="shared" si="18"/>
        <v>45200</v>
      </c>
      <c r="K63" s="1053">
        <f t="shared" si="18"/>
        <v>45108</v>
      </c>
      <c r="L63" s="1053">
        <f t="shared" si="18"/>
        <v>45017</v>
      </c>
      <c r="M63" s="1053">
        <f t="shared" si="18"/>
        <v>44927</v>
      </c>
      <c r="N63" s="1053">
        <f t="shared" si="18"/>
        <v>44835</v>
      </c>
      <c r="O63" s="1053">
        <f t="shared" si="18"/>
        <v>44743</v>
      </c>
      <c r="P63" s="1015"/>
      <c r="Q63" s="1015"/>
      <c r="R63" s="1015"/>
      <c r="S63" s="1015"/>
      <c r="T63" s="1015"/>
      <c r="U63" s="1015"/>
      <c r="V63" s="1015"/>
      <c r="W63" s="1015"/>
      <c r="X63" s="1015"/>
      <c r="Y63" s="1015"/>
      <c r="Z63" s="1015"/>
      <c r="AA63" s="1015"/>
      <c r="AB63" s="1015"/>
      <c r="AC63" s="1015"/>
      <c r="AD63" s="1015"/>
      <c r="AE63" s="1015"/>
    </row>
    <row r="64" spans="1:31" ht="21.6">
      <c r="A64" s="1054" t="s">
        <v>1407</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1691</v>
      </c>
      <c r="B65" s="1130"/>
      <c r="C65" s="1131" t="str">
        <f>YEAR(C63)&amp;"-"&amp;ROUNDUP(MONTH(C63)/3,0)</f>
        <v>2025-3</v>
      </c>
      <c r="D65" s="1131" t="str">
        <f t="shared" ref="D65:O65" si="19">YEAR(D63)&amp;"-"&amp;ROUNDUP(MONTH(D63)/3,0)</f>
        <v>2025-2</v>
      </c>
      <c r="E65" s="1131" t="str">
        <f t="shared" si="19"/>
        <v>2025-1</v>
      </c>
      <c r="F65" s="1131" t="str">
        <f t="shared" si="19"/>
        <v>2024-4</v>
      </c>
      <c r="G65" s="1131" t="str">
        <f t="shared" si="19"/>
        <v>2024-3</v>
      </c>
      <c r="H65" s="1131" t="str">
        <f t="shared" si="19"/>
        <v>2024-2</v>
      </c>
      <c r="I65" s="1131" t="str">
        <f t="shared" si="19"/>
        <v>2024-1</v>
      </c>
      <c r="J65" s="1131" t="str">
        <f t="shared" si="19"/>
        <v>2023-4</v>
      </c>
      <c r="K65" s="1131" t="str">
        <f t="shared" si="19"/>
        <v>2023-3</v>
      </c>
      <c r="L65" s="1131" t="str">
        <f t="shared" si="19"/>
        <v>2023-2</v>
      </c>
      <c r="M65" s="1131" t="str">
        <f t="shared" si="19"/>
        <v>2023-1</v>
      </c>
      <c r="N65" s="1131" t="str">
        <f t="shared" si="19"/>
        <v>2022-4</v>
      </c>
      <c r="O65" s="1131" t="str">
        <f t="shared" si="19"/>
        <v>2022-3</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1701</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1408</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1359</v>
      </c>
      <c r="B68" s="1140"/>
      <c r="C68" s="1141" t="s">
        <v>1409</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1410</v>
      </c>
      <c r="B70" s="1145" t="s">
        <v>1363</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1366</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1367</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1368</v>
      </c>
      <c r="B83" s="1145" t="s">
        <v>1633</v>
      </c>
      <c r="C83" s="1165" t="s">
        <v>1416</v>
      </c>
      <c r="D83" s="1165" t="s">
        <v>1417</v>
      </c>
      <c r="E83" s="1165" t="s">
        <v>1418</v>
      </c>
      <c r="F83" s="1165" t="s">
        <v>1419</v>
      </c>
      <c r="G83" s="1165" t="s">
        <v>1420</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1372</v>
      </c>
      <c r="C85" s="1166" t="s">
        <v>1416</v>
      </c>
      <c r="D85" s="1166" t="s">
        <v>1417</v>
      </c>
      <c r="E85" s="1166" t="s">
        <v>1418</v>
      </c>
      <c r="F85" s="1166" t="s">
        <v>1419</v>
      </c>
      <c r="G85" s="1166" t="s">
        <v>1420</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1657</v>
      </c>
      <c r="C87" s="1165" t="s">
        <v>1416</v>
      </c>
      <c r="D87" s="1165" t="s">
        <v>1417</v>
      </c>
      <c r="E87" s="1165" t="s">
        <v>1418</v>
      </c>
      <c r="F87" s="1165" t="s">
        <v>1419</v>
      </c>
      <c r="G87" s="1165" t="s">
        <v>1420</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1658</v>
      </c>
      <c r="C89" s="1165" t="s">
        <v>1416</v>
      </c>
      <c r="D89" s="1165" t="s">
        <v>1417</v>
      </c>
      <c r="E89" s="1165" t="s">
        <v>1418</v>
      </c>
      <c r="F89" s="1165" t="s">
        <v>1419</v>
      </c>
      <c r="G89" s="1165" t="s">
        <v>1420</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1373</v>
      </c>
      <c r="C91" s="1165" t="s">
        <v>1416</v>
      </c>
      <c r="D91" s="1165" t="s">
        <v>1417</v>
      </c>
      <c r="E91" s="1165" t="s">
        <v>1418</v>
      </c>
      <c r="F91" s="1165" t="s">
        <v>1419</v>
      </c>
      <c r="G91" s="1165" t="s">
        <v>1420</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1375</v>
      </c>
      <c r="C93" s="1083" t="s">
        <v>1421</v>
      </c>
      <c r="D93" s="1083" t="s">
        <v>1422</v>
      </c>
      <c r="E93" s="1083" t="s">
        <v>1423</v>
      </c>
      <c r="F93" s="1083" t="s">
        <v>1424</v>
      </c>
      <c r="G93" s="1083" t="s">
        <v>1425</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1693</v>
      </c>
      <c r="D95" s="1149" t="s">
        <v>1694</v>
      </c>
      <c r="E95" s="1149" t="s">
        <v>1695</v>
      </c>
      <c r="F95" s="1149" t="s">
        <v>1696</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1377</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1659</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1381</v>
      </c>
      <c r="B107" s="1145" t="s">
        <v>1660</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1661</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1663</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1664</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1702</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1703</v>
      </c>
      <c r="D2" s="889" t="s">
        <v>1704</v>
      </c>
      <c r="E2" s="891">
        <f ca="1">SUMIF(E6:E13,"&lt;&gt;#ref!",E6:E13)</f>
        <v>355.32</v>
      </c>
      <c r="F2" s="888"/>
      <c r="G2" s="888"/>
      <c r="H2" s="888"/>
      <c r="I2" s="888"/>
      <c r="J2" s="888"/>
      <c r="K2" s="888"/>
      <c r="L2" s="888"/>
      <c r="M2" s="888"/>
      <c r="N2" s="888"/>
      <c r="O2" s="888"/>
      <c r="P2" s="888"/>
    </row>
    <row r="3" spans="1:16" ht="15.6">
      <c r="A3" s="889" t="s">
        <v>1705</v>
      </c>
      <c r="B3" s="890" t="e">
        <f ca="1">ROUND(B2*10000/E2,0)</f>
        <v>#DIV/0!</v>
      </c>
      <c r="C3" s="889" t="s">
        <v>1706</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1707</v>
      </c>
      <c r="B5" s="894" t="s">
        <v>1708</v>
      </c>
      <c r="C5" s="895"/>
      <c r="D5" s="888"/>
      <c r="E5" s="896" t="s">
        <v>1709</v>
      </c>
      <c r="F5" s="888"/>
      <c r="G5" s="888"/>
      <c r="H5" s="888"/>
      <c r="I5" s="888"/>
      <c r="J5" s="888"/>
      <c r="K5" s="888"/>
      <c r="L5" s="888"/>
      <c r="M5" s="888"/>
      <c r="N5" s="888"/>
      <c r="O5" s="888"/>
      <c r="P5" s="888"/>
    </row>
    <row r="6" spans="1:16" ht="15.6">
      <c r="A6" s="897" t="s">
        <v>1710</v>
      </c>
      <c r="B6" s="890" t="e">
        <f ca="1">SUMIF(INDIRECT("'"&amp;A6&amp;"'"&amp;"!A:A"),"总价",INDIRECT("'"&amp;A6&amp;"'"&amp;"!B:B"))</f>
        <v>#DIV/0!</v>
      </c>
      <c r="C6" s="889" t="s">
        <v>1703</v>
      </c>
      <c r="D6" s="888"/>
      <c r="E6" s="891">
        <f ca="1">SUMIF(INDIRECT("'"&amp;A6&amp;"'"&amp;"!C:C"),"建筑面积",INDIRECT("'"&amp;A6&amp;"'"&amp;"!D:D"))</f>
        <v>355.32</v>
      </c>
      <c r="F6" s="888"/>
      <c r="G6" s="888"/>
      <c r="H6" s="888"/>
      <c r="I6" s="888"/>
      <c r="J6" s="888"/>
      <c r="K6" s="888"/>
      <c r="L6" s="888"/>
      <c r="M6" s="888"/>
      <c r="N6" s="888"/>
      <c r="O6" s="888"/>
      <c r="P6" s="888"/>
    </row>
    <row r="7" spans="1:16" ht="15.6">
      <c r="A7" s="897"/>
      <c r="B7" s="890" t="e">
        <f ca="1">SUMIF(INDIRECT("'"&amp;A7&amp;"'"&amp;"!A:A"),"总价",INDIRECT("'"&amp;A7&amp;"'"&amp;"!B:B"))</f>
        <v>#REF!</v>
      </c>
      <c r="C7" s="889" t="s">
        <v>1703</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1703</v>
      </c>
      <c r="D8" s="888"/>
      <c r="E8" s="891" t="e">
        <f t="shared" ca="1" si="0"/>
        <v>#REF!</v>
      </c>
      <c r="F8" s="888"/>
      <c r="G8" s="888"/>
      <c r="H8" s="888"/>
      <c r="I8" s="888"/>
      <c r="J8" s="888"/>
      <c r="K8" s="888"/>
      <c r="L8" s="888"/>
      <c r="M8" s="888"/>
      <c r="N8" s="888"/>
      <c r="O8" s="888"/>
      <c r="P8" s="888"/>
    </row>
    <row r="9" spans="1:16" ht="15.6">
      <c r="A9" s="897"/>
      <c r="B9" s="890" t="e">
        <f t="shared" ca="1" si="1"/>
        <v>#REF!</v>
      </c>
      <c r="C9" s="889" t="s">
        <v>1703</v>
      </c>
      <c r="D9" s="888"/>
      <c r="E9" s="891" t="e">
        <f t="shared" ca="1" si="0"/>
        <v>#REF!</v>
      </c>
      <c r="F9" s="888"/>
      <c r="G9" s="888"/>
      <c r="H9" s="888"/>
      <c r="I9" s="888"/>
      <c r="J9" s="888"/>
      <c r="K9" s="888"/>
      <c r="L9" s="888"/>
      <c r="M9" s="888"/>
      <c r="N9" s="888"/>
      <c r="O9" s="888"/>
      <c r="P9" s="888"/>
    </row>
    <row r="10" spans="1:16" ht="15.6">
      <c r="A10" s="897"/>
      <c r="B10" s="890" t="e">
        <f t="shared" ca="1" si="1"/>
        <v>#REF!</v>
      </c>
      <c r="C10" s="889" t="s">
        <v>1703</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1703</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1703</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1703</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996</v>
      </c>
      <c r="B1" s="876">
        <v>1001</v>
      </c>
      <c r="C1" s="877" t="s">
        <v>1711</v>
      </c>
      <c r="D1" s="343"/>
      <c r="E1" s="343"/>
      <c r="F1" s="343"/>
      <c r="G1" s="878" t="e">
        <f>MATCH(B1,'数据-取费表'!A6:A16,0)+5</f>
        <v>#N/A</v>
      </c>
      <c r="H1" s="879" t="str">
        <f>IF(ISERROR(FIND("住宅",B1)),"非住宅","住宅")</f>
        <v>非住宅</v>
      </c>
    </row>
    <row r="2" spans="1:8" s="333" customFormat="1" ht="18" customHeight="1">
      <c r="A2" s="345" t="s">
        <v>997</v>
      </c>
      <c r="B2" s="880" t="e">
        <f ca="1">ROUND(IF(D2="——",C52/10000,C52/10000-E2),4)</f>
        <v>#DIV/0!</v>
      </c>
      <c r="C2" s="344" t="s">
        <v>998</v>
      </c>
      <c r="D2" s="881" t="s">
        <v>124</v>
      </c>
      <c r="E2" s="882" t="e">
        <f ca="1">SUMIF(INDIRECT("'"&amp;G2&amp;"'"&amp;"!A:A"),"承租人权益价值",INDIRECT("'"&amp;G2&amp;"'"&amp;"!c:c"))</f>
        <v>#REF!</v>
      </c>
      <c r="F2" s="883" t="s">
        <v>998</v>
      </c>
      <c r="G2" s="884"/>
    </row>
    <row r="3" spans="1:8" s="333" customFormat="1" ht="18" customHeight="1">
      <c r="A3" s="348" t="s">
        <v>999</v>
      </c>
      <c r="B3" s="349" t="e">
        <f ca="1">ROUND(B2*10000/(IF(B1="",'数据-汇总表'!E3,INDIRECT("'数据-取费表'!k"&amp;$G$1))),0)</f>
        <v>#DIV/0!</v>
      </c>
      <c r="C3" s="344" t="s">
        <v>1000</v>
      </c>
      <c r="D3" s="344"/>
      <c r="E3" s="344"/>
      <c r="F3" s="344"/>
      <c r="G3" s="344"/>
    </row>
    <row r="4" spans="1:8" s="334" customFormat="1" ht="16.2">
      <c r="A4" s="350" t="s">
        <v>1001</v>
      </c>
      <c r="B4" s="351"/>
      <c r="C4" s="351"/>
      <c r="D4" s="351"/>
      <c r="E4" s="351"/>
      <c r="F4" s="351"/>
      <c r="G4" s="352"/>
    </row>
    <row r="5" spans="1:8" s="335" customFormat="1" ht="13.5" customHeight="1">
      <c r="A5" s="353" t="s">
        <v>1002</v>
      </c>
      <c r="B5" s="354" t="s">
        <v>1003</v>
      </c>
      <c r="C5" s="355" t="e">
        <f ca="1">C6+C7+C8</f>
        <v>#DIV/0!</v>
      </c>
      <c r="D5" s="355" t="s">
        <v>1004</v>
      </c>
      <c r="E5" s="356" t="s">
        <v>1005</v>
      </c>
      <c r="F5" s="356" t="s">
        <v>900</v>
      </c>
      <c r="G5" s="357"/>
    </row>
    <row r="6" spans="1:8" s="335" customFormat="1" ht="13.5" customHeight="1">
      <c r="A6" s="358" t="s">
        <v>1006</v>
      </c>
      <c r="B6" s="359" t="s">
        <v>1007</v>
      </c>
      <c r="C6" s="360" t="e">
        <f>ROUND(基准地价修正!D33*基准地价修正!C33,0)</f>
        <v>#DIV/0!</v>
      </c>
      <c r="D6" s="361"/>
      <c r="E6" s="362"/>
      <c r="F6" s="362"/>
      <c r="G6" s="363"/>
    </row>
    <row r="7" spans="1:8" s="335" customFormat="1" ht="13.5" customHeight="1">
      <c r="A7" s="358" t="s">
        <v>1008</v>
      </c>
      <c r="B7" s="359" t="s">
        <v>1009</v>
      </c>
      <c r="C7" s="364" t="e">
        <f>ROUND(C6*F7,0)</f>
        <v>#DIV/0!</v>
      </c>
      <c r="D7" s="364"/>
      <c r="E7" s="362"/>
      <c r="F7" s="365">
        <f>IF(项目基本情况!B8="出让",0,'数据-取费表'!B48+'数据-取费表'!B49)</f>
        <v>3.0499999999999999E-2</v>
      </c>
      <c r="G7" s="363"/>
    </row>
    <row r="8" spans="1:8" s="336" customFormat="1">
      <c r="A8" s="358" t="s">
        <v>1010</v>
      </c>
      <c r="B8" s="359" t="s">
        <v>1011</v>
      </c>
      <c r="C8" s="364" t="e">
        <f ca="1">IF(G8="已包含在土地购买价格中",0,C9+C10)</f>
        <v>#N/A</v>
      </c>
      <c r="D8" s="366"/>
      <c r="E8" s="364"/>
      <c r="F8" s="365"/>
      <c r="G8" s="885" t="s">
        <v>1712</v>
      </c>
    </row>
    <row r="9" spans="1:8" s="335" customFormat="1" ht="13.5" customHeight="1">
      <c r="A9" s="368" t="s">
        <v>1012</v>
      </c>
      <c r="B9" s="369" t="s">
        <v>1013</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1015</v>
      </c>
      <c r="B10" s="369" t="s">
        <v>1016</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1017</v>
      </c>
      <c r="B11" s="359" t="s">
        <v>1018</v>
      </c>
      <c r="C11" s="355"/>
      <c r="D11" s="362"/>
      <c r="E11" s="362"/>
      <c r="F11" s="362"/>
      <c r="G11" s="363"/>
    </row>
    <row r="12" spans="1:8" s="335" customFormat="1" ht="13.5" hidden="1" customHeight="1">
      <c r="A12" s="373" t="s">
        <v>1019</v>
      </c>
      <c r="B12" s="359" t="s">
        <v>937</v>
      </c>
      <c r="C12" s="355">
        <v>0</v>
      </c>
      <c r="D12" s="362"/>
      <c r="E12" s="374"/>
      <c r="F12" s="365">
        <v>3.0499999999999999E-2</v>
      </c>
      <c r="G12" s="363"/>
    </row>
    <row r="13" spans="1:8" s="335" customFormat="1" ht="13.5" hidden="1" customHeight="1">
      <c r="A13" s="373" t="s">
        <v>1020</v>
      </c>
      <c r="B13" s="359" t="s">
        <v>1021</v>
      </c>
      <c r="C13" s="355"/>
      <c r="D13" s="362"/>
      <c r="E13" s="362"/>
      <c r="F13" s="362"/>
      <c r="G13" s="363"/>
    </row>
    <row r="14" spans="1:8" s="335" customFormat="1" ht="13.5" hidden="1" customHeight="1">
      <c r="A14" s="373" t="s">
        <v>1022</v>
      </c>
      <c r="B14" s="359" t="s">
        <v>1011</v>
      </c>
      <c r="C14" s="355"/>
      <c r="D14" s="362"/>
      <c r="E14" s="362"/>
      <c r="F14" s="362"/>
      <c r="G14" s="363" t="s">
        <v>1023</v>
      </c>
    </row>
    <row r="15" spans="1:8" s="335" customFormat="1" ht="13.5" hidden="1" customHeight="1">
      <c r="A15" s="373" t="s">
        <v>1024</v>
      </c>
      <c r="B15" s="359" t="s">
        <v>1025</v>
      </c>
      <c r="C15" s="364"/>
      <c r="D15" s="362"/>
      <c r="E15" s="362"/>
      <c r="F15" s="362"/>
      <c r="G15" s="363" t="s">
        <v>1026</v>
      </c>
    </row>
    <row r="16" spans="1:8"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t="str">
        <f>IF(G19="已包含在土地取得成本中","0",ROUND(D19*E19,0))</f>
        <v>0</v>
      </c>
      <c r="D19" s="356" t="e">
        <f ca="1">D9+D10</f>
        <v>#N/A</v>
      </c>
      <c r="E19" s="355">
        <f>'数据-取费表'!B31</f>
        <v>200</v>
      </c>
      <c r="F19" s="377"/>
      <c r="G19" s="885" t="s">
        <v>1713</v>
      </c>
    </row>
    <row r="20" spans="1:7" s="335" customFormat="1" ht="13.5" customHeight="1">
      <c r="A20" s="353" t="s">
        <v>1035</v>
      </c>
      <c r="B20" s="354" t="s">
        <v>1036</v>
      </c>
      <c r="C20" s="378" t="e">
        <f ca="1">ROUND((C5+C19)*F20,0)</f>
        <v>#DIV/0!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78" t="e">
        <f ca="1">ROUND(SUM(C23:C25),0)</f>
        <v>#DIV/0!</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8" t="e">
        <f ca="1">ROUND(IF('数据-取费表'!B22&lt;=1,C5*F22*'数据-取费表'!B22,C5*(POWER((1+F22),'数据-取费表'!B22)-1)),0)</f>
        <v>#DIV/0!</v>
      </c>
      <c r="D23" s="388"/>
      <c r="E23" s="388"/>
      <c r="F23" s="389"/>
      <c r="G23" s="390" t="s">
        <v>1045</v>
      </c>
    </row>
    <row r="24" spans="1:7" s="335" customFormat="1" ht="13.5" customHeight="1">
      <c r="A24" s="386" t="s">
        <v>1008</v>
      </c>
      <c r="B24" s="359" t="s">
        <v>1046</v>
      </c>
      <c r="C24" s="388">
        <f ca="1">ROUND(IF('数据-取费表'!B22&lt;=1,C19*F22*('数据-取费表'!B19/2+'数据-取费表'!B20),C19*(POWER((1+F22),('数据-取费表'!B19/2+'数据-取费表'!B20))-1)),0)</f>
        <v>0</v>
      </c>
      <c r="D24" s="388"/>
      <c r="E24" s="388"/>
      <c r="F24" s="389"/>
      <c r="G24" s="390" t="s">
        <v>1047</v>
      </c>
    </row>
    <row r="25" spans="1:7" s="335" customFormat="1" ht="24">
      <c r="A25" s="386" t="s">
        <v>1010</v>
      </c>
      <c r="B25" s="359" t="s">
        <v>1048</v>
      </c>
      <c r="C25" s="388" t="e">
        <f ca="1">ROUND(IF('数据-取费表'!B22&lt;=1,C20*F22*'数据-取费表'!B22/2,C20*(POWER((1+F22),'数据-取费表'!B22/2)-1)),0)</f>
        <v>#DIV/0!</v>
      </c>
      <c r="D25" s="388"/>
      <c r="E25" s="391"/>
      <c r="F25" s="389"/>
      <c r="G25" s="392" t="s">
        <v>1049</v>
      </c>
    </row>
    <row r="26" spans="1:7" s="335" customFormat="1">
      <c r="A26" s="386" t="s">
        <v>1050</v>
      </c>
      <c r="B26" s="359" t="s">
        <v>1051</v>
      </c>
      <c r="C26" s="388">
        <f ca="1">ROUND(IF('数据-取费表'!B22&lt;=1,F21*F22*'数据-取费表'!B22/2,F21*(POWER((1+F22),'数据-取费表'!B22/2)-1)),4)</f>
        <v>5.9999999999999995E-4</v>
      </c>
      <c r="D26" s="388"/>
      <c r="E26" s="391"/>
      <c r="F26" s="389"/>
      <c r="G26" s="393"/>
    </row>
    <row r="27" spans="1:7" s="335" customFormat="1" ht="26.4">
      <c r="A27" s="353" t="s">
        <v>1052</v>
      </c>
      <c r="B27" s="394" t="s">
        <v>1053</v>
      </c>
      <c r="C27" s="395" t="e">
        <f ca="1">C28</f>
        <v>#DIV/0!</v>
      </c>
      <c r="D27" s="381" t="e">
        <f ca="1">C29</f>
        <v>#N/A</v>
      </c>
      <c r="E27" s="382" t="s">
        <v>1040</v>
      </c>
      <c r="F27" s="396" t="e">
        <f ca="1">IF(B1="",'数据-取费表'!Q16,INDIRECT("'数据-取费表'!q"&amp;$G$1))</f>
        <v>#N/A</v>
      </c>
      <c r="G27" s="397" t="s">
        <v>1054</v>
      </c>
    </row>
    <row r="28" spans="1:7" s="335" customFormat="1" ht="13.5" customHeight="1">
      <c r="A28" s="386" t="s">
        <v>1006</v>
      </c>
      <c r="B28" s="398" t="s">
        <v>1055</v>
      </c>
      <c r="C28" s="399" t="e">
        <f ca="1">ROUND((C5+C19+C20)*F27,0)</f>
        <v>#DIV/0!</v>
      </c>
      <c r="D28" s="381"/>
      <c r="E28" s="382"/>
      <c r="F28" s="396"/>
      <c r="G28" s="397"/>
    </row>
    <row r="29" spans="1:7" s="335" customFormat="1" ht="13.5" customHeight="1">
      <c r="A29" s="386" t="s">
        <v>1008</v>
      </c>
      <c r="B29" s="398" t="s">
        <v>1056</v>
      </c>
      <c r="C29" s="388" t="e">
        <f ca="1">ROUND(C21*F27,4)</f>
        <v>#N/A</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t="e">
        <f ca="1">ROUND((C5+C19+C20+C22+C27)/(1-C21-D22-D27-C30),0)</f>
        <v>#DIV/0!</v>
      </c>
      <c r="D31" s="401"/>
      <c r="E31" s="355"/>
      <c r="F31" s="402"/>
      <c r="G31" s="383" t="s">
        <v>1061</v>
      </c>
    </row>
    <row r="32" spans="1:7" s="334" customFormat="1" ht="16.2">
      <c r="A32" s="403" t="s">
        <v>1714</v>
      </c>
      <c r="B32" s="404"/>
      <c r="C32" s="404"/>
      <c r="D32" s="404"/>
      <c r="E32" s="404"/>
      <c r="F32" s="404"/>
      <c r="G32" s="405"/>
    </row>
    <row r="33" spans="1:7" s="335" customFormat="1" ht="13.5" customHeight="1">
      <c r="A33" s="353" t="s">
        <v>1002</v>
      </c>
      <c r="B33" s="354" t="s">
        <v>1715</v>
      </c>
      <c r="C33" s="406" t="e">
        <f ca="1">SUM(C34:C38)</f>
        <v>#N/A</v>
      </c>
      <c r="D33" s="378"/>
      <c r="E33" s="356"/>
      <c r="F33" s="391"/>
      <c r="G33" s="383"/>
    </row>
    <row r="34" spans="1:7" s="337" customFormat="1" ht="13.5" customHeight="1">
      <c r="A34" s="386" t="s">
        <v>1006</v>
      </c>
      <c r="B34" s="359" t="s">
        <v>1064</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1008</v>
      </c>
      <c r="B35" s="359" t="s">
        <v>1066</v>
      </c>
      <c r="C35" s="364" t="e">
        <f ca="1">ROUND(C34*F35,0)</f>
        <v>#N/A</v>
      </c>
      <c r="D35" s="364"/>
      <c r="E35" s="364"/>
      <c r="F35" s="408">
        <f>'数据-取费表'!B33</f>
        <v>0.05</v>
      </c>
      <c r="G35" s="363" t="s">
        <v>1067</v>
      </c>
    </row>
    <row r="36" spans="1:7" ht="24">
      <c r="A36" s="386" t="s">
        <v>1010</v>
      </c>
      <c r="B36" s="359" t="s">
        <v>1068</v>
      </c>
      <c r="C36" s="364" t="e">
        <f ca="1">ROUND(IF(B1="",SUM('数据-取费表'!AP6:AP13)*F36,IF(INDIRECT("'数据-取费表'!c"&amp;$G$1)="住宅",INDIRECT("'数据-取费表'!k"&amp;$G$1)*INDIRECT("'数据-取费表'!l"&amp;$G$1)*F36,0)),0)</f>
        <v>#N/A</v>
      </c>
      <c r="D36" s="364"/>
      <c r="E36" s="364"/>
      <c r="F36" s="408">
        <f>'数据-取费表'!B34</f>
        <v>0</v>
      </c>
      <c r="G36" s="409" t="s">
        <v>1069</v>
      </c>
    </row>
    <row r="37" spans="1:7" s="337" customFormat="1" ht="13.5" customHeight="1">
      <c r="A37" s="386" t="s">
        <v>1050</v>
      </c>
      <c r="B37" s="359" t="s">
        <v>1070</v>
      </c>
      <c r="C37" s="399" t="e">
        <f ca="1">ROUND(E37*D37,0)</f>
        <v>#N/A</v>
      </c>
      <c r="D37" s="361" t="e">
        <f ca="1">D19</f>
        <v>#N/A</v>
      </c>
      <c r="E37" s="399">
        <f>'数据-取费表'!B35</f>
        <v>200</v>
      </c>
      <c r="F37" s="408"/>
      <c r="G37" s="410"/>
    </row>
    <row r="38" spans="1:7" ht="13.5" customHeight="1">
      <c r="A38" s="386" t="s">
        <v>1072</v>
      </c>
      <c r="B38" s="359" t="s">
        <v>937</v>
      </c>
      <c r="C38" s="364" t="e">
        <f ca="1">ROUND(C34*F38,0)</f>
        <v>#N/A</v>
      </c>
      <c r="D38" s="364"/>
      <c r="E38" s="364"/>
      <c r="F38" s="408">
        <f>'数据-取费表'!B36</f>
        <v>0.02</v>
      </c>
      <c r="G38" s="363" t="s">
        <v>1067</v>
      </c>
    </row>
    <row r="39" spans="1:7" s="335" customFormat="1" ht="13.5" customHeight="1">
      <c r="A39" s="353" t="s">
        <v>1033</v>
      </c>
      <c r="B39" s="354" t="s">
        <v>1036</v>
      </c>
      <c r="C39" s="378" t="e">
        <f ca="1">ROUND(C33*F20,0)</f>
        <v>#N/A</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t="e">
        <f ca="1">ROUND(SUM(C42:C43),0)</f>
        <v>#N/A</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t="e">
        <f ca="1">ROUND(IF('数据-取费表'!B22&lt;=1,C33*F22*'数据-取费表'!B20/2,C33*(POWER((1+F22),'数据-取费表'!B20/2)-1)),0)</f>
        <v>#N/A</v>
      </c>
      <c r="D42" s="388"/>
      <c r="E42" s="388"/>
      <c r="F42" s="389"/>
      <c r="G42" s="3382" t="s">
        <v>1716</v>
      </c>
    </row>
    <row r="43" spans="1:7" ht="13.5" customHeight="1">
      <c r="A43" s="386" t="s">
        <v>1008</v>
      </c>
      <c r="B43" s="359" t="s">
        <v>1046</v>
      </c>
      <c r="C43" s="388" t="e">
        <f ca="1">ROUND(IF('数据-取费表'!B22&lt;=1,C39*F22*'数据-取费表'!B20/2,C39*(POWER((1+F22),'数据-取费表'!B20/2)-1)),0)</f>
        <v>#N/A</v>
      </c>
      <c r="D43" s="388"/>
      <c r="E43" s="388"/>
      <c r="F43" s="389"/>
      <c r="G43" s="3383"/>
    </row>
    <row r="44" spans="1:7" ht="13.5" customHeight="1">
      <c r="A44" s="386" t="s">
        <v>1010</v>
      </c>
      <c r="B44" s="359" t="s">
        <v>1048</v>
      </c>
      <c r="C44" s="388">
        <f ca="1">ROUND(IF('数据-取费表'!B22&lt;=1,C40*F22*'数据-取费表'!B20/2,C40*(POWER((1+F22),'数据-取费表'!B20/2)-1)),4)</f>
        <v>5.9999999999999995E-4</v>
      </c>
      <c r="D44" s="388"/>
      <c r="E44" s="388"/>
      <c r="F44" s="389"/>
      <c r="G44" s="3384"/>
    </row>
    <row r="45" spans="1:7" s="335" customFormat="1" ht="13.5" customHeight="1">
      <c r="A45" s="353" t="s">
        <v>1042</v>
      </c>
      <c r="B45" s="394" t="s">
        <v>1053</v>
      </c>
      <c r="C45" s="395" t="e">
        <f ca="1">C46</f>
        <v>#N/A</v>
      </c>
      <c r="D45" s="381" t="e">
        <f ca="1">C47</f>
        <v>#N/A</v>
      </c>
      <c r="E45" s="382" t="s">
        <v>1074</v>
      </c>
      <c r="F45" s="396" t="e">
        <f ca="1">F27</f>
        <v>#N/A</v>
      </c>
      <c r="G45" s="397" t="s">
        <v>1077</v>
      </c>
    </row>
    <row r="46" spans="1:7" s="335" customFormat="1" ht="13.5" customHeight="1">
      <c r="A46" s="386" t="s">
        <v>1006</v>
      </c>
      <c r="B46" s="398" t="s">
        <v>1078</v>
      </c>
      <c r="C46" s="399" t="e">
        <f ca="1">ROUND((C33+C39)*F27,0)</f>
        <v>#N/A</v>
      </c>
      <c r="D46" s="412"/>
      <c r="E46" s="382"/>
      <c r="F46" s="396"/>
      <c r="G46" s="397"/>
    </row>
    <row r="47" spans="1:7" s="335" customFormat="1" ht="13.5" customHeight="1">
      <c r="A47" s="386" t="s">
        <v>1008</v>
      </c>
      <c r="B47" s="398" t="s">
        <v>1079</v>
      </c>
      <c r="C47" s="388" t="e">
        <f ca="1">ROUND(C40*F27,4)</f>
        <v>#N/A</v>
      </c>
      <c r="D47" s="412"/>
      <c r="E47" s="382"/>
      <c r="F47" s="396"/>
      <c r="G47" s="397"/>
    </row>
    <row r="48" spans="1:7" s="335" customFormat="1" ht="13.5" customHeight="1">
      <c r="A48" s="353" t="s">
        <v>1052</v>
      </c>
      <c r="B48" s="354" t="s">
        <v>1058</v>
      </c>
      <c r="C48" s="411">
        <f>ROUND(F30/(1+'数据-取费表'!C42),4)</f>
        <v>5.2400000000000002E-2</v>
      </c>
      <c r="D48" s="382" t="s">
        <v>1074</v>
      </c>
      <c r="E48" s="378"/>
      <c r="F48" s="385">
        <f>F30</f>
        <v>5.5000000000000007E-2</v>
      </c>
      <c r="G48" s="383" t="s">
        <v>1080</v>
      </c>
    </row>
    <row r="49" spans="1:7" ht="16.5" customHeight="1">
      <c r="A49" s="353" t="s">
        <v>1057</v>
      </c>
      <c r="B49" s="354" t="s">
        <v>1717</v>
      </c>
      <c r="C49" s="378" t="e">
        <f ca="1">ROUND((C33+C39+C41+C45)/(1-C40-D41-D45-C48),0)</f>
        <v>#N/A</v>
      </c>
      <c r="D49" s="378"/>
      <c r="E49" s="378"/>
      <c r="F49" s="413"/>
      <c r="G49" s="383" t="s">
        <v>1082</v>
      </c>
    </row>
    <row r="50" spans="1:7" s="337" customFormat="1">
      <c r="A50" s="353" t="s">
        <v>1083</v>
      </c>
      <c r="B50" s="354" t="s">
        <v>1084</v>
      </c>
      <c r="C50" s="378"/>
      <c r="D50" s="378"/>
      <c r="E50" s="378"/>
      <c r="F50" s="413">
        <f>IF('数据-取费表'!B24=0,'数据-取费表'!N16,1)</f>
        <v>0.83</v>
      </c>
      <c r="G50" s="397"/>
    </row>
    <row r="51" spans="1:7" ht="16.5" customHeight="1">
      <c r="A51" s="353" t="s">
        <v>1086</v>
      </c>
      <c r="B51" s="354" t="s">
        <v>1718</v>
      </c>
      <c r="C51" s="378" t="e">
        <f ca="1">ROUND(C49*F50,0)</f>
        <v>#N/A</v>
      </c>
      <c r="D51" s="378"/>
      <c r="E51" s="378"/>
      <c r="F51" s="413"/>
      <c r="G51" s="383" t="s">
        <v>1088</v>
      </c>
    </row>
    <row r="52" spans="1:7" s="334" customFormat="1" ht="16.2">
      <c r="A52" s="414" t="s">
        <v>1089</v>
      </c>
      <c r="B52" s="415"/>
      <c r="C52" s="416" t="e">
        <f ca="1">C31+C51</f>
        <v>#DIV/0!</v>
      </c>
      <c r="D52" s="415"/>
      <c r="E52" s="415"/>
      <c r="F52" s="415"/>
      <c r="G52" s="417"/>
    </row>
    <row r="55" spans="1:7" ht="15">
      <c r="B55" s="418" t="s">
        <v>1090</v>
      </c>
      <c r="C55" s="419"/>
    </row>
    <row r="56" spans="1:7">
      <c r="B56" s="420" t="s">
        <v>1091</v>
      </c>
      <c r="C56" s="422" t="e">
        <f ca="1">1-C57</f>
        <v>#N/A</v>
      </c>
    </row>
    <row r="57" spans="1:7">
      <c r="B57" s="420" t="s">
        <v>1092</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1719</v>
      </c>
      <c r="B1" s="342"/>
      <c r="C1" s="345" t="s">
        <v>1345</v>
      </c>
      <c r="D1" s="506">
        <f>SUM(D33:D34,D37:D42)</f>
        <v>355.32</v>
      </c>
      <c r="E1" s="507"/>
      <c r="F1" s="507"/>
      <c r="G1" s="507"/>
      <c r="H1" s="507"/>
      <c r="I1" s="507"/>
      <c r="J1" s="507"/>
      <c r="K1" s="499"/>
      <c r="L1" s="705" t="s">
        <v>1720</v>
      </c>
      <c r="M1" s="706">
        <f>SUMPRODUCT((区片价!B5:B9=I2)*(区片价!C3:G3=E2)*(区片价!C5:G9))</f>
        <v>0</v>
      </c>
      <c r="N1" s="707">
        <f>SUMPRODUCT((因素修正幅度!B5:B9=I2)*(因素修正幅度!C3:G3=E2)*(因素修正幅度!C5:G9))</f>
        <v>0</v>
      </c>
      <c r="O1" s="500"/>
      <c r="P1" s="500"/>
      <c r="Q1" s="499"/>
      <c r="R1" s="794" t="s">
        <v>1721</v>
      </c>
      <c r="S1" s="794" t="s">
        <v>1722</v>
      </c>
      <c r="T1" s="794" t="s">
        <v>1723</v>
      </c>
      <c r="U1" s="794" t="s">
        <v>1724</v>
      </c>
      <c r="V1" s="794" t="s">
        <v>1725</v>
      </c>
      <c r="W1" s="795"/>
      <c r="X1" s="795"/>
      <c r="Y1" s="795"/>
      <c r="Z1" s="795"/>
      <c r="AA1" s="795"/>
      <c r="AB1" s="795"/>
      <c r="AC1" s="806"/>
      <c r="AD1" s="807"/>
      <c r="AE1" s="807"/>
      <c r="AF1" s="807"/>
      <c r="AG1" s="807"/>
      <c r="AH1" s="807"/>
      <c r="AI1" s="807"/>
      <c r="AJ1" s="816"/>
    </row>
    <row r="2" spans="1:36" ht="15.6">
      <c r="A2" s="345" t="s">
        <v>997</v>
      </c>
      <c r="B2" s="349" t="e">
        <f>C30</f>
        <v>#DIV/0!</v>
      </c>
      <c r="C2" s="508" t="s">
        <v>998</v>
      </c>
      <c r="D2" s="509" t="s">
        <v>1726</v>
      </c>
      <c r="E2" s="510" t="s">
        <v>562</v>
      </c>
      <c r="F2" s="509" t="s">
        <v>1727</v>
      </c>
      <c r="G2" s="511">
        <f>IF(E2="商业",项目基本情况!B37,IF(E2="办公",项目基本情况!C37,IF(E2="住宅",项目基本情况!D37,IF(E2="工业",项目基本情况!E37,项目基本情况!F37))))</f>
        <v>0</v>
      </c>
      <c r="H2" s="509" t="s">
        <v>1728</v>
      </c>
      <c r="I2" s="511">
        <f>IF(E2="商业",项目基本情况!B38,IF(E2="办公",项目基本情况!C38,IF(E2="住宅",项目基本情况!D38,IF(E2="工业",项目基本情况!E38,项目基本情况!F38))))</f>
        <v>0</v>
      </c>
      <c r="J2" s="507"/>
      <c r="K2" s="499"/>
      <c r="L2" s="708" t="s">
        <v>1729</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999</v>
      </c>
      <c r="B3" s="349" t="e">
        <f>ROUND(B2*10000/D1,0)</f>
        <v>#DIV/0!</v>
      </c>
      <c r="C3" s="508" t="s">
        <v>1000</v>
      </c>
      <c r="D3" s="509" t="s">
        <v>1730</v>
      </c>
      <c r="E3" s="512" t="s">
        <v>1731</v>
      </c>
      <c r="F3" s="513" t="s">
        <v>1732</v>
      </c>
      <c r="G3" s="514">
        <f>IF(F3="宗地容积率",'数据-汇总表'!I4,IF(F3="估价对象容积率",'数据-汇总表'!I6,'数据-汇总表'!I7))</f>
        <v>0</v>
      </c>
      <c r="H3" s="509" t="s">
        <v>1733</v>
      </c>
      <c r="I3" s="710"/>
      <c r="J3" s="507" t="s">
        <v>1734</v>
      </c>
      <c r="K3" s="499"/>
      <c r="L3" s="708" t="s">
        <v>1735</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88"/>
      <c r="B4" s="3489"/>
      <c r="C4" s="3489"/>
      <c r="D4" s="3490"/>
      <c r="E4" s="3490"/>
      <c r="F4" s="3490"/>
      <c r="G4" s="3490"/>
      <c r="H4" s="3490"/>
      <c r="I4" s="3490"/>
      <c r="J4" s="3491"/>
      <c r="K4" s="499"/>
      <c r="L4" s="708" t="s">
        <v>1736</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901</v>
      </c>
      <c r="B5" s="516" t="s">
        <v>1737</v>
      </c>
      <c r="C5" s="517" t="e">
        <f>ROUND(IF(E2="商业",C6*C7*C17+C20,(IF(E2="住宅",C6*C13*C17+C20,IF(E2="办公",C6*C12*C17+C20,C6+C20)))),0)</f>
        <v>#DIV/0!</v>
      </c>
      <c r="D5" s="518" t="e">
        <f>ROUND(C6*C17+C20,0)</f>
        <v>#DIV/0!</v>
      </c>
      <c r="E5" s="518"/>
      <c r="F5" s="519"/>
      <c r="G5" s="520"/>
      <c r="H5" s="520"/>
      <c r="I5" s="520"/>
      <c r="J5" s="711"/>
      <c r="K5" s="712"/>
      <c r="L5" s="708" t="s">
        <v>1738</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1002</v>
      </c>
      <c r="B6" s="522" t="s">
        <v>1739</v>
      </c>
      <c r="C6" s="523">
        <f>SUMIF(L1:L12,G2,M1:M12)</f>
        <v>0</v>
      </c>
      <c r="D6" s="524"/>
      <c r="E6" s="525"/>
      <c r="F6" s="525"/>
      <c r="G6" s="526"/>
      <c r="H6" s="526"/>
      <c r="I6" s="526"/>
      <c r="J6" s="713"/>
      <c r="K6" s="714"/>
      <c r="L6" s="708" t="s">
        <v>1740</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1741</v>
      </c>
      <c r="B7" s="528" t="s">
        <v>1742</v>
      </c>
      <c r="C7" s="529" t="e">
        <f>IF(C8="不临65条商业街",1,ROUND(1+(1.6*E8+1.2*E9+0.8*E10+0.4*E11)*C9,4))</f>
        <v>#DIV/0!</v>
      </c>
      <c r="D7" s="530" t="s">
        <v>1743</v>
      </c>
      <c r="E7" s="531"/>
      <c r="F7" s="532"/>
      <c r="G7" s="533"/>
      <c r="H7" s="533"/>
      <c r="I7" s="533"/>
      <c r="J7" s="715"/>
      <c r="K7" s="714"/>
      <c r="L7" s="708" t="s">
        <v>1744</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1745</v>
      </c>
      <c r="X7" s="800">
        <f>G2</f>
        <v>0</v>
      </c>
      <c r="Y7" s="800" t="s">
        <v>1746</v>
      </c>
      <c r="Z7" s="810">
        <f>G3</f>
        <v>0</v>
      </c>
      <c r="AA7" s="795"/>
      <c r="AB7" s="795"/>
      <c r="AC7" s="806"/>
      <c r="AD7" s="807"/>
      <c r="AE7" s="807"/>
      <c r="AF7" s="807"/>
      <c r="AG7" s="807"/>
      <c r="AH7" s="807"/>
      <c r="AI7" s="807"/>
      <c r="AJ7" s="816"/>
    </row>
    <row r="8" spans="1:36" ht="15">
      <c r="A8" s="534"/>
      <c r="B8" s="509" t="s">
        <v>1747</v>
      </c>
      <c r="C8" s="535"/>
      <c r="D8" s="536" t="s">
        <v>1748</v>
      </c>
      <c r="E8" s="537" t="e">
        <f>ROUND(C11/E7,4)</f>
        <v>#DIV/0!</v>
      </c>
      <c r="F8" s="538" t="s">
        <v>1749</v>
      </c>
      <c r="G8" s="539"/>
      <c r="H8" s="539"/>
      <c r="I8" s="539"/>
      <c r="J8" s="716"/>
      <c r="K8" s="499"/>
      <c r="L8" s="708" t="s">
        <v>1750</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92" t="s">
        <v>1751</v>
      </c>
      <c r="X8" s="3493"/>
      <c r="Y8" s="811" t="s">
        <v>1752</v>
      </c>
      <c r="Z8" s="811" t="s">
        <v>1753</v>
      </c>
      <c r="AA8" s="811" t="s">
        <v>1754</v>
      </c>
      <c r="AB8" s="811" t="s">
        <v>1755</v>
      </c>
      <c r="AC8" s="811" t="s">
        <v>1756</v>
      </c>
      <c r="AD8" s="811" t="s">
        <v>1757</v>
      </c>
      <c r="AE8" s="811" t="s">
        <v>1758</v>
      </c>
      <c r="AF8" s="811" t="s">
        <v>1759</v>
      </c>
      <c r="AG8" s="811" t="s">
        <v>1760</v>
      </c>
      <c r="AH8" s="811" t="s">
        <v>1761</v>
      </c>
      <c r="AI8" s="811" t="s">
        <v>1762</v>
      </c>
      <c r="AJ8" s="811" t="s">
        <v>1763</v>
      </c>
    </row>
    <row r="9" spans="1:36" ht="15">
      <c r="A9" s="534"/>
      <c r="B9" s="509" t="s">
        <v>1764</v>
      </c>
      <c r="C9" s="540">
        <f>SUMIF(修正!C71:C138,C8,修正!E71:E138)</f>
        <v>0</v>
      </c>
      <c r="D9" s="511" t="s">
        <v>1765</v>
      </c>
      <c r="E9" s="511" t="e">
        <f>ROUND(C11/E7,4)</f>
        <v>#DIV/0!</v>
      </c>
      <c r="F9" s="538" t="s">
        <v>1766</v>
      </c>
      <c r="G9" s="539"/>
      <c r="H9" s="539"/>
      <c r="I9" s="539"/>
      <c r="J9" s="716"/>
      <c r="K9" s="499"/>
      <c r="L9" s="708" t="s">
        <v>1767</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06"/>
      <c r="X9" s="801" t="s">
        <v>1768</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1769</v>
      </c>
      <c r="C10" s="511">
        <f>SUMIF(修正!C71:C138,C8,修正!F71:F138)</f>
        <v>0</v>
      </c>
      <c r="D10" s="511" t="s">
        <v>1770</v>
      </c>
      <c r="E10" s="511" t="e">
        <f>ROUND(C11/E7,4)</f>
        <v>#DIV/0!</v>
      </c>
      <c r="F10" s="538" t="s">
        <v>1771</v>
      </c>
      <c r="G10" s="539"/>
      <c r="H10" s="539"/>
      <c r="I10" s="539"/>
      <c r="J10" s="716"/>
      <c r="K10" s="499"/>
      <c r="L10" s="708" t="s">
        <v>1772</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06"/>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1773</v>
      </c>
      <c r="C11" s="543">
        <f>C10/4</f>
        <v>0</v>
      </c>
      <c r="D11" s="543" t="s">
        <v>1774</v>
      </c>
      <c r="E11" s="543" t="e">
        <f>ROUND(C11/E7,4)</f>
        <v>#DIV/0!</v>
      </c>
      <c r="F11" s="544" t="s">
        <v>1775</v>
      </c>
      <c r="G11" s="545"/>
      <c r="H11" s="545"/>
      <c r="I11" s="545"/>
      <c r="J11" s="717"/>
      <c r="K11" s="499"/>
      <c r="L11" s="708" t="s">
        <v>1776</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1777</v>
      </c>
      <c r="B12" s="546" t="s">
        <v>1778</v>
      </c>
      <c r="C12" s="547">
        <v>1</v>
      </c>
      <c r="D12" s="548" t="s">
        <v>1779</v>
      </c>
      <c r="E12" s="549" t="s">
        <v>1780</v>
      </c>
      <c r="F12" s="550"/>
      <c r="G12" s="551"/>
      <c r="H12" s="551"/>
      <c r="I12" s="551"/>
      <c r="J12" s="718"/>
      <c r="K12" s="499"/>
      <c r="L12" s="719" t="s">
        <v>1781</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1782</v>
      </c>
      <c r="B13" s="552" t="s">
        <v>1783</v>
      </c>
      <c r="C13" s="529">
        <f>ROUND(C16*D16*E16*F16*G16*H16*I16*J16,4)</f>
        <v>0</v>
      </c>
      <c r="D13" s="553" t="s">
        <v>1784</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1785</v>
      </c>
      <c r="C14" s="558" t="s">
        <v>1786</v>
      </c>
      <c r="D14" s="559" t="s">
        <v>1787</v>
      </c>
      <c r="E14" s="560" t="s">
        <v>1788</v>
      </c>
      <c r="F14" s="561" t="s">
        <v>1789</v>
      </c>
      <c r="G14" s="561" t="s">
        <v>1789</v>
      </c>
      <c r="H14" s="561" t="s">
        <v>1789</v>
      </c>
      <c r="I14" s="561" t="s">
        <v>1789</v>
      </c>
      <c r="J14" s="561" t="s">
        <v>1789</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1790</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1615</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1791</v>
      </c>
      <c r="B17" s="572" t="s">
        <v>1792</v>
      </c>
      <c r="C17" s="573">
        <f>ROUND(IF(OR(E2="工业",E2="公共服务"),1,IF(AND(E18=0,E19=0),1,IF(AND(E18=J24,E19=G19),0.8,IF(E19=0,1+E17*(-0.2),1+E17*G17*(-0.2))))),4)</f>
        <v>1</v>
      </c>
      <c r="D17" s="574" t="s">
        <v>1793</v>
      </c>
      <c r="E17" s="573">
        <f>ROUND(G18/I18,2)</f>
        <v>0</v>
      </c>
      <c r="F17" s="574" t="s">
        <v>1794</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1795</v>
      </c>
      <c r="E18" s="579"/>
      <c r="F18" s="580" t="s">
        <v>1796</v>
      </c>
      <c r="G18" s="577">
        <f>ROUND(1-(1/(POWER(1+G24,E18))),4)</f>
        <v>0</v>
      </c>
      <c r="H18" s="580" t="s">
        <v>1797</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1798</v>
      </c>
      <c r="E19" s="584"/>
      <c r="F19" s="585" t="s">
        <v>1799</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498" t="s">
        <v>1800</v>
      </c>
      <c r="B20" s="586" t="s">
        <v>1801</v>
      </c>
      <c r="C20" s="587" t="e">
        <f>ROUND(IF(F21="与级别开发程度一致",0,(G21-E21)/C21),0)</f>
        <v>#DIV/0!</v>
      </c>
      <c r="D20" s="588" t="s">
        <v>1802</v>
      </c>
      <c r="E20" s="589"/>
      <c r="F20" s="3494" t="s">
        <v>1803</v>
      </c>
      <c r="G20" s="3495"/>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499"/>
      <c r="B21" s="591" t="s">
        <v>1804</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1805</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912</v>
      </c>
      <c r="B22" s="598" t="s">
        <v>1806</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917</v>
      </c>
      <c r="B23" s="603" t="s">
        <v>1807</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1808</v>
      </c>
      <c r="E23" s="606">
        <v>44197</v>
      </c>
      <c r="F23" s="605" t="s">
        <v>1809</v>
      </c>
      <c r="G23" s="607">
        <f>'数据-取费表'!B2</f>
        <v>45839</v>
      </c>
      <c r="H23" s="608" t="s">
        <v>1810</v>
      </c>
      <c r="I23" s="738" t="str">
        <f>IF(H23="季度增幅（自定义）",SUMIF(N25:N28,E2,O25:O28),"")</f>
        <v/>
      </c>
      <c r="J23" s="739" t="s">
        <v>1811</v>
      </c>
      <c r="K23" s="735"/>
      <c r="L23" s="740" t="s">
        <v>1812</v>
      </c>
      <c r="M23" s="741">
        <f>ROUND(SUMIF(地价!B2:G2,E2,地价!B16:G16),0)</f>
        <v>350</v>
      </c>
      <c r="N23" s="742" t="s">
        <v>1813</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920</v>
      </c>
      <c r="B24" s="610" t="s">
        <v>1814</v>
      </c>
      <c r="C24" s="611" t="e">
        <f>ROUND(POWER(1+G24,J24-I24)*(POWER(1+G24,I24)-1)/(POWER(1+G24,J24)-1),4)</f>
        <v>#DIV/0!</v>
      </c>
      <c r="D24" s="612" t="s">
        <v>1815</v>
      </c>
      <c r="E24" s="613">
        <f>存贷款利率!E28/100</f>
        <v>4.3499999999999997E-2</v>
      </c>
      <c r="F24" s="612" t="s">
        <v>1816</v>
      </c>
      <c r="G24" s="614">
        <f>SUMIF(M30:Q30,E2,M33:Q33)</f>
        <v>5.5E-2</v>
      </c>
      <c r="H24" s="612" t="s">
        <v>1817</v>
      </c>
      <c r="I24" s="744" t="e">
        <f>SUMIF('数据-取费表'!C6:C15,E2,'数据-取费表'!F6:F15)/COUNTIF('数据-取费表'!C6:C15,E2)</f>
        <v>#DIV/0!</v>
      </c>
      <c r="J24" s="745">
        <f>IF(E2="住宅",70,IF(E2="商业",40,50))</f>
        <v>50</v>
      </c>
      <c r="K24" s="735"/>
      <c r="L24" s="746" t="s">
        <v>1818</v>
      </c>
      <c r="M24" s="747">
        <f>ROUND(SUMPRODUCT((地价!A4:A16=YEAR(G23)&amp;"-"&amp;ROUNDUP(MONTH(G23)/3,0))*(地价!B2:G2=E2)*(地价!B4:G16)),0)</f>
        <v>0</v>
      </c>
      <c r="N24" s="748" t="s">
        <v>1819</v>
      </c>
      <c r="O24" s="749" t="s">
        <v>1820</v>
      </c>
      <c r="P24" s="750" t="s">
        <v>1821</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944</v>
      </c>
      <c r="B25" s="616" t="s">
        <v>1822</v>
      </c>
      <c r="C25" s="617">
        <f>IF(B25="容积率修正",IF(G3&lt;10,D26,J26),C27)</f>
        <v>0</v>
      </c>
      <c r="D25" s="618"/>
      <c r="E25" s="618"/>
      <c r="F25" s="618"/>
      <c r="G25" s="618"/>
      <c r="H25" s="618"/>
      <c r="I25" s="618"/>
      <c r="J25" s="751"/>
      <c r="K25" s="735"/>
      <c r="L25" s="736"/>
      <c r="M25" s="736"/>
      <c r="N25" s="752" t="s">
        <v>1823</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1824</v>
      </c>
      <c r="B26" s="620" t="s">
        <v>1825</v>
      </c>
      <c r="C26" s="620" t="s">
        <v>1826</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1827</v>
      </c>
      <c r="J26" s="755" t="str">
        <f>IF(G3&gt;=10,D115,"——")</f>
        <v>——</v>
      </c>
      <c r="K26" s="735"/>
      <c r="L26" s="736"/>
      <c r="M26" s="736"/>
      <c r="N26" s="752" t="s">
        <v>1828</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1829</v>
      </c>
      <c r="B27" s="622" t="s">
        <v>1830</v>
      </c>
      <c r="C27" s="623">
        <f>ROUND(IF(I3&lt;6,SUMPRODUCT((B106:B110=I3)*(C105:N105=G2)*(C106:N110)),SUMIF(C105:N105,G2,C112:N112)),4)</f>
        <v>0</v>
      </c>
      <c r="D27" s="507"/>
      <c r="E27" s="507"/>
      <c r="F27" s="624"/>
      <c r="G27" s="625"/>
      <c r="H27" s="626"/>
      <c r="I27" s="756"/>
      <c r="J27" s="757"/>
      <c r="K27" s="499"/>
      <c r="L27" s="500"/>
      <c r="M27" s="500"/>
      <c r="N27" s="752" t="s">
        <v>1831</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1832</v>
      </c>
      <c r="B28" s="603" t="s">
        <v>1833</v>
      </c>
      <c r="C28" s="604">
        <f>SUMIF(A47:A101,E2,B47:B101)</f>
        <v>1.0167999999999999</v>
      </c>
      <c r="D28" s="627"/>
      <c r="E28" s="628"/>
      <c r="F28" s="628"/>
      <c r="G28" s="628"/>
      <c r="H28" s="628"/>
      <c r="I28" s="628"/>
      <c r="J28" s="758"/>
      <c r="K28" s="735"/>
      <c r="L28" s="736"/>
      <c r="M28" s="736"/>
      <c r="N28" s="759" t="s">
        <v>1834</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1835</v>
      </c>
      <c r="B29" s="629" t="s">
        <v>1836</v>
      </c>
      <c r="C29" s="630"/>
      <c r="D29" s="533"/>
      <c r="E29" s="533"/>
      <c r="F29" s="631"/>
      <c r="G29" s="533"/>
      <c r="H29" s="533"/>
      <c r="I29" s="533"/>
      <c r="J29" s="715"/>
      <c r="K29" s="499"/>
      <c r="L29" s="500"/>
      <c r="M29" s="500"/>
      <c r="N29" s="762" t="s">
        <v>1837</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1838</v>
      </c>
      <c r="C30" s="633" t="e">
        <f>IF(B25="容积率修正",E33+SUM(E37:E42),SUM(V2:V16)+SUM(E37:E42))</f>
        <v>#DIV/0!</v>
      </c>
      <c r="D30" s="634"/>
      <c r="E30" s="507"/>
      <c r="F30" s="635"/>
      <c r="G30" s="507"/>
      <c r="H30" s="507"/>
      <c r="I30" s="507"/>
      <c r="J30" s="765"/>
      <c r="K30" s="499"/>
      <c r="L30" s="766" t="s">
        <v>1726</v>
      </c>
      <c r="M30" s="767" t="s">
        <v>1839</v>
      </c>
      <c r="N30" s="767" t="s">
        <v>1840</v>
      </c>
      <c r="O30" s="767" t="s">
        <v>1841</v>
      </c>
      <c r="P30" s="767" t="s">
        <v>1842</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1843</v>
      </c>
      <c r="C31" s="636" t="e">
        <f>E34+SUM(I37:I42)</f>
        <v>#DIV/0!</v>
      </c>
      <c r="D31" s="637"/>
      <c r="E31" s="638"/>
      <c r="F31" s="639"/>
      <c r="G31" s="638"/>
      <c r="H31" s="638"/>
      <c r="I31" s="638"/>
      <c r="J31" s="768"/>
      <c r="K31" s="499"/>
      <c r="L31" s="769" t="s">
        <v>1844</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1845</v>
      </c>
      <c r="C32" s="642" t="s">
        <v>1846</v>
      </c>
      <c r="D32" s="642" t="s">
        <v>574</v>
      </c>
      <c r="E32" s="643" t="s">
        <v>1847</v>
      </c>
      <c r="F32" s="644"/>
      <c r="G32" s="555"/>
      <c r="H32" s="555"/>
      <c r="I32" s="555"/>
      <c r="J32" s="721"/>
      <c r="K32" s="499"/>
      <c r="L32" s="770" t="s">
        <v>1816</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1848</v>
      </c>
      <c r="C33" s="647" t="e">
        <f>ROUND(C5*C22*C23*C24*C25*C28,0)</f>
        <v>#DIV/0!</v>
      </c>
      <c r="D33" s="648">
        <f>'数据-汇总表'!E19</f>
        <v>355.32</v>
      </c>
      <c r="E33" s="649" t="e">
        <f>ROUND(C33*D33/10000,0)</f>
        <v>#DIV/0!</v>
      </c>
      <c r="F33" s="650" t="s">
        <v>1849</v>
      </c>
      <c r="G33" s="651"/>
      <c r="H33" s="651"/>
      <c r="I33" s="651"/>
      <c r="J33" s="772"/>
      <c r="K33" s="499"/>
      <c r="L33" s="773" t="s">
        <v>1850</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1851</v>
      </c>
      <c r="C34" s="593" t="e">
        <f>ROUND(IF(E2="工业",C33*M42,IF(B25="楼层修正",SUM(V2:V16)*M41*10000/D34,C33*M41)),0)</f>
        <v>#DIV/0!</v>
      </c>
      <c r="D34" s="654"/>
      <c r="E34" s="649" t="e">
        <f>ROUND(IF(B25="楼层修正",SUM(V2:V16)*M40,C34*D34/10000),0)</f>
        <v>#DIV/0!</v>
      </c>
      <c r="F34" s="655" t="s">
        <v>1852</v>
      </c>
      <c r="G34" s="656"/>
      <c r="H34" s="656"/>
      <c r="I34" s="656"/>
      <c r="J34" s="775"/>
      <c r="K34" s="499"/>
      <c r="L34" s="773" t="s">
        <v>1853</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1854</v>
      </c>
      <c r="C35" s="659" t="s">
        <v>1855</v>
      </c>
      <c r="D35" s="555"/>
      <c r="E35" s="660"/>
      <c r="F35" s="660"/>
      <c r="G35" s="553" t="s">
        <v>1852</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1846</v>
      </c>
      <c r="D36" s="663" t="s">
        <v>574</v>
      </c>
      <c r="E36" s="663" t="s">
        <v>1847</v>
      </c>
      <c r="F36" s="506" t="s">
        <v>1856</v>
      </c>
      <c r="G36" s="664" t="s">
        <v>1846</v>
      </c>
      <c r="H36" s="664" t="s">
        <v>574</v>
      </c>
      <c r="I36" s="664" t="s">
        <v>1847</v>
      </c>
      <c r="J36" s="393"/>
      <c r="K36" s="674" t="s">
        <v>1857</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500"/>
      <c r="B37" s="665" t="s">
        <v>1858</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1859</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501"/>
      <c r="B38" s="558" t="s">
        <v>1860</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501"/>
      <c r="B39" s="558" t="s">
        <v>1861</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1862</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1863</v>
      </c>
      <c r="M40" s="783"/>
      <c r="Z40" s="670"/>
      <c r="AA40" s="670"/>
      <c r="AB40" s="670"/>
      <c r="AC40" s="670"/>
      <c r="AD40" s="670"/>
      <c r="AE40" s="670"/>
      <c r="AF40" s="670"/>
      <c r="AG40" s="670"/>
      <c r="AH40" s="670"/>
      <c r="AI40" s="670"/>
      <c r="AJ40" s="670"/>
    </row>
    <row r="41" spans="1:37" s="499" customFormat="1">
      <c r="A41" s="667"/>
      <c r="B41" s="558" t="s">
        <v>1864</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1865</v>
      </c>
      <c r="M41" s="785">
        <v>0.25</v>
      </c>
      <c r="Z41" s="670"/>
      <c r="AA41" s="670"/>
      <c r="AB41" s="670"/>
      <c r="AC41" s="670"/>
      <c r="AD41" s="670"/>
      <c r="AE41" s="670"/>
      <c r="AF41" s="670"/>
      <c r="AG41" s="670"/>
      <c r="AH41" s="670"/>
      <c r="AI41" s="670"/>
      <c r="AJ41" s="670"/>
    </row>
    <row r="42" spans="1:37" s="499" customFormat="1">
      <c r="A42" s="652"/>
      <c r="B42" s="668" t="s">
        <v>1866</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1842</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1867</v>
      </c>
      <c r="C44" s="506">
        <f>ROUND(POWER(1+E44,H44-G44)*(POWER(1+E44,G44)-1)/(POWER(1+E44,H44)-1),4)</f>
        <v>0</v>
      </c>
      <c r="D44" s="511" t="s">
        <v>1816</v>
      </c>
      <c r="E44" s="672">
        <f>G24</f>
        <v>5.5E-2</v>
      </c>
      <c r="F44" s="511" t="s">
        <v>1817</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1868</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1869</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1870</v>
      </c>
      <c r="B49" s="686" t="s">
        <v>1871</v>
      </c>
      <c r="C49" s="686" t="s">
        <v>1872</v>
      </c>
      <c r="D49" s="686" t="s">
        <v>1873</v>
      </c>
      <c r="E49" s="687" t="s">
        <v>1874</v>
      </c>
      <c r="F49" s="688" t="s">
        <v>1875</v>
      </c>
      <c r="G49" s="686" t="s">
        <v>1615</v>
      </c>
      <c r="H49" s="689" t="s">
        <v>1876</v>
      </c>
      <c r="I49" s="686" t="s">
        <v>1877</v>
      </c>
      <c r="J49" s="790" t="s">
        <v>1416</v>
      </c>
      <c r="K49" s="790" t="s">
        <v>1417</v>
      </c>
      <c r="L49" s="790" t="s">
        <v>1418</v>
      </c>
      <c r="M49" s="790" t="s">
        <v>1419</v>
      </c>
      <c r="N49" s="790" t="s">
        <v>1420</v>
      </c>
      <c r="AA49" s="670"/>
      <c r="AB49" s="670"/>
      <c r="AC49" s="670"/>
      <c r="AD49" s="670"/>
      <c r="AE49" s="670"/>
      <c r="AF49" s="670"/>
      <c r="AG49" s="670"/>
      <c r="AH49" s="670"/>
      <c r="AI49" s="670"/>
      <c r="AJ49" s="670"/>
      <c r="AK49" s="670"/>
    </row>
    <row r="50" spans="1:37" s="499" customFormat="1" ht="25.2">
      <c r="A50" s="685" t="s">
        <v>1878</v>
      </c>
      <c r="B50" s="690" t="str">
        <f>估价对象房地状况!C4</f>
        <v>较差</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24">
      <c r="A51" s="685" t="s">
        <v>1879</v>
      </c>
      <c r="B51" s="686" t="str">
        <f>估价对象房地状况!C18</f>
        <v>一般</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1880</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1881</v>
      </c>
      <c r="B53" s="698" t="s">
        <v>1882</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1883</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1884</v>
      </c>
      <c r="B55" s="699" t="s">
        <v>1885</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1886</v>
      </c>
      <c r="B56" s="701" t="str">
        <f>估价对象房地状况!C21</f>
        <v>一般</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1887</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6">
      <c r="A58" s="702" t="s">
        <v>1888</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1889</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1870</v>
      </c>
      <c r="B60" s="686"/>
      <c r="C60" s="686" t="s">
        <v>1872</v>
      </c>
      <c r="D60" s="686" t="s">
        <v>1873</v>
      </c>
      <c r="E60" s="687" t="s">
        <v>1874</v>
      </c>
      <c r="F60" s="688" t="s">
        <v>1890</v>
      </c>
      <c r="G60" s="686" t="s">
        <v>1615</v>
      </c>
      <c r="H60" s="689" t="s">
        <v>1876</v>
      </c>
      <c r="I60" s="686" t="s">
        <v>1877</v>
      </c>
      <c r="J60" s="790" t="s">
        <v>1416</v>
      </c>
      <c r="K60" s="790" t="s">
        <v>1417</v>
      </c>
      <c r="L60" s="790" t="s">
        <v>1418</v>
      </c>
      <c r="M60" s="790" t="s">
        <v>1419</v>
      </c>
      <c r="N60" s="790" t="s">
        <v>1420</v>
      </c>
      <c r="AA60" s="670"/>
      <c r="AB60" s="670"/>
      <c r="AC60" s="670"/>
      <c r="AD60" s="670"/>
      <c r="AE60" s="670"/>
      <c r="AF60" s="670"/>
      <c r="AG60" s="670"/>
      <c r="AH60" s="670"/>
      <c r="AI60" s="670"/>
      <c r="AJ60" s="670"/>
      <c r="AK60" s="670"/>
    </row>
    <row r="61" spans="1:37" s="499" customFormat="1" ht="24">
      <c r="A61" s="685" t="s">
        <v>1891</v>
      </c>
      <c r="B61" s="690">
        <f>估价对象房地状况!C17</f>
        <v>0</v>
      </c>
      <c r="C61" s="564" t="s">
        <v>1371</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24">
      <c r="A62" s="685" t="s">
        <v>1879</v>
      </c>
      <c r="B62" s="686" t="str">
        <f>估价对象房地状况!C18</f>
        <v>一般</v>
      </c>
      <c r="C62" s="564" t="s">
        <v>1371</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1880</v>
      </c>
      <c r="B63" s="686">
        <f>估价对象房地状况!C19</f>
        <v>0</v>
      </c>
      <c r="C63" s="564" t="s">
        <v>1371</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1881</v>
      </c>
      <c r="B64" s="698" t="s">
        <v>1882</v>
      </c>
      <c r="C64" s="564" t="s">
        <v>1371</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1883</v>
      </c>
      <c r="B65" s="686">
        <f>估价对象房地状况!C24</f>
        <v>0</v>
      </c>
      <c r="C65" s="564" t="s">
        <v>1892</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1884</v>
      </c>
      <c r="B66" s="699" t="s">
        <v>1885</v>
      </c>
      <c r="C66" s="564" t="s">
        <v>1371</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1886</v>
      </c>
      <c r="B67" s="701" t="str">
        <f>估价对象房地状况!C21</f>
        <v>一般</v>
      </c>
      <c r="C67" s="564" t="s">
        <v>1374</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1887</v>
      </c>
      <c r="B68" s="701" t="str">
        <f>估价对象房地状况!C22</f>
        <v>七通</v>
      </c>
      <c r="C68" s="564" t="s">
        <v>1893</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6">
      <c r="A69" s="702" t="s">
        <v>1888</v>
      </c>
      <c r="B69" s="823" t="str">
        <f>估价对象房地状况!C20</f>
        <v>一般</v>
      </c>
      <c r="C69" s="564" t="s">
        <v>1374</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1894</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1870</v>
      </c>
      <c r="B71" s="686"/>
      <c r="C71" s="686" t="s">
        <v>1872</v>
      </c>
      <c r="D71" s="686" t="s">
        <v>1873</v>
      </c>
      <c r="E71" s="687" t="s">
        <v>1874</v>
      </c>
      <c r="F71" s="688" t="s">
        <v>1890</v>
      </c>
      <c r="G71" s="686" t="s">
        <v>1615</v>
      </c>
      <c r="H71" s="689" t="s">
        <v>1876</v>
      </c>
      <c r="I71" s="686" t="s">
        <v>1877</v>
      </c>
      <c r="J71" s="790" t="s">
        <v>1416</v>
      </c>
      <c r="K71" s="790" t="s">
        <v>1417</v>
      </c>
      <c r="L71" s="790" t="s">
        <v>1418</v>
      </c>
      <c r="M71" s="790" t="s">
        <v>1419</v>
      </c>
      <c r="N71" s="790" t="s">
        <v>1420</v>
      </c>
      <c r="AA71" s="670"/>
      <c r="AB71" s="670"/>
      <c r="AC71" s="670"/>
      <c r="AD71" s="670"/>
      <c r="AE71" s="670"/>
      <c r="AF71" s="670"/>
      <c r="AG71" s="670"/>
      <c r="AH71" s="670"/>
      <c r="AI71" s="670"/>
      <c r="AJ71" s="670"/>
      <c r="AK71" s="670"/>
    </row>
    <row r="72" spans="1:37" s="499" customFormat="1" ht="24">
      <c r="A72" s="685" t="s">
        <v>1895</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24">
      <c r="A73" s="685" t="s">
        <v>1879</v>
      </c>
      <c r="B73" s="686" t="str">
        <f>估价对象房地状况!C18</f>
        <v>一般</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1880</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1896</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1886</v>
      </c>
      <c r="B76" s="701" t="str">
        <f>估价对象房地状况!C21</f>
        <v>一般</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1887</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1884</v>
      </c>
      <c r="B78" s="699" t="s">
        <v>1885</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6">
      <c r="A79" s="685" t="s">
        <v>1888</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1897</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1898</v>
      </c>
      <c r="B81" s="680">
        <f>1+E83</f>
        <v>1</v>
      </c>
      <c r="C81" s="682"/>
      <c r="D81" s="682"/>
      <c r="E81" s="683"/>
      <c r="F81" s="684"/>
      <c r="G81" s="678"/>
      <c r="H81" s="678"/>
      <c r="I81" s="678"/>
      <c r="J81" s="677"/>
      <c r="K81" s="677"/>
      <c r="L81" s="677"/>
      <c r="M81" s="677"/>
      <c r="N81" s="677"/>
      <c r="Z81" s="503"/>
      <c r="AA81" s="501"/>
      <c r="AG81" s="505"/>
      <c r="AK81" s="501"/>
    </row>
    <row r="82" spans="1:37" ht="25.2">
      <c r="A82" s="685" t="s">
        <v>1870</v>
      </c>
      <c r="B82" s="686"/>
      <c r="C82" s="686" t="s">
        <v>1872</v>
      </c>
      <c r="D82" s="686" t="s">
        <v>1873</v>
      </c>
      <c r="E82" s="687" t="s">
        <v>1874</v>
      </c>
      <c r="F82" s="688" t="s">
        <v>1890</v>
      </c>
      <c r="G82" s="686" t="s">
        <v>1615</v>
      </c>
      <c r="H82" s="689" t="s">
        <v>1876</v>
      </c>
      <c r="I82" s="686" t="s">
        <v>1877</v>
      </c>
      <c r="J82" s="790" t="s">
        <v>1416</v>
      </c>
      <c r="K82" s="790" t="s">
        <v>1417</v>
      </c>
      <c r="L82" s="790" t="s">
        <v>1418</v>
      </c>
      <c r="M82" s="790" t="s">
        <v>1419</v>
      </c>
      <c r="N82" s="790" t="s">
        <v>1420</v>
      </c>
      <c r="Z82" s="503"/>
      <c r="AA82" s="501"/>
      <c r="AG82" s="505"/>
      <c r="AK82" s="501"/>
    </row>
    <row r="83" spans="1:37" ht="24">
      <c r="A83" s="685" t="s">
        <v>1899</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24">
      <c r="A84" s="685" t="s">
        <v>1879</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1880</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1896</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1886</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1887</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1884</v>
      </c>
      <c r="B89" s="699" t="s">
        <v>1900</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3.8">
      <c r="A90" s="702" t="s">
        <v>1901</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1870</v>
      </c>
      <c r="B92" s="576"/>
      <c r="C92" s="576" t="s">
        <v>1872</v>
      </c>
      <c r="D92" s="576" t="s">
        <v>1873</v>
      </c>
      <c r="E92" s="804" t="s">
        <v>1874</v>
      </c>
      <c r="F92" s="835" t="s">
        <v>1890</v>
      </c>
      <c r="G92" s="576" t="s">
        <v>1615</v>
      </c>
      <c r="H92" s="836" t="s">
        <v>1876</v>
      </c>
      <c r="I92" s="576" t="s">
        <v>1877</v>
      </c>
      <c r="J92" s="868" t="s">
        <v>1416</v>
      </c>
      <c r="K92" s="868" t="s">
        <v>1417</v>
      </c>
      <c r="L92" s="868" t="s">
        <v>1418</v>
      </c>
      <c r="M92" s="868" t="s">
        <v>1419</v>
      </c>
      <c r="N92" s="868" t="s">
        <v>1420</v>
      </c>
    </row>
    <row r="93" spans="1:37" ht="24">
      <c r="A93" s="697" t="s">
        <v>1902</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24">
      <c r="A94" s="834" t="s">
        <v>1879</v>
      </c>
      <c r="B94" s="840" t="str">
        <f>估价对象房地状况!C18</f>
        <v>一般</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1880</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1881</v>
      </c>
      <c r="B96" s="842" t="s">
        <v>1882</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1883</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1884</v>
      </c>
      <c r="B98" s="843" t="s">
        <v>1885</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1886</v>
      </c>
      <c r="B99" s="840" t="str">
        <f>估价对象房地状况!C21</f>
        <v>一般</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1887</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6">
      <c r="A101" s="844" t="s">
        <v>1888</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96" t="s">
        <v>1903</v>
      </c>
      <c r="B103" s="3496"/>
      <c r="C103" s="3496"/>
      <c r="D103" s="3496"/>
      <c r="E103" s="3496"/>
      <c r="F103" s="3496"/>
      <c r="G103" s="3496"/>
      <c r="H103" s="3496"/>
      <c r="I103" s="3496"/>
      <c r="J103" s="3496"/>
      <c r="K103" s="847"/>
      <c r="L103" s="847"/>
      <c r="M103" s="847"/>
      <c r="N103" s="847"/>
    </row>
    <row r="104" spans="1:14">
      <c r="A104" s="3502" t="s">
        <v>1904</v>
      </c>
      <c r="B104" s="3502" t="s">
        <v>1905</v>
      </c>
      <c r="C104" s="849" t="s">
        <v>1906</v>
      </c>
      <c r="D104" s="850"/>
      <c r="E104" s="850"/>
      <c r="F104" s="850"/>
      <c r="G104" s="850"/>
      <c r="H104" s="850"/>
      <c r="I104" s="850"/>
      <c r="J104" s="869"/>
      <c r="K104" s="870"/>
      <c r="L104" s="870"/>
      <c r="M104" s="870"/>
      <c r="N104" s="870"/>
    </row>
    <row r="105" spans="1:14">
      <c r="A105" s="3502"/>
      <c r="B105" s="3502"/>
      <c r="C105" s="848" t="s">
        <v>1752</v>
      </c>
      <c r="D105" s="848" t="s">
        <v>1753</v>
      </c>
      <c r="E105" s="848" t="s">
        <v>1754</v>
      </c>
      <c r="F105" s="848" t="s">
        <v>1755</v>
      </c>
      <c r="G105" s="848" t="s">
        <v>1756</v>
      </c>
      <c r="H105" s="848" t="s">
        <v>1757</v>
      </c>
      <c r="I105" s="848" t="s">
        <v>1758</v>
      </c>
      <c r="J105" s="848" t="s">
        <v>1759</v>
      </c>
      <c r="K105" s="848" t="s">
        <v>1760</v>
      </c>
      <c r="L105" s="848" t="s">
        <v>1761</v>
      </c>
      <c r="M105" s="848" t="s">
        <v>1762</v>
      </c>
      <c r="N105" s="848" t="s">
        <v>1763</v>
      </c>
    </row>
    <row r="106" spans="1:14">
      <c r="A106" s="3503" t="s">
        <v>1907</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04"/>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04"/>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04"/>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04"/>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04"/>
      <c r="B111" s="848" t="s">
        <v>1768</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05"/>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97" t="s">
        <v>1908</v>
      </c>
      <c r="B113" s="3497"/>
      <c r="C113" s="3497"/>
      <c r="D113" s="3497"/>
      <c r="E113" s="3497"/>
      <c r="F113" s="3497"/>
      <c r="G113" s="3497"/>
      <c r="H113" s="3497"/>
      <c r="I113" s="3497"/>
      <c r="J113" s="3497"/>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1909</v>
      </c>
      <c r="B116" s="855">
        <f>G3</f>
        <v>0</v>
      </c>
      <c r="C116" s="856" t="s">
        <v>1910</v>
      </c>
      <c r="D116" s="857">
        <f>SUMPRODUCT((A118:A122=F116)*(B117:M117=H116)*B118:M122)</f>
        <v>0</v>
      </c>
      <c r="E116" s="509" t="s">
        <v>1726</v>
      </c>
      <c r="F116" s="858" t="str">
        <f>E2</f>
        <v>办公</v>
      </c>
      <c r="G116" s="509" t="s">
        <v>1727</v>
      </c>
      <c r="H116" s="858">
        <f>G2</f>
        <v>0</v>
      </c>
      <c r="I116" s="509"/>
      <c r="J116" s="871"/>
      <c r="K116" s="871"/>
      <c r="L116" s="871"/>
      <c r="M116" s="871"/>
      <c r="N116" s="853"/>
    </row>
    <row r="117" spans="1:14">
      <c r="A117" s="859"/>
      <c r="B117" s="860" t="s">
        <v>1911</v>
      </c>
      <c r="C117" s="860" t="s">
        <v>1912</v>
      </c>
      <c r="D117" s="860" t="s">
        <v>1913</v>
      </c>
      <c r="E117" s="861" t="s">
        <v>1914</v>
      </c>
      <c r="F117" s="861" t="s">
        <v>1915</v>
      </c>
      <c r="G117" s="861" t="s">
        <v>1916</v>
      </c>
      <c r="H117" s="862" t="s">
        <v>1917</v>
      </c>
      <c r="I117" s="862" t="s">
        <v>1918</v>
      </c>
      <c r="J117" s="872" t="s">
        <v>1919</v>
      </c>
      <c r="K117" s="872" t="s">
        <v>1920</v>
      </c>
      <c r="L117" s="872" t="s">
        <v>1921</v>
      </c>
      <c r="M117" s="873" t="s">
        <v>1922</v>
      </c>
      <c r="N117" s="853"/>
    </row>
    <row r="118" spans="1:14">
      <c r="A118" s="769" t="s">
        <v>1839</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1840</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1841</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1842</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1923</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1924</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1925</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1927</v>
      </c>
      <c r="B18" s="460"/>
      <c r="C18" s="461"/>
      <c r="D18" s="461"/>
      <c r="E18" s="460"/>
      <c r="F18" s="461"/>
      <c r="G18" s="461"/>
    </row>
    <row r="19" spans="1:13" ht="19.5" customHeight="1">
      <c r="A19" s="459" t="s">
        <v>1928</v>
      </c>
      <c r="B19" s="462" t="s">
        <v>1929</v>
      </c>
      <c r="C19" s="462" t="s">
        <v>1930</v>
      </c>
      <c r="D19" s="463"/>
      <c r="E19" s="459" t="s">
        <v>1931</v>
      </c>
      <c r="F19" s="464"/>
      <c r="G19" s="464"/>
    </row>
    <row r="20" spans="1:13" ht="19.5" customHeight="1">
      <c r="A20" s="3511" t="s">
        <v>1923</v>
      </c>
      <c r="B20" s="3517" t="s">
        <v>1932</v>
      </c>
      <c r="C20" s="465" t="s">
        <v>1933</v>
      </c>
      <c r="D20" s="466"/>
      <c r="E20" s="467">
        <v>1</v>
      </c>
      <c r="F20" s="468" t="s">
        <v>1934</v>
      </c>
      <c r="G20" s="468"/>
    </row>
    <row r="21" spans="1:13" ht="19.5" customHeight="1">
      <c r="A21" s="3512"/>
      <c r="B21" s="3510"/>
      <c r="C21" s="469" t="s">
        <v>1935</v>
      </c>
      <c r="D21" s="470"/>
      <c r="E21" s="471">
        <v>1</v>
      </c>
      <c r="F21" s="468" t="s">
        <v>1936</v>
      </c>
      <c r="G21" s="468"/>
    </row>
    <row r="22" spans="1:13" ht="19.5" customHeight="1">
      <c r="A22" s="3512"/>
      <c r="B22" s="3510"/>
      <c r="C22" s="469" t="s">
        <v>1937</v>
      </c>
      <c r="D22" s="470"/>
      <c r="E22" s="471">
        <v>0.9</v>
      </c>
      <c r="F22" s="468" t="s">
        <v>1938</v>
      </c>
      <c r="G22" s="468"/>
    </row>
    <row r="23" spans="1:13" ht="19.5" customHeight="1">
      <c r="A23" s="3512"/>
      <c r="B23" s="3510"/>
      <c r="C23" s="469" t="s">
        <v>1939</v>
      </c>
      <c r="D23" s="470"/>
      <c r="E23" s="471">
        <v>0.9</v>
      </c>
      <c r="F23" s="468" t="s">
        <v>1940</v>
      </c>
      <c r="G23" s="468"/>
    </row>
    <row r="24" spans="1:13" ht="19.5" customHeight="1">
      <c r="A24" s="3512"/>
      <c r="B24" s="3510"/>
      <c r="C24" s="469" t="s">
        <v>1941</v>
      </c>
      <c r="D24" s="470"/>
      <c r="E24" s="471">
        <v>0.8</v>
      </c>
      <c r="F24" s="468" t="s">
        <v>1942</v>
      </c>
      <c r="G24" s="468"/>
    </row>
    <row r="25" spans="1:13" ht="19.5" customHeight="1">
      <c r="A25" s="3513"/>
      <c r="B25" s="3518"/>
      <c r="C25" s="472" t="s">
        <v>1943</v>
      </c>
      <c r="D25" s="473"/>
      <c r="E25" s="474">
        <v>0.8</v>
      </c>
      <c r="F25" s="468" t="s">
        <v>1944</v>
      </c>
      <c r="G25" s="468"/>
    </row>
    <row r="26" spans="1:13" ht="19.5" customHeight="1">
      <c r="A26" s="475" t="s">
        <v>562</v>
      </c>
      <c r="B26" s="476" t="s">
        <v>1932</v>
      </c>
      <c r="C26" s="477" t="s">
        <v>1731</v>
      </c>
      <c r="D26" s="478"/>
      <c r="E26" s="479">
        <v>1</v>
      </c>
      <c r="F26" s="468" t="s">
        <v>1945</v>
      </c>
      <c r="G26" s="468"/>
    </row>
    <row r="27" spans="1:13" ht="19.5" customHeight="1">
      <c r="A27" s="3514" t="s">
        <v>280</v>
      </c>
      <c r="B27" s="3517" t="s">
        <v>280</v>
      </c>
      <c r="C27" s="465" t="s">
        <v>1946</v>
      </c>
      <c r="D27" s="466"/>
      <c r="E27" s="467">
        <v>1</v>
      </c>
      <c r="F27" s="468" t="s">
        <v>1947</v>
      </c>
      <c r="G27" s="468"/>
    </row>
    <row r="28" spans="1:13" ht="19.5" customHeight="1">
      <c r="A28" s="3515"/>
      <c r="B28" s="3510"/>
      <c r="C28" s="469" t="s">
        <v>1948</v>
      </c>
      <c r="D28" s="470"/>
      <c r="E28" s="471">
        <v>1</v>
      </c>
      <c r="F28" s="468" t="s">
        <v>1949</v>
      </c>
      <c r="G28" s="468"/>
    </row>
    <row r="29" spans="1:13" ht="19.5" customHeight="1">
      <c r="A29" s="3515"/>
      <c r="B29" s="3510"/>
      <c r="C29" s="469" t="s">
        <v>1950</v>
      </c>
      <c r="D29" s="470"/>
      <c r="E29" s="471">
        <v>0.8</v>
      </c>
      <c r="F29" s="468" t="s">
        <v>1951</v>
      </c>
      <c r="G29" s="468"/>
    </row>
    <row r="30" spans="1:13" ht="19.5" customHeight="1">
      <c r="A30" s="3515"/>
      <c r="B30" s="3510"/>
      <c r="C30" s="469" t="s">
        <v>1952</v>
      </c>
      <c r="D30" s="470"/>
      <c r="E30" s="471">
        <v>0.8</v>
      </c>
      <c r="F30" s="468" t="s">
        <v>1953</v>
      </c>
      <c r="G30" s="468"/>
    </row>
    <row r="31" spans="1:13" ht="19.5" customHeight="1">
      <c r="A31" s="3515"/>
      <c r="B31" s="3510"/>
      <c r="C31" s="469" t="s">
        <v>1954</v>
      </c>
      <c r="D31" s="470"/>
      <c r="E31" s="471">
        <v>0.8</v>
      </c>
      <c r="F31" s="468" t="s">
        <v>1955</v>
      </c>
      <c r="G31" s="468"/>
    </row>
    <row r="32" spans="1:13" ht="19.5" customHeight="1">
      <c r="A32" s="3515"/>
      <c r="B32" s="3510"/>
      <c r="C32" s="469" t="s">
        <v>1956</v>
      </c>
      <c r="D32" s="470"/>
      <c r="E32" s="471">
        <v>0.7</v>
      </c>
      <c r="F32" s="468" t="s">
        <v>1957</v>
      </c>
      <c r="G32" s="468"/>
    </row>
    <row r="33" spans="1:7" ht="19.5" customHeight="1">
      <c r="A33" s="3515"/>
      <c r="B33" s="3510"/>
      <c r="C33" s="469" t="s">
        <v>1958</v>
      </c>
      <c r="D33" s="470"/>
      <c r="E33" s="471">
        <v>0.8</v>
      </c>
      <c r="F33" s="468" t="s">
        <v>1959</v>
      </c>
      <c r="G33" s="468"/>
    </row>
    <row r="34" spans="1:7" ht="19.5" customHeight="1">
      <c r="A34" s="3515"/>
      <c r="B34" s="3510"/>
      <c r="C34" s="469" t="s">
        <v>1960</v>
      </c>
      <c r="D34" s="470"/>
      <c r="E34" s="471">
        <v>0.6</v>
      </c>
      <c r="F34" s="468" t="s">
        <v>1961</v>
      </c>
      <c r="G34" s="468"/>
    </row>
    <row r="35" spans="1:7" ht="19.5" customHeight="1">
      <c r="A35" s="3515"/>
      <c r="B35" s="3510"/>
      <c r="C35" s="469" t="s">
        <v>1962</v>
      </c>
      <c r="D35" s="470"/>
      <c r="E35" s="471">
        <v>0.2</v>
      </c>
      <c r="F35" s="468" t="s">
        <v>1963</v>
      </c>
      <c r="G35" s="468"/>
    </row>
    <row r="36" spans="1:7" ht="19.5" customHeight="1">
      <c r="A36" s="3515"/>
      <c r="B36" s="3510"/>
      <c r="C36" s="469" t="s">
        <v>1964</v>
      </c>
      <c r="D36" s="470"/>
      <c r="E36" s="471">
        <v>0.2</v>
      </c>
      <c r="F36" s="468" t="s">
        <v>1965</v>
      </c>
      <c r="G36" s="468"/>
    </row>
    <row r="37" spans="1:7" ht="19.5" customHeight="1">
      <c r="A37" s="3515"/>
      <c r="B37" s="3508" t="s">
        <v>1966</v>
      </c>
      <c r="C37" s="469" t="s">
        <v>1967</v>
      </c>
      <c r="D37" s="470"/>
      <c r="E37" s="471">
        <v>0.6</v>
      </c>
      <c r="F37" s="468" t="s">
        <v>1968</v>
      </c>
      <c r="G37" s="468"/>
    </row>
    <row r="38" spans="1:7" ht="19.5" customHeight="1">
      <c r="A38" s="3515"/>
      <c r="B38" s="3510"/>
      <c r="C38" s="469" t="s">
        <v>1969</v>
      </c>
      <c r="D38" s="470"/>
      <c r="E38" s="471">
        <v>0.6</v>
      </c>
      <c r="F38" s="468" t="s">
        <v>1970</v>
      </c>
      <c r="G38" s="468"/>
    </row>
    <row r="39" spans="1:7" ht="19.5" customHeight="1">
      <c r="A39" s="3516"/>
      <c r="B39" s="3518"/>
      <c r="C39" s="472" t="s">
        <v>1971</v>
      </c>
      <c r="D39" s="473"/>
      <c r="E39" s="474">
        <v>0.6</v>
      </c>
      <c r="F39" s="468" t="s">
        <v>1972</v>
      </c>
      <c r="G39" s="468"/>
    </row>
    <row r="40" spans="1:7" ht="19.5" customHeight="1">
      <c r="A40" s="475" t="s">
        <v>412</v>
      </c>
      <c r="B40" s="476" t="s">
        <v>412</v>
      </c>
      <c r="C40" s="477" t="s">
        <v>1973</v>
      </c>
      <c r="D40" s="478"/>
      <c r="E40" s="479">
        <v>1</v>
      </c>
      <c r="F40" s="468" t="s">
        <v>1974</v>
      </c>
      <c r="G40" s="468"/>
    </row>
    <row r="41" spans="1:7" ht="19.5" customHeight="1">
      <c r="A41" s="3511" t="s">
        <v>408</v>
      </c>
      <c r="B41" s="3517" t="s">
        <v>1975</v>
      </c>
      <c r="C41" s="465" t="s">
        <v>1976</v>
      </c>
      <c r="D41" s="466"/>
      <c r="E41" s="467">
        <v>1</v>
      </c>
      <c r="F41" s="468" t="s">
        <v>1977</v>
      </c>
      <c r="G41" s="468"/>
    </row>
    <row r="42" spans="1:7" ht="19.5" customHeight="1">
      <c r="A42" s="3512"/>
      <c r="B42" s="3510"/>
      <c r="C42" s="469" t="s">
        <v>1978</v>
      </c>
      <c r="D42" s="470"/>
      <c r="E42" s="471">
        <v>1</v>
      </c>
      <c r="F42" s="468" t="s">
        <v>1979</v>
      </c>
      <c r="G42" s="468"/>
    </row>
    <row r="43" spans="1:7" ht="19.5" customHeight="1">
      <c r="A43" s="3512"/>
      <c r="B43" s="3509"/>
      <c r="C43" s="469" t="s">
        <v>1980</v>
      </c>
      <c r="D43" s="470"/>
      <c r="E43" s="471">
        <v>1.5</v>
      </c>
      <c r="F43" s="468" t="s">
        <v>1981</v>
      </c>
      <c r="G43" s="468"/>
    </row>
    <row r="44" spans="1:7" ht="19.5" customHeight="1">
      <c r="A44" s="3512"/>
      <c r="B44" s="481" t="s">
        <v>280</v>
      </c>
      <c r="C44" s="469" t="s">
        <v>1924</v>
      </c>
      <c r="D44" s="470"/>
      <c r="E44" s="471">
        <v>2</v>
      </c>
      <c r="F44" s="468" t="s">
        <v>1982</v>
      </c>
      <c r="G44" s="468"/>
    </row>
    <row r="45" spans="1:7" ht="19.5" customHeight="1">
      <c r="A45" s="3512"/>
      <c r="B45" s="3508" t="s">
        <v>1983</v>
      </c>
      <c r="C45" s="469" t="s">
        <v>1984</v>
      </c>
      <c r="D45" s="470"/>
      <c r="E45" s="471">
        <v>1</v>
      </c>
      <c r="F45" s="468" t="s">
        <v>1985</v>
      </c>
      <c r="G45" s="468"/>
    </row>
    <row r="46" spans="1:7" ht="19.5" customHeight="1">
      <c r="A46" s="3512"/>
      <c r="B46" s="3510"/>
      <c r="C46" s="469" t="s">
        <v>1986</v>
      </c>
      <c r="D46" s="470"/>
      <c r="E46" s="471">
        <v>1</v>
      </c>
      <c r="F46" s="468" t="s">
        <v>1987</v>
      </c>
      <c r="G46" s="468"/>
    </row>
    <row r="47" spans="1:7" ht="19.5" customHeight="1">
      <c r="A47" s="3512"/>
      <c r="B47" s="3510"/>
      <c r="C47" s="469" t="s">
        <v>1988</v>
      </c>
      <c r="D47" s="470"/>
      <c r="E47" s="471">
        <v>1</v>
      </c>
      <c r="F47" s="468" t="s">
        <v>1989</v>
      </c>
      <c r="G47" s="468"/>
    </row>
    <row r="48" spans="1:7" ht="19.5" customHeight="1">
      <c r="A48" s="3512"/>
      <c r="B48" s="3510"/>
      <c r="C48" s="469" t="s">
        <v>1990</v>
      </c>
      <c r="D48" s="470"/>
      <c r="E48" s="471">
        <v>1</v>
      </c>
      <c r="F48" s="468" t="s">
        <v>1991</v>
      </c>
      <c r="G48" s="468"/>
    </row>
    <row r="49" spans="1:7" ht="19.5" customHeight="1">
      <c r="A49" s="3512"/>
      <c r="B49" s="3510"/>
      <c r="C49" s="469" t="s">
        <v>1992</v>
      </c>
      <c r="D49" s="470"/>
      <c r="E49" s="471">
        <v>1</v>
      </c>
      <c r="F49" s="468" t="s">
        <v>1993</v>
      </c>
      <c r="G49" s="468"/>
    </row>
    <row r="50" spans="1:7" ht="19.5" customHeight="1">
      <c r="A50" s="3512"/>
      <c r="B50" s="3510"/>
      <c r="C50" s="469" t="s">
        <v>1994</v>
      </c>
      <c r="D50" s="470"/>
      <c r="E50" s="471">
        <v>1</v>
      </c>
      <c r="F50" s="468" t="s">
        <v>1995</v>
      </c>
      <c r="G50" s="468"/>
    </row>
    <row r="51" spans="1:7" ht="19.5" customHeight="1">
      <c r="A51" s="3513"/>
      <c r="B51" s="3518"/>
      <c r="C51" s="472" t="s">
        <v>1996</v>
      </c>
      <c r="D51" s="473"/>
      <c r="E51" s="474">
        <v>1</v>
      </c>
      <c r="F51" s="468" t="s">
        <v>1997</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1998</v>
      </c>
      <c r="G54" s="459" t="s">
        <v>432</v>
      </c>
    </row>
    <row r="55" spans="1:7" ht="19.5" customHeight="1">
      <c r="A55" s="484"/>
      <c r="B55" s="459" t="s">
        <v>1923</v>
      </c>
      <c r="C55" s="459" t="s">
        <v>1923</v>
      </c>
      <c r="D55" s="459" t="s">
        <v>1923</v>
      </c>
      <c r="E55" s="457" t="s">
        <v>562</v>
      </c>
      <c r="F55" s="457" t="s">
        <v>408</v>
      </c>
      <c r="G55" s="457" t="s">
        <v>1637</v>
      </c>
    </row>
    <row r="56" spans="1:7" ht="19.5" customHeight="1">
      <c r="A56" s="485"/>
      <c r="B56" s="457">
        <v>1</v>
      </c>
      <c r="C56" s="457">
        <v>2</v>
      </c>
      <c r="D56" s="457">
        <v>3</v>
      </c>
      <c r="E56" s="486" t="s">
        <v>1999</v>
      </c>
      <c r="F56" s="486" t="s">
        <v>1999</v>
      </c>
      <c r="G56" s="486" t="s">
        <v>1999</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2000</v>
      </c>
      <c r="E70" s="497"/>
      <c r="F70" s="497"/>
    </row>
    <row r="71" spans="1:7" ht="19.5" customHeight="1">
      <c r="A71" s="481" t="s">
        <v>1333</v>
      </c>
      <c r="B71" s="481" t="s">
        <v>2001</v>
      </c>
      <c r="C71" s="481" t="s">
        <v>2002</v>
      </c>
      <c r="D71" s="481" t="s">
        <v>2003</v>
      </c>
      <c r="E71" s="481" t="s">
        <v>2004</v>
      </c>
      <c r="F71" s="481" t="s">
        <v>2005</v>
      </c>
    </row>
    <row r="72" spans="1:7" ht="14.4">
      <c r="A72" s="481"/>
      <c r="B72" s="481"/>
      <c r="C72" s="481" t="s">
        <v>2006</v>
      </c>
      <c r="D72" s="481"/>
      <c r="E72" s="481" t="s">
        <v>124</v>
      </c>
      <c r="F72" s="481" t="s">
        <v>124</v>
      </c>
    </row>
    <row r="73" spans="1:7" ht="14.4">
      <c r="A73" s="481">
        <v>1</v>
      </c>
      <c r="B73" s="3508" t="s">
        <v>2007</v>
      </c>
      <c r="C73" s="457" t="s">
        <v>2008</v>
      </c>
      <c r="D73" s="457" t="s">
        <v>2009</v>
      </c>
      <c r="E73" s="481">
        <v>0.2</v>
      </c>
      <c r="F73" s="481">
        <v>25</v>
      </c>
    </row>
    <row r="74" spans="1:7" ht="24">
      <c r="A74" s="481">
        <v>2</v>
      </c>
      <c r="B74" s="3510"/>
      <c r="C74" s="457" t="s">
        <v>2010</v>
      </c>
      <c r="D74" s="457" t="s">
        <v>2011</v>
      </c>
      <c r="E74" s="481">
        <v>0.2</v>
      </c>
      <c r="F74" s="481">
        <v>25</v>
      </c>
    </row>
    <row r="75" spans="1:7" ht="24">
      <c r="A75" s="481">
        <v>3</v>
      </c>
      <c r="B75" s="3510"/>
      <c r="C75" s="457" t="s">
        <v>2012</v>
      </c>
      <c r="D75" s="457" t="s">
        <v>2013</v>
      </c>
      <c r="E75" s="481">
        <v>0.2</v>
      </c>
      <c r="F75" s="481">
        <v>25</v>
      </c>
    </row>
    <row r="76" spans="1:7" ht="14.4">
      <c r="A76" s="481">
        <v>4</v>
      </c>
      <c r="B76" s="3510"/>
      <c r="C76" s="457" t="s">
        <v>2014</v>
      </c>
      <c r="D76" s="457" t="s">
        <v>2015</v>
      </c>
      <c r="E76" s="481">
        <v>0.15</v>
      </c>
      <c r="F76" s="481">
        <v>20</v>
      </c>
    </row>
    <row r="77" spans="1:7" ht="24">
      <c r="A77" s="481">
        <v>5</v>
      </c>
      <c r="B77" s="3510"/>
      <c r="C77" s="457" t="s">
        <v>2016</v>
      </c>
      <c r="D77" s="457" t="s">
        <v>2017</v>
      </c>
      <c r="E77" s="481">
        <v>0.15</v>
      </c>
      <c r="F77" s="481">
        <v>20</v>
      </c>
    </row>
    <row r="78" spans="1:7" ht="24">
      <c r="A78" s="481">
        <v>6</v>
      </c>
      <c r="B78" s="3510"/>
      <c r="C78" s="457" t="s">
        <v>2018</v>
      </c>
      <c r="D78" s="457" t="s">
        <v>2019</v>
      </c>
      <c r="E78" s="481">
        <v>0.15</v>
      </c>
      <c r="F78" s="481">
        <v>20</v>
      </c>
    </row>
    <row r="79" spans="1:7" ht="24">
      <c r="A79" s="481">
        <v>7</v>
      </c>
      <c r="B79" s="3510"/>
      <c r="C79" s="457" t="s">
        <v>2020</v>
      </c>
      <c r="D79" s="457" t="s">
        <v>2021</v>
      </c>
      <c r="E79" s="481">
        <v>0.15</v>
      </c>
      <c r="F79" s="481">
        <v>20</v>
      </c>
    </row>
    <row r="80" spans="1:7" ht="24">
      <c r="A80" s="481">
        <v>8</v>
      </c>
      <c r="B80" s="3510"/>
      <c r="C80" s="457" t="s">
        <v>2022</v>
      </c>
      <c r="D80" s="457" t="s">
        <v>2023</v>
      </c>
      <c r="E80" s="481">
        <v>0.1</v>
      </c>
      <c r="F80" s="481">
        <v>15</v>
      </c>
    </row>
    <row r="81" spans="1:6" ht="24">
      <c r="A81" s="481">
        <v>9</v>
      </c>
      <c r="B81" s="3510"/>
      <c r="C81" s="457" t="s">
        <v>2024</v>
      </c>
      <c r="D81" s="457" t="s">
        <v>2025</v>
      </c>
      <c r="E81" s="481">
        <v>0.1</v>
      </c>
      <c r="F81" s="481">
        <v>15</v>
      </c>
    </row>
    <row r="82" spans="1:6" ht="24">
      <c r="A82" s="481">
        <v>10</v>
      </c>
      <c r="B82" s="3510"/>
      <c r="C82" s="457" t="s">
        <v>2026</v>
      </c>
      <c r="D82" s="457" t="s">
        <v>2027</v>
      </c>
      <c r="E82" s="481">
        <v>0.1</v>
      </c>
      <c r="F82" s="481">
        <v>15</v>
      </c>
    </row>
    <row r="83" spans="1:6" ht="24">
      <c r="A83" s="481">
        <v>11</v>
      </c>
      <c r="B83" s="3510"/>
      <c r="C83" s="457" t="s">
        <v>2028</v>
      </c>
      <c r="D83" s="457" t="s">
        <v>2029</v>
      </c>
      <c r="E83" s="481">
        <v>0.1</v>
      </c>
      <c r="F83" s="481">
        <v>15</v>
      </c>
    </row>
    <row r="84" spans="1:6" ht="24">
      <c r="A84" s="481">
        <v>12</v>
      </c>
      <c r="B84" s="3510"/>
      <c r="C84" s="457" t="s">
        <v>2030</v>
      </c>
      <c r="D84" s="457" t="s">
        <v>2031</v>
      </c>
      <c r="E84" s="481">
        <v>0.1</v>
      </c>
      <c r="F84" s="481">
        <v>15</v>
      </c>
    </row>
    <row r="85" spans="1:6" ht="24">
      <c r="A85" s="481">
        <v>13</v>
      </c>
      <c r="B85" s="3510"/>
      <c r="C85" s="457" t="s">
        <v>2032</v>
      </c>
      <c r="D85" s="457" t="s">
        <v>2033</v>
      </c>
      <c r="E85" s="481">
        <v>0.1</v>
      </c>
      <c r="F85" s="481">
        <v>15</v>
      </c>
    </row>
    <row r="86" spans="1:6" ht="24">
      <c r="A86" s="481">
        <v>14</v>
      </c>
      <c r="B86" s="3510"/>
      <c r="C86" s="457" t="s">
        <v>2034</v>
      </c>
      <c r="D86" s="457" t="s">
        <v>2035</v>
      </c>
      <c r="E86" s="481">
        <v>0.1</v>
      </c>
      <c r="F86" s="481">
        <v>15</v>
      </c>
    </row>
    <row r="87" spans="1:6" ht="24">
      <c r="A87" s="481">
        <v>15</v>
      </c>
      <c r="B87" s="3510"/>
      <c r="C87" s="457" t="s">
        <v>2036</v>
      </c>
      <c r="D87" s="457" t="s">
        <v>2037</v>
      </c>
      <c r="E87" s="481">
        <v>0.1</v>
      </c>
      <c r="F87" s="481">
        <v>15</v>
      </c>
    </row>
    <row r="88" spans="1:6" ht="24">
      <c r="A88" s="481">
        <v>16</v>
      </c>
      <c r="B88" s="3510"/>
      <c r="C88" s="457" t="s">
        <v>2038</v>
      </c>
      <c r="D88" s="457" t="s">
        <v>2039</v>
      </c>
      <c r="E88" s="481">
        <v>0.1</v>
      </c>
      <c r="F88" s="481">
        <v>15</v>
      </c>
    </row>
    <row r="89" spans="1:6" ht="24">
      <c r="A89" s="481">
        <v>17</v>
      </c>
      <c r="B89" s="3509"/>
      <c r="C89" s="457" t="s">
        <v>2040</v>
      </c>
      <c r="D89" s="457" t="s">
        <v>2041</v>
      </c>
      <c r="E89" s="481">
        <v>0.1</v>
      </c>
      <c r="F89" s="481">
        <v>15</v>
      </c>
    </row>
    <row r="90" spans="1:6" ht="14.4">
      <c r="A90" s="481">
        <v>18</v>
      </c>
      <c r="B90" s="3508" t="s">
        <v>2042</v>
      </c>
      <c r="C90" s="457" t="s">
        <v>2043</v>
      </c>
      <c r="D90" s="457" t="s">
        <v>2044</v>
      </c>
      <c r="E90" s="481">
        <v>0.2</v>
      </c>
      <c r="F90" s="481">
        <v>25</v>
      </c>
    </row>
    <row r="91" spans="1:6" ht="24">
      <c r="A91" s="481">
        <v>19</v>
      </c>
      <c r="B91" s="3510"/>
      <c r="C91" s="457" t="s">
        <v>2045</v>
      </c>
      <c r="D91" s="457" t="s">
        <v>2046</v>
      </c>
      <c r="E91" s="481">
        <v>0.2</v>
      </c>
      <c r="F91" s="481">
        <v>25</v>
      </c>
    </row>
    <row r="92" spans="1:6" ht="14.4">
      <c r="A92" s="481">
        <v>20</v>
      </c>
      <c r="B92" s="3510"/>
      <c r="C92" s="457" t="s">
        <v>2047</v>
      </c>
      <c r="D92" s="457" t="s">
        <v>2048</v>
      </c>
      <c r="E92" s="481">
        <v>0.15</v>
      </c>
      <c r="F92" s="481">
        <v>20</v>
      </c>
    </row>
    <row r="93" spans="1:6" ht="24">
      <c r="A93" s="481">
        <v>21</v>
      </c>
      <c r="B93" s="3510"/>
      <c r="C93" s="457" t="s">
        <v>2049</v>
      </c>
      <c r="D93" s="457" t="s">
        <v>2050</v>
      </c>
      <c r="E93" s="481">
        <v>0.15</v>
      </c>
      <c r="F93" s="481">
        <v>20</v>
      </c>
    </row>
    <row r="94" spans="1:6" ht="24">
      <c r="A94" s="481">
        <v>22</v>
      </c>
      <c r="B94" s="3510"/>
      <c r="C94" s="457" t="s">
        <v>2051</v>
      </c>
      <c r="D94" s="457" t="s">
        <v>2052</v>
      </c>
      <c r="E94" s="481">
        <v>0.15</v>
      </c>
      <c r="F94" s="481">
        <v>20</v>
      </c>
    </row>
    <row r="95" spans="1:6" ht="36">
      <c r="A95" s="481">
        <v>23</v>
      </c>
      <c r="B95" s="3510"/>
      <c r="C95" s="457" t="s">
        <v>2053</v>
      </c>
      <c r="D95" s="457" t="s">
        <v>2054</v>
      </c>
      <c r="E95" s="481">
        <v>0.15</v>
      </c>
      <c r="F95" s="481">
        <v>20</v>
      </c>
    </row>
    <row r="96" spans="1:6" ht="24">
      <c r="A96" s="481">
        <v>24</v>
      </c>
      <c r="B96" s="3510"/>
      <c r="C96" s="457" t="s">
        <v>2055</v>
      </c>
      <c r="D96" s="457" t="s">
        <v>2056</v>
      </c>
      <c r="E96" s="481">
        <v>0.1</v>
      </c>
      <c r="F96" s="481">
        <v>15</v>
      </c>
    </row>
    <row r="97" spans="1:6" ht="24">
      <c r="A97" s="481">
        <v>25</v>
      </c>
      <c r="B97" s="3510"/>
      <c r="C97" s="457" t="s">
        <v>2057</v>
      </c>
      <c r="D97" s="457" t="s">
        <v>2058</v>
      </c>
      <c r="E97" s="481">
        <v>0.1</v>
      </c>
      <c r="F97" s="481">
        <v>15</v>
      </c>
    </row>
    <row r="98" spans="1:6" ht="24">
      <c r="A98" s="481">
        <v>26</v>
      </c>
      <c r="B98" s="3510"/>
      <c r="C98" s="457" t="s">
        <v>2059</v>
      </c>
      <c r="D98" s="457" t="s">
        <v>2060</v>
      </c>
      <c r="E98" s="481">
        <v>0.1</v>
      </c>
      <c r="F98" s="481">
        <v>15</v>
      </c>
    </row>
    <row r="99" spans="1:6" ht="24">
      <c r="A99" s="481">
        <v>27</v>
      </c>
      <c r="B99" s="3510"/>
      <c r="C99" s="457" t="s">
        <v>2061</v>
      </c>
      <c r="D99" s="457" t="s">
        <v>2062</v>
      </c>
      <c r="E99" s="481">
        <v>0.1</v>
      </c>
      <c r="F99" s="481">
        <v>15</v>
      </c>
    </row>
    <row r="100" spans="1:6" ht="24">
      <c r="A100" s="481">
        <v>28</v>
      </c>
      <c r="B100" s="3510"/>
      <c r="C100" s="457" t="s">
        <v>2063</v>
      </c>
      <c r="D100" s="457" t="s">
        <v>2064</v>
      </c>
      <c r="E100" s="481">
        <v>0.1</v>
      </c>
      <c r="F100" s="481">
        <v>15</v>
      </c>
    </row>
    <row r="101" spans="1:6" ht="24">
      <c r="A101" s="481">
        <v>29</v>
      </c>
      <c r="B101" s="3510"/>
      <c r="C101" s="457" t="s">
        <v>2065</v>
      </c>
      <c r="D101" s="457" t="s">
        <v>2066</v>
      </c>
      <c r="E101" s="481">
        <v>0.1</v>
      </c>
      <c r="F101" s="481">
        <v>15</v>
      </c>
    </row>
    <row r="102" spans="1:6" ht="24">
      <c r="A102" s="481">
        <v>30</v>
      </c>
      <c r="B102" s="3510"/>
      <c r="C102" s="457" t="s">
        <v>2067</v>
      </c>
      <c r="D102" s="457" t="s">
        <v>2068</v>
      </c>
      <c r="E102" s="481">
        <v>0.1</v>
      </c>
      <c r="F102" s="481">
        <v>15</v>
      </c>
    </row>
    <row r="103" spans="1:6" ht="24">
      <c r="A103" s="481">
        <v>31</v>
      </c>
      <c r="B103" s="3510"/>
      <c r="C103" s="457" t="s">
        <v>2069</v>
      </c>
      <c r="D103" s="457" t="s">
        <v>2070</v>
      </c>
      <c r="E103" s="481">
        <v>0.1</v>
      </c>
      <c r="F103" s="481">
        <v>15</v>
      </c>
    </row>
    <row r="104" spans="1:6" ht="24">
      <c r="A104" s="481">
        <v>32</v>
      </c>
      <c r="B104" s="3510"/>
      <c r="C104" s="457" t="s">
        <v>2071</v>
      </c>
      <c r="D104" s="457" t="s">
        <v>2072</v>
      </c>
      <c r="E104" s="481">
        <v>0.1</v>
      </c>
      <c r="F104" s="481">
        <v>15</v>
      </c>
    </row>
    <row r="105" spans="1:6" ht="24">
      <c r="A105" s="481">
        <v>33</v>
      </c>
      <c r="B105" s="3510"/>
      <c r="C105" s="457" t="s">
        <v>2073</v>
      </c>
      <c r="D105" s="457" t="s">
        <v>2074</v>
      </c>
      <c r="E105" s="481">
        <v>0.1</v>
      </c>
      <c r="F105" s="481">
        <v>15</v>
      </c>
    </row>
    <row r="106" spans="1:6" ht="24">
      <c r="A106" s="481">
        <v>34</v>
      </c>
      <c r="B106" s="3509"/>
      <c r="C106" s="457" t="s">
        <v>2075</v>
      </c>
      <c r="D106" s="457" t="s">
        <v>2076</v>
      </c>
      <c r="E106" s="481">
        <v>0.1</v>
      </c>
      <c r="F106" s="481">
        <v>15</v>
      </c>
    </row>
    <row r="107" spans="1:6" ht="36">
      <c r="A107" s="481">
        <v>35</v>
      </c>
      <c r="B107" s="3508" t="s">
        <v>2077</v>
      </c>
      <c r="C107" s="481" t="s">
        <v>2078</v>
      </c>
      <c r="D107" s="457" t="s">
        <v>2079</v>
      </c>
      <c r="E107" s="481">
        <v>0.15</v>
      </c>
      <c r="F107" s="481">
        <v>20</v>
      </c>
    </row>
    <row r="108" spans="1:6" ht="24">
      <c r="A108" s="481">
        <v>36</v>
      </c>
      <c r="B108" s="3510"/>
      <c r="C108" s="481" t="s">
        <v>2080</v>
      </c>
      <c r="D108" s="457" t="s">
        <v>2081</v>
      </c>
      <c r="E108" s="481">
        <v>0.15</v>
      </c>
      <c r="F108" s="481">
        <v>20</v>
      </c>
    </row>
    <row r="109" spans="1:6" ht="24">
      <c r="A109" s="481">
        <v>37</v>
      </c>
      <c r="B109" s="3510"/>
      <c r="C109" s="481" t="s">
        <v>2082</v>
      </c>
      <c r="D109" s="457" t="s">
        <v>2083</v>
      </c>
      <c r="E109" s="481">
        <v>0.15</v>
      </c>
      <c r="F109" s="481">
        <v>20</v>
      </c>
    </row>
    <row r="110" spans="1:6" ht="24">
      <c r="A110" s="481">
        <v>38</v>
      </c>
      <c r="B110" s="3510"/>
      <c r="C110" s="481" t="s">
        <v>2084</v>
      </c>
      <c r="D110" s="457" t="s">
        <v>2085</v>
      </c>
      <c r="E110" s="481">
        <v>0.1</v>
      </c>
      <c r="F110" s="481">
        <v>15</v>
      </c>
    </row>
    <row r="111" spans="1:6" ht="24">
      <c r="A111" s="481">
        <v>39</v>
      </c>
      <c r="B111" s="3510"/>
      <c r="C111" s="481" t="s">
        <v>2086</v>
      </c>
      <c r="D111" s="457" t="s">
        <v>2087</v>
      </c>
      <c r="E111" s="481">
        <v>0.1</v>
      </c>
      <c r="F111" s="481">
        <v>15</v>
      </c>
    </row>
    <row r="112" spans="1:6" ht="24">
      <c r="A112" s="481">
        <v>40</v>
      </c>
      <c r="B112" s="3509"/>
      <c r="C112" s="481" t="s">
        <v>2088</v>
      </c>
      <c r="D112" s="457" t="s">
        <v>2089</v>
      </c>
      <c r="E112" s="481">
        <v>0.1</v>
      </c>
      <c r="F112" s="481">
        <v>15</v>
      </c>
    </row>
    <row r="113" spans="1:6" ht="24">
      <c r="A113" s="481">
        <v>41</v>
      </c>
      <c r="B113" s="3507" t="s">
        <v>2090</v>
      </c>
      <c r="C113" s="481" t="s">
        <v>2091</v>
      </c>
      <c r="D113" s="457" t="s">
        <v>2092</v>
      </c>
      <c r="E113" s="481">
        <v>0.1</v>
      </c>
      <c r="F113" s="481">
        <v>15</v>
      </c>
    </row>
    <row r="114" spans="1:6" ht="24">
      <c r="A114" s="481">
        <v>42</v>
      </c>
      <c r="B114" s="3507"/>
      <c r="C114" s="481" t="s">
        <v>2093</v>
      </c>
      <c r="D114" s="457" t="s">
        <v>2094</v>
      </c>
      <c r="E114" s="481">
        <v>0.1</v>
      </c>
      <c r="F114" s="481">
        <v>15</v>
      </c>
    </row>
    <row r="115" spans="1:6" ht="24">
      <c r="A115" s="481">
        <v>43</v>
      </c>
      <c r="B115" s="3507"/>
      <c r="C115" s="481" t="s">
        <v>2095</v>
      </c>
      <c r="D115" s="457" t="s">
        <v>2096</v>
      </c>
      <c r="E115" s="481">
        <v>0.1</v>
      </c>
      <c r="F115" s="481">
        <v>15</v>
      </c>
    </row>
    <row r="116" spans="1:6" ht="24">
      <c r="A116" s="481">
        <v>44</v>
      </c>
      <c r="B116" s="3508" t="s">
        <v>2097</v>
      </c>
      <c r="C116" s="481" t="s">
        <v>2098</v>
      </c>
      <c r="D116" s="457" t="s">
        <v>2099</v>
      </c>
      <c r="E116" s="481">
        <v>0.1</v>
      </c>
      <c r="F116" s="481">
        <v>15</v>
      </c>
    </row>
    <row r="117" spans="1:6" ht="24">
      <c r="A117" s="481">
        <v>45</v>
      </c>
      <c r="B117" s="3509"/>
      <c r="C117" s="457" t="s">
        <v>2100</v>
      </c>
      <c r="D117" s="457" t="s">
        <v>2101</v>
      </c>
      <c r="E117" s="481">
        <v>0.1</v>
      </c>
      <c r="F117" s="481">
        <v>15</v>
      </c>
    </row>
    <row r="118" spans="1:6" ht="24">
      <c r="A118" s="481">
        <v>46</v>
      </c>
      <c r="B118" s="3508" t="s">
        <v>2102</v>
      </c>
      <c r="C118" s="481" t="s">
        <v>2103</v>
      </c>
      <c r="D118" s="457" t="s">
        <v>2104</v>
      </c>
      <c r="E118" s="481">
        <v>0.1</v>
      </c>
      <c r="F118" s="481">
        <v>15</v>
      </c>
    </row>
    <row r="119" spans="1:6" ht="24">
      <c r="A119" s="481">
        <v>47</v>
      </c>
      <c r="B119" s="3509"/>
      <c r="C119" s="481" t="s">
        <v>2105</v>
      </c>
      <c r="D119" s="457" t="s">
        <v>2106</v>
      </c>
      <c r="E119" s="481">
        <v>0.1</v>
      </c>
      <c r="F119" s="481">
        <v>15</v>
      </c>
    </row>
    <row r="120" spans="1:6" ht="24">
      <c r="A120" s="481">
        <v>48</v>
      </c>
      <c r="B120" s="3508" t="s">
        <v>2107</v>
      </c>
      <c r="C120" s="481" t="s">
        <v>2108</v>
      </c>
      <c r="D120" s="457" t="s">
        <v>2109</v>
      </c>
      <c r="E120" s="481">
        <v>0.1</v>
      </c>
      <c r="F120" s="481">
        <v>15</v>
      </c>
    </row>
    <row r="121" spans="1:6" ht="24">
      <c r="A121" s="481">
        <v>49</v>
      </c>
      <c r="B121" s="3509"/>
      <c r="C121" s="481" t="s">
        <v>2110</v>
      </c>
      <c r="D121" s="457" t="s">
        <v>2111</v>
      </c>
      <c r="E121" s="481">
        <v>0.1</v>
      </c>
      <c r="F121" s="481">
        <v>15</v>
      </c>
    </row>
    <row r="122" spans="1:6" ht="24">
      <c r="A122" s="481">
        <v>50</v>
      </c>
      <c r="B122" s="3507" t="s">
        <v>2112</v>
      </c>
      <c r="C122" s="481" t="s">
        <v>2113</v>
      </c>
      <c r="D122" s="457" t="s">
        <v>2114</v>
      </c>
      <c r="E122" s="481">
        <v>0.1</v>
      </c>
      <c r="F122" s="481">
        <v>15</v>
      </c>
    </row>
    <row r="123" spans="1:6" ht="24">
      <c r="A123" s="481">
        <v>51</v>
      </c>
      <c r="B123" s="3507"/>
      <c r="C123" s="481" t="s">
        <v>2115</v>
      </c>
      <c r="D123" s="457" t="s">
        <v>2116</v>
      </c>
      <c r="E123" s="481">
        <v>0.1</v>
      </c>
      <c r="F123" s="481">
        <v>15</v>
      </c>
    </row>
    <row r="124" spans="1:6" ht="24">
      <c r="A124" s="481">
        <v>52</v>
      </c>
      <c r="B124" s="3507" t="s">
        <v>2117</v>
      </c>
      <c r="C124" s="481" t="s">
        <v>2118</v>
      </c>
      <c r="D124" s="457" t="s">
        <v>2119</v>
      </c>
      <c r="E124" s="481">
        <v>0.1</v>
      </c>
      <c r="F124" s="481">
        <v>15</v>
      </c>
    </row>
    <row r="125" spans="1:6" ht="24">
      <c r="A125" s="481">
        <v>53</v>
      </c>
      <c r="B125" s="3507"/>
      <c r="C125" s="481" t="s">
        <v>2120</v>
      </c>
      <c r="D125" s="457" t="s">
        <v>2121</v>
      </c>
      <c r="E125" s="481">
        <v>0.1</v>
      </c>
      <c r="F125" s="481">
        <v>15</v>
      </c>
    </row>
    <row r="126" spans="1:6" ht="24">
      <c r="A126" s="481">
        <v>54</v>
      </c>
      <c r="B126" s="481" t="s">
        <v>2122</v>
      </c>
      <c r="C126" s="481" t="s">
        <v>2123</v>
      </c>
      <c r="D126" s="457" t="s">
        <v>2124</v>
      </c>
      <c r="E126" s="481">
        <v>0.1</v>
      </c>
      <c r="F126" s="481">
        <v>15</v>
      </c>
    </row>
    <row r="127" spans="1:6" ht="24">
      <c r="A127" s="481">
        <v>55</v>
      </c>
      <c r="B127" s="3507" t="s">
        <v>2125</v>
      </c>
      <c r="C127" s="481" t="s">
        <v>2126</v>
      </c>
      <c r="D127" s="457" t="s">
        <v>2127</v>
      </c>
      <c r="E127" s="481">
        <v>0.1</v>
      </c>
      <c r="F127" s="481">
        <v>15</v>
      </c>
    </row>
    <row r="128" spans="1:6" ht="24">
      <c r="A128" s="481">
        <v>56</v>
      </c>
      <c r="B128" s="3507"/>
      <c r="C128" s="481" t="s">
        <v>2128</v>
      </c>
      <c r="D128" s="457" t="s">
        <v>2129</v>
      </c>
      <c r="E128" s="481">
        <v>0.1</v>
      </c>
      <c r="F128" s="481">
        <v>15</v>
      </c>
    </row>
    <row r="129" spans="1:6" ht="24">
      <c r="A129" s="481">
        <v>57</v>
      </c>
      <c r="B129" s="3507"/>
      <c r="C129" s="481" t="s">
        <v>2130</v>
      </c>
      <c r="D129" s="457" t="s">
        <v>2131</v>
      </c>
      <c r="E129" s="481">
        <v>0.1</v>
      </c>
      <c r="F129" s="481">
        <v>15</v>
      </c>
    </row>
    <row r="130" spans="1:6" ht="24">
      <c r="A130" s="481">
        <v>58</v>
      </c>
      <c r="B130" s="3507" t="s">
        <v>2132</v>
      </c>
      <c r="C130" s="481" t="s">
        <v>2133</v>
      </c>
      <c r="D130" s="457" t="s">
        <v>2134</v>
      </c>
      <c r="E130" s="481">
        <v>0.1</v>
      </c>
      <c r="F130" s="481">
        <v>15</v>
      </c>
    </row>
    <row r="131" spans="1:6" ht="24">
      <c r="A131" s="481">
        <v>59</v>
      </c>
      <c r="B131" s="3507"/>
      <c r="C131" s="481" t="s">
        <v>2135</v>
      </c>
      <c r="D131" s="457" t="s">
        <v>2136</v>
      </c>
      <c r="E131" s="481">
        <v>0.1</v>
      </c>
      <c r="F131" s="481">
        <v>15</v>
      </c>
    </row>
    <row r="132" spans="1:6" ht="24">
      <c r="A132" s="481">
        <v>60</v>
      </c>
      <c r="B132" s="3508" t="s">
        <v>2137</v>
      </c>
      <c r="C132" s="481" t="s">
        <v>2138</v>
      </c>
      <c r="D132" s="457" t="s">
        <v>2139</v>
      </c>
      <c r="E132" s="481">
        <v>0.1</v>
      </c>
      <c r="F132" s="481">
        <v>15</v>
      </c>
    </row>
    <row r="133" spans="1:6" ht="24">
      <c r="A133" s="481">
        <v>61</v>
      </c>
      <c r="B133" s="3509"/>
      <c r="C133" s="481" t="s">
        <v>2140</v>
      </c>
      <c r="D133" s="457" t="s">
        <v>2141</v>
      </c>
      <c r="E133" s="481">
        <v>0.1</v>
      </c>
      <c r="F133" s="481">
        <v>15</v>
      </c>
    </row>
    <row r="134" spans="1:6" ht="24">
      <c r="A134" s="481">
        <v>62</v>
      </c>
      <c r="B134" s="481" t="s">
        <v>2142</v>
      </c>
      <c r="C134" s="481" t="s">
        <v>2143</v>
      </c>
      <c r="D134" s="457" t="s">
        <v>2144</v>
      </c>
      <c r="E134" s="481">
        <v>0.1</v>
      </c>
      <c r="F134" s="481">
        <v>15</v>
      </c>
    </row>
    <row r="135" spans="1:6" ht="24">
      <c r="A135" s="481">
        <v>63</v>
      </c>
      <c r="B135" s="3507" t="s">
        <v>2145</v>
      </c>
      <c r="C135" s="481" t="s">
        <v>2146</v>
      </c>
      <c r="D135" s="457" t="s">
        <v>2147</v>
      </c>
      <c r="E135" s="481">
        <v>0.1</v>
      </c>
      <c r="F135" s="481">
        <v>15</v>
      </c>
    </row>
    <row r="136" spans="1:6" ht="24">
      <c r="A136" s="481">
        <v>64</v>
      </c>
      <c r="B136" s="3507"/>
      <c r="C136" s="481" t="s">
        <v>2148</v>
      </c>
      <c r="D136" s="457" t="s">
        <v>2149</v>
      </c>
      <c r="E136" s="481">
        <v>0.1</v>
      </c>
      <c r="F136" s="481">
        <v>15</v>
      </c>
    </row>
    <row r="137" spans="1:6" ht="24">
      <c r="A137" s="481">
        <v>65</v>
      </c>
      <c r="B137" s="481" t="s">
        <v>2150</v>
      </c>
      <c r="C137" s="481" t="s">
        <v>2151</v>
      </c>
      <c r="D137" s="457" t="s">
        <v>2152</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4.4"/>
  <cols>
    <col min="1" max="13" width="9" style="423"/>
  </cols>
  <sheetData>
    <row r="1" spans="1:20" ht="15.6">
      <c r="A1" s="424" t="s">
        <v>2153</v>
      </c>
      <c r="B1" s="424"/>
      <c r="C1" s="424"/>
      <c r="D1" s="424"/>
      <c r="E1" s="424"/>
      <c r="F1" s="424"/>
      <c r="G1" s="424"/>
      <c r="H1" s="424"/>
      <c r="I1" s="424"/>
      <c r="J1" s="424"/>
      <c r="K1" s="424"/>
      <c r="L1" s="424"/>
      <c r="M1" s="424"/>
      <c r="N1" s="431"/>
    </row>
    <row r="2" spans="1:20">
      <c r="A2" s="425" t="s">
        <v>2154</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2155</v>
      </c>
      <c r="R2" s="435" t="s">
        <v>2156</v>
      </c>
      <c r="S2" s="435" t="s">
        <v>2157</v>
      </c>
      <c r="T2" s="435" t="s">
        <v>2158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2159</v>
      </c>
      <c r="B93" s="424"/>
      <c r="C93" s="424"/>
      <c r="D93" s="424"/>
      <c r="E93" s="424"/>
      <c r="F93" s="424"/>
      <c r="G93" s="424"/>
      <c r="H93" s="424"/>
      <c r="I93" s="424"/>
      <c r="J93" s="424"/>
      <c r="K93" s="424"/>
      <c r="L93" s="424"/>
      <c r="M93" s="424"/>
    </row>
    <row r="94" spans="1:20">
      <c r="A94" s="425" t="s">
        <v>2154</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2155</v>
      </c>
      <c r="R94" s="435" t="s">
        <v>2156</v>
      </c>
      <c r="S94" s="435" t="s">
        <v>2157</v>
      </c>
      <c r="T94" s="435" t="s">
        <v>2158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2160</v>
      </c>
      <c r="B185" s="424"/>
      <c r="C185" s="424"/>
      <c r="D185" s="424"/>
      <c r="E185" s="424"/>
      <c r="F185" s="424"/>
      <c r="G185" s="424"/>
      <c r="H185" s="424"/>
      <c r="I185" s="424"/>
      <c r="J185" s="424"/>
      <c r="K185" s="424"/>
      <c r="L185" s="424"/>
      <c r="M185" s="424"/>
    </row>
    <row r="186" spans="1:20">
      <c r="A186" s="425" t="s">
        <v>2154</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2155</v>
      </c>
      <c r="R186" s="435" t="s">
        <v>2156</v>
      </c>
      <c r="S186" s="435" t="s">
        <v>2157</v>
      </c>
      <c r="T186" s="435" t="s">
        <v>2158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2161</v>
      </c>
      <c r="B277" s="424"/>
      <c r="C277" s="424"/>
      <c r="D277" s="424"/>
      <c r="E277" s="424"/>
      <c r="F277" s="424"/>
      <c r="G277" s="424"/>
      <c r="H277" s="424"/>
      <c r="I277" s="424"/>
      <c r="J277" s="424"/>
      <c r="K277" s="424"/>
      <c r="L277" s="424"/>
      <c r="M277" s="424"/>
    </row>
    <row r="278" spans="1:21">
      <c r="A278" s="425" t="s">
        <v>2154</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2155</v>
      </c>
      <c r="R278" s="435" t="s">
        <v>2156</v>
      </c>
      <c r="S278" s="435" t="s">
        <v>2162</v>
      </c>
      <c r="T278" s="435" t="s">
        <v>2163</v>
      </c>
      <c r="U278" s="435" t="s">
        <v>2158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2164</v>
      </c>
      <c r="B369" s="439"/>
      <c r="C369" s="439"/>
      <c r="D369" s="439"/>
      <c r="E369" s="439"/>
      <c r="F369" s="439"/>
      <c r="G369" s="439"/>
      <c r="H369" s="439"/>
      <c r="I369" s="439"/>
      <c r="J369" s="439"/>
      <c r="K369" s="439"/>
      <c r="L369" s="439"/>
      <c r="M369" s="439"/>
    </row>
    <row r="370" spans="1:20">
      <c r="A370" s="425" t="s">
        <v>2154</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2155</v>
      </c>
      <c r="R370" s="435" t="s">
        <v>2156</v>
      </c>
      <c r="S370" s="435" t="s">
        <v>2157</v>
      </c>
      <c r="T370" s="435" t="s">
        <v>2158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2165</v>
      </c>
      <c r="B1" s="342"/>
      <c r="C1" s="343"/>
      <c r="D1" s="343"/>
      <c r="E1" s="343"/>
      <c r="F1" s="343"/>
      <c r="G1" s="344"/>
    </row>
    <row r="2" spans="1:7" s="333" customFormat="1" ht="18" customHeight="1">
      <c r="A2" s="345" t="s">
        <v>2166</v>
      </c>
      <c r="B2" s="346">
        <f ca="1">C52</f>
        <v>27988</v>
      </c>
      <c r="C2" s="347" t="s">
        <v>1446</v>
      </c>
      <c r="D2" s="344"/>
      <c r="E2" s="344"/>
      <c r="F2" s="344"/>
      <c r="G2" s="344"/>
    </row>
    <row r="3" spans="1:7" s="333" customFormat="1" ht="18" customHeight="1">
      <c r="A3" s="348" t="s">
        <v>2167</v>
      </c>
      <c r="B3" s="349">
        <f ca="1">ROUND(B2*10000/'数据-汇总表'!E3,0)</f>
        <v>316024</v>
      </c>
      <c r="C3" s="347" t="s">
        <v>1647</v>
      </c>
      <c r="D3" s="344"/>
      <c r="E3" s="344"/>
      <c r="F3" s="344"/>
      <c r="G3" s="344"/>
    </row>
    <row r="4" spans="1:7" s="334" customFormat="1" ht="16.2">
      <c r="A4" s="350" t="s">
        <v>2168</v>
      </c>
      <c r="B4" s="351"/>
      <c r="C4" s="351"/>
      <c r="D4" s="351"/>
      <c r="E4" s="351"/>
      <c r="F4" s="351"/>
      <c r="G4" s="352"/>
    </row>
    <row r="5" spans="1:7" s="335" customFormat="1" ht="13.5" customHeight="1">
      <c r="A5" s="353" t="s">
        <v>1002</v>
      </c>
      <c r="B5" s="354" t="s">
        <v>2169</v>
      </c>
      <c r="C5" s="355">
        <f>C6+C7+C8</f>
        <v>20610</v>
      </c>
      <c r="D5" s="355" t="s">
        <v>2170</v>
      </c>
      <c r="E5" s="356" t="s">
        <v>2171</v>
      </c>
      <c r="F5" s="356" t="s">
        <v>2172</v>
      </c>
      <c r="G5" s="357"/>
    </row>
    <row r="6" spans="1:7" s="335" customFormat="1" ht="13.5" customHeight="1">
      <c r="A6" s="358" t="s">
        <v>1006</v>
      </c>
      <c r="B6" s="359" t="s">
        <v>2173</v>
      </c>
      <c r="C6" s="360">
        <v>20000</v>
      </c>
      <c r="D6" s="361"/>
      <c r="E6" s="362"/>
      <c r="F6" s="362"/>
      <c r="G6" s="363"/>
    </row>
    <row r="7" spans="1:7" s="335" customFormat="1" ht="13.5" customHeight="1">
      <c r="A7" s="358" t="s">
        <v>1008</v>
      </c>
      <c r="B7" s="359" t="s">
        <v>2174</v>
      </c>
      <c r="C7" s="364">
        <f>ROUND(C6*F7,0)</f>
        <v>610</v>
      </c>
      <c r="D7" s="364"/>
      <c r="E7" s="362"/>
      <c r="F7" s="365">
        <f>'数据-取费表'!B48+'数据-取费表'!B49</f>
        <v>3.0499999999999999E-2</v>
      </c>
      <c r="G7" s="363"/>
    </row>
    <row r="8" spans="1:7" s="336" customFormat="1">
      <c r="A8" s="358" t="s">
        <v>1010</v>
      </c>
      <c r="B8" s="359" t="s">
        <v>2175</v>
      </c>
      <c r="C8" s="364" t="str">
        <f>IF(G8="已包含在土地购买价格中","0",'数据-取费表'!B29)</f>
        <v>0</v>
      </c>
      <c r="D8" s="366"/>
      <c r="E8" s="364"/>
      <c r="F8" s="365"/>
      <c r="G8" s="367" t="s">
        <v>2176</v>
      </c>
    </row>
    <row r="9" spans="1:7" s="335" customFormat="1" ht="13.5" customHeight="1">
      <c r="A9" s="368" t="s">
        <v>1012</v>
      </c>
      <c r="B9" s="369" t="s">
        <v>2177</v>
      </c>
      <c r="C9" s="370">
        <f>ROUND(D9*E9/10000,0)</f>
        <v>0</v>
      </c>
      <c r="D9" s="371">
        <f>'数据-汇总表'!E5</f>
        <v>0</v>
      </c>
      <c r="E9" s="370">
        <f>'数据-取费表'!B27</f>
        <v>160</v>
      </c>
      <c r="F9" s="365"/>
      <c r="G9" s="372"/>
    </row>
    <row r="10" spans="1:7" s="335" customFormat="1" ht="13.5" customHeight="1">
      <c r="A10" s="368" t="s">
        <v>1015</v>
      </c>
      <c r="B10" s="369" t="s">
        <v>2178</v>
      </c>
      <c r="C10" s="370">
        <f>ROUND(D10*E10/10000,0)</f>
        <v>18</v>
      </c>
      <c r="D10" s="371">
        <f>'数据-汇总表'!E6</f>
        <v>885.63</v>
      </c>
      <c r="E10" s="370">
        <f>'数据-取费表'!B28</f>
        <v>200</v>
      </c>
      <c r="F10" s="365"/>
      <c r="G10" s="372"/>
    </row>
    <row r="11" spans="1:7" s="335" customFormat="1" ht="13.5" hidden="1" customHeight="1">
      <c r="A11" s="373" t="s">
        <v>1017</v>
      </c>
      <c r="B11" s="359" t="s">
        <v>2179</v>
      </c>
      <c r="C11" s="355"/>
      <c r="D11" s="362"/>
      <c r="E11" s="362"/>
      <c r="F11" s="362"/>
      <c r="G11" s="363"/>
    </row>
    <row r="12" spans="1:7" s="335" customFormat="1" ht="13.5" hidden="1" customHeight="1">
      <c r="A12" s="373" t="s">
        <v>1019</v>
      </c>
      <c r="B12" s="359" t="s">
        <v>2180</v>
      </c>
      <c r="C12" s="355">
        <v>0</v>
      </c>
      <c r="D12" s="362"/>
      <c r="E12" s="374"/>
      <c r="F12" s="365">
        <v>3.0499999999999999E-2</v>
      </c>
      <c r="G12" s="363"/>
    </row>
    <row r="13" spans="1:7" s="335" customFormat="1" ht="13.5" hidden="1" customHeight="1">
      <c r="A13" s="373" t="s">
        <v>1020</v>
      </c>
      <c r="B13" s="359" t="s">
        <v>2181</v>
      </c>
      <c r="C13" s="355"/>
      <c r="D13" s="362"/>
      <c r="E13" s="362"/>
      <c r="F13" s="362"/>
      <c r="G13" s="363"/>
    </row>
    <row r="14" spans="1:7" s="335" customFormat="1" ht="13.5" hidden="1" customHeight="1">
      <c r="A14" s="373" t="s">
        <v>1022</v>
      </c>
      <c r="B14" s="359" t="s">
        <v>2175</v>
      </c>
      <c r="C14" s="355"/>
      <c r="D14" s="362"/>
      <c r="E14" s="362"/>
      <c r="F14" s="362"/>
      <c r="G14" s="363" t="s">
        <v>2182</v>
      </c>
    </row>
    <row r="15" spans="1:7" s="335" customFormat="1" ht="13.5" hidden="1" customHeight="1">
      <c r="A15" s="373" t="s">
        <v>1024</v>
      </c>
      <c r="B15" s="359" t="s">
        <v>2183</v>
      </c>
      <c r="C15" s="364"/>
      <c r="D15" s="362"/>
      <c r="E15" s="362"/>
      <c r="F15" s="362"/>
      <c r="G15" s="363" t="s">
        <v>2184</v>
      </c>
    </row>
    <row r="16" spans="1:7" s="335" customFormat="1" ht="13.5" hidden="1" customHeight="1">
      <c r="A16" s="373" t="s">
        <v>1027</v>
      </c>
      <c r="B16" s="359" t="s">
        <v>2175</v>
      </c>
      <c r="C16" s="364"/>
      <c r="D16" s="362"/>
      <c r="E16" s="362"/>
      <c r="F16" s="362"/>
      <c r="G16" s="363"/>
    </row>
    <row r="17" spans="1:7" s="335" customFormat="1" ht="13.5" hidden="1" customHeight="1">
      <c r="A17" s="373" t="s">
        <v>1028</v>
      </c>
      <c r="B17" s="359" t="s">
        <v>2185</v>
      </c>
      <c r="C17" s="375"/>
      <c r="D17" s="375"/>
      <c r="E17" s="375"/>
      <c r="F17" s="375"/>
      <c r="G17" s="363" t="s">
        <v>2184</v>
      </c>
    </row>
    <row r="18" spans="1:7" s="335" customFormat="1" ht="13.5" hidden="1" customHeight="1">
      <c r="A18" s="373" t="s">
        <v>1030</v>
      </c>
      <c r="B18" s="359" t="s">
        <v>2186</v>
      </c>
      <c r="C18" s="364">
        <v>0</v>
      </c>
      <c r="D18" s="362"/>
      <c r="E18" s="362"/>
      <c r="F18" s="365">
        <v>3.0499999999999999E-2</v>
      </c>
      <c r="G18" s="363" t="s">
        <v>2187</v>
      </c>
    </row>
    <row r="19" spans="1:7" s="336" customFormat="1" ht="13.5" customHeight="1">
      <c r="A19" s="376" t="s">
        <v>1741</v>
      </c>
      <c r="B19" s="354" t="s">
        <v>2188</v>
      </c>
      <c r="C19" s="355">
        <f>IF(G19="已包含在土地取得成本中","0",ROUND(D19*E19/10000,0))</f>
        <v>18</v>
      </c>
      <c r="D19" s="356">
        <f>'数据-汇总表'!E3</f>
        <v>885.63</v>
      </c>
      <c r="E19" s="355">
        <f>'数据-取费表'!B31</f>
        <v>200</v>
      </c>
      <c r="F19" s="377"/>
      <c r="G19" s="367" t="s">
        <v>2189</v>
      </c>
    </row>
    <row r="20" spans="1:7" s="335" customFormat="1" ht="13.5" customHeight="1">
      <c r="A20" s="376" t="s">
        <v>1777</v>
      </c>
      <c r="B20" s="354" t="s">
        <v>2190</v>
      </c>
      <c r="C20" s="378">
        <f>ROUND((C5+C19)*F20,0)</f>
        <v>413</v>
      </c>
      <c r="D20" s="378"/>
      <c r="E20" s="378"/>
      <c r="F20" s="379">
        <f>'数据-取费表'!B37</f>
        <v>0.02</v>
      </c>
      <c r="G20" s="380" t="s">
        <v>2191</v>
      </c>
    </row>
    <row r="21" spans="1:7" s="335" customFormat="1" ht="13.5" customHeight="1">
      <c r="A21" s="376" t="s">
        <v>1782</v>
      </c>
      <c r="B21" s="354" t="s">
        <v>2192</v>
      </c>
      <c r="C21" s="381">
        <f>F21</f>
        <v>0.02</v>
      </c>
      <c r="D21" s="382" t="s">
        <v>2193</v>
      </c>
      <c r="E21" s="378"/>
      <c r="F21" s="379">
        <f>'数据-取费表'!B38</f>
        <v>0.02</v>
      </c>
      <c r="G21" s="383" t="s">
        <v>2194</v>
      </c>
    </row>
    <row r="22" spans="1:7" s="335" customFormat="1" ht="13.5" customHeight="1">
      <c r="A22" s="376" t="s">
        <v>1791</v>
      </c>
      <c r="B22" s="354" t="s">
        <v>2195</v>
      </c>
      <c r="C22" s="384">
        <f ca="1">ROUND(SUM(C23:C25),0)</f>
        <v>1268</v>
      </c>
      <c r="D22" s="381">
        <f ca="1">C26</f>
        <v>5.9999999999999995E-4</v>
      </c>
      <c r="E22" s="382" t="s">
        <v>2193</v>
      </c>
      <c r="F22" s="385">
        <f ca="1">'数据-取费表'!B40</f>
        <v>0.03</v>
      </c>
      <c r="G22" s="380" t="str">
        <f>IF('数据-取费表'!B22&lt;=1,"单利计息","复利计息")</f>
        <v>复利计息</v>
      </c>
    </row>
    <row r="23" spans="1:7" s="335" customFormat="1" ht="13.5" customHeight="1">
      <c r="A23" s="386" t="s">
        <v>1006</v>
      </c>
      <c r="B23" s="359" t="s">
        <v>2196</v>
      </c>
      <c r="C23" s="387">
        <f ca="1">ROUND(IF('数据-取费表'!B22&lt;=1,C5*F22*'数据-取费表'!B23,C5*(POWER((1+F22),'数据-取费表'!B23)-1)),0)</f>
        <v>1255</v>
      </c>
      <c r="D23" s="388"/>
      <c r="E23" s="388"/>
      <c r="F23" s="389"/>
      <c r="G23" s="390" t="s">
        <v>2197</v>
      </c>
    </row>
    <row r="24" spans="1:7" s="335" customFormat="1" ht="13.5" customHeight="1">
      <c r="A24" s="386" t="s">
        <v>1008</v>
      </c>
      <c r="B24" s="359" t="s">
        <v>2198</v>
      </c>
      <c r="C24" s="387">
        <f ca="1">ROUND(IF('数据-取费表'!B22&lt;=1,C19*F22*('数据-取费表'!B19/2+'数据-取费表'!B21),C19*(POWER((1+F22),('数据-取费表'!B19/2+'数据-取费表'!B21))-1)),0)</f>
        <v>1</v>
      </c>
      <c r="D24" s="388"/>
      <c r="E24" s="388"/>
      <c r="F24" s="389"/>
      <c r="G24" s="390" t="s">
        <v>2199</v>
      </c>
    </row>
    <row r="25" spans="1:7" s="335" customFormat="1" ht="24">
      <c r="A25" s="386" t="s">
        <v>1010</v>
      </c>
      <c r="B25" s="359" t="s">
        <v>2200</v>
      </c>
      <c r="C25" s="387">
        <f ca="1">ROUND(IF('数据-取费表'!B22&lt;=1,C20*F22*'数据-取费表'!B23/2,C20*(POWER((1+F22),'数据-取费表'!B23/2)-1)),0)</f>
        <v>12</v>
      </c>
      <c r="D25" s="388"/>
      <c r="E25" s="391"/>
      <c r="F25" s="389"/>
      <c r="G25" s="392" t="s">
        <v>2201</v>
      </c>
    </row>
    <row r="26" spans="1:7" s="335" customFormat="1">
      <c r="A26" s="386" t="s">
        <v>1050</v>
      </c>
      <c r="B26" s="359" t="s">
        <v>2202</v>
      </c>
      <c r="C26" s="388">
        <f ca="1">ROUND(IF('数据-取费表'!B22&lt;=1,F21*F22*'数据-取费表'!B23/2,F21*(POWER((1+F22),'数据-取费表'!B23/2)-1)),4)</f>
        <v>5.9999999999999995E-4</v>
      </c>
      <c r="D26" s="388"/>
      <c r="E26" s="391"/>
      <c r="F26" s="389"/>
      <c r="G26" s="393"/>
    </row>
    <row r="27" spans="1:7" s="335" customFormat="1" ht="26.4">
      <c r="A27" s="376" t="s">
        <v>1800</v>
      </c>
      <c r="B27" s="394" t="s">
        <v>2203</v>
      </c>
      <c r="C27" s="395">
        <f>C28</f>
        <v>3156</v>
      </c>
      <c r="D27" s="381">
        <f>C29</f>
        <v>3.0000000000000001E-3</v>
      </c>
      <c r="E27" s="382" t="s">
        <v>2193</v>
      </c>
      <c r="F27" s="396">
        <f>'数据-取费表'!Q16</f>
        <v>0.15</v>
      </c>
      <c r="G27" s="397" t="s">
        <v>2204</v>
      </c>
    </row>
    <row r="28" spans="1:7" s="335" customFormat="1" ht="13.5" customHeight="1">
      <c r="A28" s="386" t="s">
        <v>1006</v>
      </c>
      <c r="B28" s="398" t="s">
        <v>2205</v>
      </c>
      <c r="C28" s="399">
        <f>ROUND((C5+C19+C20)*F27*'数据-取费表'!B21/'数据-取费表'!B20,0)</f>
        <v>3156</v>
      </c>
      <c r="D28" s="381"/>
      <c r="E28" s="382"/>
      <c r="F28" s="396"/>
      <c r="G28" s="397"/>
    </row>
    <row r="29" spans="1:7" s="335" customFormat="1" ht="13.5" customHeight="1">
      <c r="A29" s="386" t="s">
        <v>1008</v>
      </c>
      <c r="B29" s="398" t="s">
        <v>2206</v>
      </c>
      <c r="C29" s="388">
        <f>ROUND(C21*F27*'数据-取费表'!B21/'数据-取费表'!B20,4)</f>
        <v>3.0000000000000001E-3</v>
      </c>
      <c r="D29" s="381"/>
      <c r="E29" s="382"/>
      <c r="F29" s="396"/>
      <c r="G29" s="397"/>
    </row>
    <row r="30" spans="1:7" s="335" customFormat="1" ht="13.5" customHeight="1">
      <c r="A30" s="376" t="s">
        <v>2207</v>
      </c>
      <c r="B30" s="354" t="s">
        <v>2208</v>
      </c>
      <c r="C30" s="381">
        <f>F30</f>
        <v>5.5000000000000007E-2</v>
      </c>
      <c r="D30" s="382" t="s">
        <v>2209</v>
      </c>
      <c r="E30" s="391"/>
      <c r="F30" s="385">
        <f>'数据-取费表'!B41</f>
        <v>5.5000000000000007E-2</v>
      </c>
      <c r="G30" s="383" t="s">
        <v>2210</v>
      </c>
    </row>
    <row r="31" spans="1:7" ht="16.5" customHeight="1">
      <c r="A31" s="400">
        <v>1</v>
      </c>
      <c r="B31" s="354" t="s">
        <v>2211</v>
      </c>
      <c r="C31" s="355">
        <f ca="1">ROUND((C5+C19+C20+C22+C27)/(1-C21-D22-D27-C30/(1+'数据-取费表'!B42)),0)</f>
        <v>27559</v>
      </c>
      <c r="D31" s="401"/>
      <c r="E31" s="355"/>
      <c r="F31" s="402"/>
      <c r="G31" s="383" t="s">
        <v>2212</v>
      </c>
    </row>
    <row r="32" spans="1:7" s="334" customFormat="1" ht="16.2">
      <c r="A32" s="403" t="s">
        <v>2213</v>
      </c>
      <c r="B32" s="404"/>
      <c r="C32" s="404"/>
      <c r="D32" s="404"/>
      <c r="E32" s="404"/>
      <c r="F32" s="404"/>
      <c r="G32" s="405"/>
    </row>
    <row r="33" spans="1:7" s="335" customFormat="1" ht="13.5" customHeight="1">
      <c r="A33" s="353" t="s">
        <v>1002</v>
      </c>
      <c r="B33" s="354" t="s">
        <v>2214</v>
      </c>
      <c r="C33" s="406">
        <f>SUM(C34:C38)</f>
        <v>397</v>
      </c>
      <c r="D33" s="378"/>
      <c r="E33" s="356"/>
      <c r="F33" s="391"/>
      <c r="G33" s="383"/>
    </row>
    <row r="34" spans="1:7" s="337" customFormat="1" ht="13.5" customHeight="1">
      <c r="A34" s="386" t="s">
        <v>1006</v>
      </c>
      <c r="B34" s="359" t="s">
        <v>2215</v>
      </c>
      <c r="C34" s="364">
        <f>IF(F34=100%,'数据-取费表'!M16-SUMIF('数据-取费表'!C:C,"公共配套",'数据-取费表'!M:M),'数据-取费表'!O16-SUMIF('数据-取费表'!C:C,"公共配套",'数据-取费表'!O:O))</f>
        <v>354</v>
      </c>
      <c r="D34" s="361"/>
      <c r="E34" s="364"/>
      <c r="F34" s="407">
        <f>IF('数据-取费表'!B24=0,1,'数据-取费表'!N16)</f>
        <v>1</v>
      </c>
      <c r="G34" s="363" t="s">
        <v>2216</v>
      </c>
    </row>
    <row r="35" spans="1:7" ht="13.5" customHeight="1">
      <c r="A35" s="386" t="s">
        <v>1008</v>
      </c>
      <c r="B35" s="359" t="s">
        <v>2217</v>
      </c>
      <c r="C35" s="364">
        <f>ROUND(C34*F35,0)</f>
        <v>18</v>
      </c>
      <c r="D35" s="364"/>
      <c r="E35" s="364"/>
      <c r="F35" s="408">
        <f>'数据-取费表'!B33</f>
        <v>0.05</v>
      </c>
      <c r="G35" s="363" t="s">
        <v>2218</v>
      </c>
    </row>
    <row r="36" spans="1:7" ht="24">
      <c r="A36" s="386" t="s">
        <v>1010</v>
      </c>
      <c r="B36" s="359" t="s">
        <v>2219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2220</v>
      </c>
    </row>
    <row r="37" spans="1:7" s="337" customFormat="1" ht="13.5" customHeight="1">
      <c r="A37" s="386" t="s">
        <v>1050</v>
      </c>
      <c r="B37" s="359" t="s">
        <v>2221</v>
      </c>
      <c r="C37" s="399">
        <f>ROUND(E37*D37*F34/10000,0)</f>
        <v>18</v>
      </c>
      <c r="D37" s="361">
        <f>'数据-汇总表'!E3</f>
        <v>885.63</v>
      </c>
      <c r="E37" s="399">
        <f>'数据-取费表'!B35</f>
        <v>200</v>
      </c>
      <c r="F37" s="408"/>
      <c r="G37" s="410" t="s">
        <v>2222</v>
      </c>
    </row>
    <row r="38" spans="1:7" ht="13.5" customHeight="1">
      <c r="A38" s="386" t="s">
        <v>1072</v>
      </c>
      <c r="B38" s="359" t="s">
        <v>2180</v>
      </c>
      <c r="C38" s="364">
        <f>ROUND(C34*F38,0)</f>
        <v>7</v>
      </c>
      <c r="D38" s="364"/>
      <c r="E38" s="364"/>
      <c r="F38" s="408">
        <f>'数据-取费表'!B36</f>
        <v>0.02</v>
      </c>
      <c r="G38" s="363" t="s">
        <v>2218</v>
      </c>
    </row>
    <row r="39" spans="1:7" s="335" customFormat="1" ht="13.5" customHeight="1">
      <c r="A39" s="376" t="s">
        <v>1741</v>
      </c>
      <c r="B39" s="354" t="s">
        <v>2190</v>
      </c>
      <c r="C39" s="378">
        <f>ROUND(C33*F20,0)</f>
        <v>8</v>
      </c>
      <c r="D39" s="378"/>
      <c r="E39" s="378"/>
      <c r="F39" s="379"/>
      <c r="G39" s="380" t="s">
        <v>2223</v>
      </c>
    </row>
    <row r="40" spans="1:7" s="335" customFormat="1" ht="13.5" customHeight="1">
      <c r="A40" s="376" t="s">
        <v>1777</v>
      </c>
      <c r="B40" s="354" t="s">
        <v>2192</v>
      </c>
      <c r="C40" s="411">
        <f>F21</f>
        <v>0.02</v>
      </c>
      <c r="D40" s="382" t="s">
        <v>2224</v>
      </c>
      <c r="E40" s="378"/>
      <c r="F40" s="379"/>
      <c r="G40" s="383" t="s">
        <v>2225</v>
      </c>
    </row>
    <row r="41" spans="1:7" s="335" customFormat="1" ht="13.5" customHeight="1">
      <c r="A41" s="376" t="s">
        <v>1782</v>
      </c>
      <c r="B41" s="354" t="s">
        <v>2195</v>
      </c>
      <c r="C41" s="378">
        <f ca="1">ROUND(SUM(C42:C43),0)</f>
        <v>12</v>
      </c>
      <c r="D41" s="381">
        <f ca="1">C44</f>
        <v>5.9999999999999995E-4</v>
      </c>
      <c r="E41" s="382" t="s">
        <v>2224</v>
      </c>
      <c r="F41" s="385"/>
      <c r="G41" s="380" t="str">
        <f>IF('数据-取费表'!B22&lt;=1,"单利计息","复利计息")</f>
        <v>复利计息</v>
      </c>
    </row>
    <row r="42" spans="1:7" ht="13.5" customHeight="1">
      <c r="A42" s="386" t="s">
        <v>1006</v>
      </c>
      <c r="B42" s="359" t="s">
        <v>2196</v>
      </c>
      <c r="C42" s="388">
        <f ca="1">ROUND(IF('数据-取费表'!B22&lt;=1,C33*F22*'数据-取费表'!B21/2,C33*(POWER((1+F22),'数据-取费表'!B21/2)-1)),0)</f>
        <v>12</v>
      </c>
      <c r="D42" s="388"/>
      <c r="E42" s="388"/>
      <c r="F42" s="389"/>
      <c r="G42" s="3382" t="s">
        <v>2226</v>
      </c>
    </row>
    <row r="43" spans="1:7" ht="13.5" customHeight="1">
      <c r="A43" s="386" t="s">
        <v>1008</v>
      </c>
      <c r="B43" s="359" t="s">
        <v>2198</v>
      </c>
      <c r="C43" s="388">
        <f ca="1">ROUND(IF('数据-取费表'!B22&lt;=1,C39*F22*'数据-取费表'!B21/2,C39*(POWER((1+F22),'数据-取费表'!B21/2)-1)),0)</f>
        <v>0</v>
      </c>
      <c r="D43" s="388"/>
      <c r="E43" s="388"/>
      <c r="F43" s="389"/>
      <c r="G43" s="3383"/>
    </row>
    <row r="44" spans="1:7" ht="13.5" customHeight="1">
      <c r="A44" s="386" t="s">
        <v>1010</v>
      </c>
      <c r="B44" s="359" t="s">
        <v>2200</v>
      </c>
      <c r="C44" s="388">
        <f ca="1">ROUND(IF('数据-取费表'!B22&lt;=1,C40*F22*'数据-取费表'!B21/2,C40*(POWER((1+F22),'数据-取费表'!B21/2)-1)),4)</f>
        <v>5.9999999999999995E-4</v>
      </c>
      <c r="D44" s="388"/>
      <c r="E44" s="388"/>
      <c r="F44" s="389"/>
      <c r="G44" s="3384"/>
    </row>
    <row r="45" spans="1:7" s="335" customFormat="1" ht="13.5" customHeight="1">
      <c r="A45" s="376" t="s">
        <v>1791</v>
      </c>
      <c r="B45" s="394" t="s">
        <v>2203</v>
      </c>
      <c r="C45" s="395">
        <f>C46</f>
        <v>61</v>
      </c>
      <c r="D45" s="381">
        <f>C47</f>
        <v>3.0000000000000001E-3</v>
      </c>
      <c r="E45" s="382" t="s">
        <v>2224</v>
      </c>
      <c r="F45" s="396"/>
      <c r="G45" s="397" t="s">
        <v>2227</v>
      </c>
    </row>
    <row r="46" spans="1:7" s="335" customFormat="1" ht="13.5" customHeight="1">
      <c r="A46" s="386" t="s">
        <v>1006</v>
      </c>
      <c r="B46" s="398" t="s">
        <v>2228</v>
      </c>
      <c r="C46" s="399">
        <f>ROUND((C33+C39)*F27,0)</f>
        <v>61</v>
      </c>
      <c r="D46" s="412"/>
      <c r="E46" s="382"/>
      <c r="F46" s="396"/>
      <c r="G46" s="397"/>
    </row>
    <row r="47" spans="1:7" s="335" customFormat="1" ht="13.5" customHeight="1">
      <c r="A47" s="386" t="s">
        <v>1008</v>
      </c>
      <c r="B47" s="398" t="s">
        <v>2229</v>
      </c>
      <c r="C47" s="388">
        <f>ROUND(C40*F27,4)</f>
        <v>3.0000000000000001E-3</v>
      </c>
      <c r="D47" s="412"/>
      <c r="E47" s="382"/>
      <c r="F47" s="396"/>
      <c r="G47" s="397"/>
    </row>
    <row r="48" spans="1:7" s="335" customFormat="1" ht="13.5" customHeight="1">
      <c r="A48" s="376" t="s">
        <v>1800</v>
      </c>
      <c r="B48" s="354" t="s">
        <v>2208</v>
      </c>
      <c r="C48" s="411">
        <f>F30</f>
        <v>5.5000000000000007E-2</v>
      </c>
      <c r="D48" s="382" t="s">
        <v>2230</v>
      </c>
      <c r="E48" s="378"/>
      <c r="F48" s="385"/>
      <c r="G48" s="383" t="s">
        <v>2231</v>
      </c>
    </row>
    <row r="49" spans="1:7" ht="16.5" customHeight="1">
      <c r="A49" s="376" t="s">
        <v>2207</v>
      </c>
      <c r="B49" s="354" t="s">
        <v>2232</v>
      </c>
      <c r="C49" s="378">
        <f ca="1">ROUND((C33+C39+C41+C45)/(1-C40-D41-D45-C48/(1+'数据-取费表'!B42)),0)</f>
        <v>517</v>
      </c>
      <c r="D49" s="378"/>
      <c r="E49" s="378"/>
      <c r="F49" s="413"/>
      <c r="G49" s="383" t="s">
        <v>2233</v>
      </c>
    </row>
    <row r="50" spans="1:7" s="337" customFormat="1" ht="24">
      <c r="A50" s="376" t="s">
        <v>2234</v>
      </c>
      <c r="B50" s="354" t="s">
        <v>2235</v>
      </c>
      <c r="C50" s="378"/>
      <c r="D50" s="378"/>
      <c r="E50" s="378"/>
      <c r="F50" s="413">
        <f>IF('数据-取费表'!B24=0,'数据-取费表'!N16,1)</f>
        <v>0.83</v>
      </c>
      <c r="G50" s="397" t="s">
        <v>2236</v>
      </c>
    </row>
    <row r="51" spans="1:7" ht="16.5" customHeight="1">
      <c r="A51" s="376" t="s">
        <v>2237</v>
      </c>
      <c r="B51" s="354" t="s">
        <v>2238</v>
      </c>
      <c r="C51" s="378">
        <f ca="1">ROUND(C49*F50,0)</f>
        <v>429</v>
      </c>
      <c r="D51" s="378"/>
      <c r="E51" s="378"/>
      <c r="F51" s="413"/>
      <c r="G51" s="383" t="s">
        <v>2239</v>
      </c>
    </row>
    <row r="52" spans="1:7" s="334" customFormat="1" ht="16.2">
      <c r="A52" s="414" t="s">
        <v>2240</v>
      </c>
      <c r="B52" s="415"/>
      <c r="C52" s="416">
        <f ca="1">C31+C51</f>
        <v>27988</v>
      </c>
      <c r="D52" s="415"/>
      <c r="E52" s="415"/>
      <c r="F52" s="415"/>
      <c r="G52" s="417"/>
    </row>
    <row r="55" spans="1:7" ht="15">
      <c r="B55" s="418" t="s">
        <v>2241</v>
      </c>
      <c r="C55" s="419"/>
    </row>
    <row r="56" spans="1:7">
      <c r="B56" s="420" t="s">
        <v>2242</v>
      </c>
      <c r="C56" s="421">
        <f ca="1">ROUND(C51/C52,3)</f>
        <v>1.4999999999999999E-2</v>
      </c>
    </row>
    <row r="57" spans="1:7">
      <c r="B57" s="420" t="s">
        <v>2243</v>
      </c>
      <c r="C57" s="422">
        <f ca="1">1-C56</f>
        <v>0.98499999999999999</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6" customWidth="1"/>
    <col min="2" max="2" width="37.21875" style="3126" customWidth="1"/>
    <col min="3" max="3" width="11.33203125" style="3126" customWidth="1"/>
    <col min="4" max="4" width="31.77734375" style="3126" customWidth="1"/>
    <col min="5" max="5" width="0.44140625" style="3126" customWidth="1"/>
    <col min="6" max="7" width="13" style="3126" customWidth="1"/>
    <col min="8" max="16384" width="9" style="3126"/>
  </cols>
  <sheetData>
    <row r="1" spans="1:5" ht="17.399999999999999">
      <c r="A1" s="3127" t="s">
        <v>94</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7.399999999999999">
      <c r="A3" s="3207" t="str">
        <f>IF(项目基本情况!B9="房地产市场价值","估价结果一览表（市场价值不需“结果表-1”）","估价结果一览表")</f>
        <v>估价结果一览表</v>
      </c>
      <c r="B3" s="3207"/>
      <c r="C3" s="3207"/>
      <c r="D3" s="3207"/>
      <c r="E3" s="3207"/>
    </row>
    <row r="4" spans="1:5" ht="17.399999999999999">
      <c r="A4" s="3128"/>
      <c r="B4" s="3208" t="s">
        <v>95</v>
      </c>
      <c r="C4" s="3208"/>
      <c r="D4" s="3208"/>
      <c r="E4" s="3128"/>
    </row>
    <row r="5" spans="1:5" ht="15.6">
      <c r="B5" s="3200" t="s">
        <v>96</v>
      </c>
      <c r="C5" s="3129" t="s">
        <v>97</v>
      </c>
      <c r="D5" s="3130">
        <f ca="1">结果表110!H101</f>
        <v>1009</v>
      </c>
    </row>
    <row r="6" spans="1:5" ht="15.6">
      <c r="B6" s="3200"/>
      <c r="C6" s="3129" t="s">
        <v>98</v>
      </c>
      <c r="D6" s="3130" t="str">
        <f ca="1">NUMBERSTRING(INT(D5*10000),2)&amp;"元整"</f>
        <v>壹仟零玖万元整</v>
      </c>
    </row>
    <row r="7" spans="1:5" ht="15.6">
      <c r="B7" s="3201"/>
      <c r="C7" s="3131" t="s">
        <v>99</v>
      </c>
      <c r="D7" s="3132">
        <f ca="1">结果表110!H102</f>
        <v>28410</v>
      </c>
    </row>
    <row r="8" spans="1:5" ht="15.6">
      <c r="B8" s="3202" t="str">
        <f>结果表110!E103</f>
        <v>2.估价师知悉的法定优先受偿款</v>
      </c>
      <c r="C8" s="3133" t="s">
        <v>100</v>
      </c>
      <c r="D8" s="3132">
        <f>结果表110!H103</f>
        <v>0</v>
      </c>
    </row>
    <row r="9" spans="1:5" ht="15.6">
      <c r="B9" s="3204"/>
      <c r="C9" s="3129" t="s">
        <v>98</v>
      </c>
      <c r="D9" s="3130" t="str">
        <f>NUMBERSTRING(INT(D8*10000),2)&amp;"元整"</f>
        <v>零元整</v>
      </c>
    </row>
    <row r="10" spans="1:5" ht="15.6">
      <c r="B10" s="3134" t="s">
        <v>101</v>
      </c>
      <c r="C10" s="3135" t="s">
        <v>102</v>
      </c>
      <c r="D10" s="3136">
        <f>结果表110!H104</f>
        <v>0</v>
      </c>
    </row>
    <row r="11" spans="1:5" ht="15.6">
      <c r="B11" s="3134" t="s">
        <v>103</v>
      </c>
      <c r="C11" s="3135" t="s">
        <v>102</v>
      </c>
      <c r="D11" s="3136">
        <f>结果表110!H105</f>
        <v>0</v>
      </c>
    </row>
    <row r="12" spans="1:5" ht="15.6">
      <c r="B12" s="3134" t="s">
        <v>104</v>
      </c>
      <c r="C12" s="3135" t="s">
        <v>102</v>
      </c>
      <c r="D12" s="3136">
        <f>结果表110!H106</f>
        <v>0</v>
      </c>
    </row>
    <row r="13" spans="1:5" ht="15.6">
      <c r="B13" s="3199" t="str">
        <f>结果表110!E107</f>
        <v>3.房地产抵押价值</v>
      </c>
      <c r="C13" s="3137" t="s">
        <v>97</v>
      </c>
      <c r="D13" s="3138">
        <f ca="1">结果表110!H107</f>
        <v>1009</v>
      </c>
    </row>
    <row r="14" spans="1:5" ht="15.6">
      <c r="B14" s="3200"/>
      <c r="C14" s="3129" t="s">
        <v>98</v>
      </c>
      <c r="D14" s="3130" t="str">
        <f ca="1">NUMBERSTRING(INT(D13*10000),2)&amp;"元整"</f>
        <v>壹仟零玖万元整</v>
      </c>
    </row>
    <row r="15" spans="1:5" ht="15.6">
      <c r="B15" s="3201"/>
      <c r="C15" s="3131" t="s">
        <v>99</v>
      </c>
      <c r="D15" s="3139">
        <f ca="1">结果表110!H108</f>
        <v>28410</v>
      </c>
    </row>
    <row r="16" spans="1:5" ht="15.6">
      <c r="B16" s="3202" t="str">
        <f>结果表110!E109</f>
        <v>——</v>
      </c>
      <c r="C16" s="3137" t="s">
        <v>97</v>
      </c>
      <c r="D16" s="3140" t="str">
        <f>结果表110!H109</f>
        <v>——</v>
      </c>
    </row>
    <row r="17" spans="1:5" ht="15.6">
      <c r="B17" s="3203"/>
      <c r="C17" s="3129" t="s">
        <v>98</v>
      </c>
      <c r="D17" s="3130" t="e">
        <f>NUMBERSTRING(INT(D16*10000),2)&amp;"元整"</f>
        <v>#VALUE!</v>
      </c>
    </row>
    <row r="18" spans="1:5" ht="15.6">
      <c r="B18" s="3204"/>
      <c r="C18" s="3131" t="s">
        <v>99</v>
      </c>
      <c r="D18" s="3139" t="str">
        <f>结果表110!H110</f>
        <v>——</v>
      </c>
    </row>
    <row r="19" spans="1:5" ht="15.6">
      <c r="B19" s="3199" t="str">
        <f>结果表110!E111</f>
        <v>——</v>
      </c>
      <c r="C19" s="3137" t="s">
        <v>97</v>
      </c>
      <c r="D19" s="3132" t="str">
        <f>结果表110!H111</f>
        <v>——</v>
      </c>
    </row>
    <row r="20" spans="1:5" ht="15.6">
      <c r="B20" s="3200"/>
      <c r="C20" s="3129" t="s">
        <v>98</v>
      </c>
      <c r="D20" s="3130" t="e">
        <f>NUMBERSTRING(INT(D19*10000),2)&amp;"元整"</f>
        <v>#VALUE!</v>
      </c>
    </row>
    <row r="21" spans="1:5" ht="15.6">
      <c r="B21" s="3205"/>
      <c r="C21" s="3141" t="s">
        <v>99</v>
      </c>
      <c r="D21" s="3142" t="str">
        <f>结果表110!H112</f>
        <v>——</v>
      </c>
    </row>
    <row r="22" spans="1:5">
      <c r="B22" s="3143" t="s">
        <v>105</v>
      </c>
    </row>
    <row r="24" spans="1:5" ht="17.399999999999999">
      <c r="A24" s="3144"/>
      <c r="B24" s="3145" t="s">
        <v>106</v>
      </c>
      <c r="C24" s="3144"/>
      <c r="D24" s="3144"/>
      <c r="E24" s="3144"/>
    </row>
    <row r="25" spans="1:5">
      <c r="A25" s="3144"/>
      <c r="B25" s="3144"/>
      <c r="C25" s="3144"/>
      <c r="D25" s="3144"/>
      <c r="E25" s="3144"/>
    </row>
    <row r="26" spans="1:5">
      <c r="A26" s="3144"/>
      <c r="B26" s="3144"/>
      <c r="C26" s="3144"/>
      <c r="D26" s="3144"/>
      <c r="E26" s="3144"/>
    </row>
    <row r="27" spans="1:5">
      <c r="A27" s="3144"/>
      <c r="B27" s="3144"/>
      <c r="C27" s="3144"/>
      <c r="D27" s="3144"/>
      <c r="E27" s="3144"/>
    </row>
    <row r="28" spans="1:5">
      <c r="A28" s="3144"/>
      <c r="B28" s="3144"/>
      <c r="C28" s="3144"/>
      <c r="D28" s="3144"/>
      <c r="E28" s="3144"/>
    </row>
    <row r="29" spans="1:5">
      <c r="A29" s="3144"/>
      <c r="B29" s="3144"/>
      <c r="C29" s="3144"/>
      <c r="D29" s="3144"/>
      <c r="E29" s="3144"/>
    </row>
    <row r="30" spans="1:5">
      <c r="A30" s="3144"/>
      <c r="B30" s="3144"/>
      <c r="C30" s="3144"/>
      <c r="D30" s="3144"/>
      <c r="E30" s="3144"/>
    </row>
    <row r="31" spans="1:5">
      <c r="A31" s="3144"/>
      <c r="B31" s="3144"/>
      <c r="C31" s="3144"/>
      <c r="D31" s="3144"/>
      <c r="E31" s="3144"/>
    </row>
    <row r="32" spans="1:5">
      <c r="A32" s="3144"/>
      <c r="B32" s="3144"/>
      <c r="C32" s="3144"/>
      <c r="D32" s="3144"/>
      <c r="E32" s="3144"/>
    </row>
    <row r="33" spans="1:5">
      <c r="A33" s="3144"/>
      <c r="B33" s="3144"/>
      <c r="C33" s="3144"/>
      <c r="D33" s="3144"/>
      <c r="E33" s="3144"/>
    </row>
    <row r="34" spans="1:5">
      <c r="A34" s="3144"/>
      <c r="B34" s="3144"/>
      <c r="C34" s="3144"/>
      <c r="D34" s="3144"/>
      <c r="E34" s="3144"/>
    </row>
    <row r="35" spans="1:5">
      <c r="A35" s="3144"/>
      <c r="B35" s="3144"/>
      <c r="C35" s="3144"/>
      <c r="D35" s="3144"/>
      <c r="E35" s="3144"/>
    </row>
    <row r="36" spans="1:5">
      <c r="A36" s="3144"/>
      <c r="B36" s="3144"/>
      <c r="C36" s="3144"/>
      <c r="D36" s="3144"/>
      <c r="E36" s="3144"/>
    </row>
    <row r="37" spans="1:5">
      <c r="A37" s="3144"/>
      <c r="B37" s="3144"/>
      <c r="C37" s="3144"/>
      <c r="D37" s="3144"/>
      <c r="E37" s="3144"/>
    </row>
    <row r="38" spans="1:5">
      <c r="A38" s="3144"/>
      <c r="B38" s="3144"/>
      <c r="C38" s="3144"/>
      <c r="D38" s="3144"/>
      <c r="E38" s="3144"/>
    </row>
    <row r="39" spans="1:5">
      <c r="A39" s="3144"/>
      <c r="B39" s="3144"/>
      <c r="C39" s="3144"/>
      <c r="D39" s="3144"/>
      <c r="E39" s="3144"/>
    </row>
    <row r="40" spans="1:5">
      <c r="A40" s="3144"/>
      <c r="B40" s="3144"/>
      <c r="C40" s="3144"/>
      <c r="D40" s="3144"/>
      <c r="E40" s="3144"/>
    </row>
    <row r="41" spans="1:5">
      <c r="A41" s="3144"/>
      <c r="B41" s="3144"/>
      <c r="C41" s="3144"/>
      <c r="D41" s="3144"/>
      <c r="E41" s="3144"/>
    </row>
    <row r="42" spans="1:5">
      <c r="A42" s="3144"/>
      <c r="B42" s="3144"/>
      <c r="C42" s="3144"/>
      <c r="D42" s="3144"/>
      <c r="E42" s="31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19" t="s">
        <v>2244</v>
      </c>
      <c r="B1" s="3519"/>
    </row>
    <row r="2" spans="1:7">
      <c r="A2" s="299"/>
      <c r="B2" s="299"/>
    </row>
    <row r="3" spans="1:7">
      <c r="A3" s="299"/>
      <c r="B3" s="299"/>
      <c r="C3" s="300" t="s">
        <v>1923</v>
      </c>
      <c r="D3" s="300" t="s">
        <v>562</v>
      </c>
      <c r="E3" s="300" t="s">
        <v>412</v>
      </c>
      <c r="F3" s="300" t="s">
        <v>408</v>
      </c>
      <c r="G3" s="300" t="s">
        <v>280</v>
      </c>
    </row>
    <row r="4" spans="1:7">
      <c r="A4" s="301" t="s">
        <v>2245</v>
      </c>
      <c r="B4" s="302" t="s">
        <v>2246</v>
      </c>
      <c r="C4" s="300"/>
      <c r="D4" s="300"/>
      <c r="E4" s="300"/>
      <c r="F4" s="300"/>
      <c r="G4" s="300"/>
    </row>
    <row r="5" spans="1:7">
      <c r="A5" s="303" t="s">
        <v>230</v>
      </c>
      <c r="B5" s="304" t="s">
        <v>2247</v>
      </c>
      <c r="C5" s="305">
        <v>9.8000000000000004E-2</v>
      </c>
      <c r="D5" s="305">
        <v>8.6999999999999994E-2</v>
      </c>
      <c r="E5" s="305">
        <v>8.6999999999999994E-2</v>
      </c>
      <c r="F5" s="305">
        <v>9.8000000000000004E-2</v>
      </c>
      <c r="G5" s="306">
        <v>9.5000000000000001E-2</v>
      </c>
    </row>
    <row r="6" spans="1:7">
      <c r="A6" s="307" t="s">
        <v>230</v>
      </c>
      <c r="B6" s="308" t="s">
        <v>2248</v>
      </c>
      <c r="C6" s="309">
        <v>9.8000000000000004E-2</v>
      </c>
      <c r="D6" s="309">
        <v>9.8000000000000004E-2</v>
      </c>
      <c r="E6" s="309">
        <v>9.8000000000000004E-2</v>
      </c>
      <c r="F6" s="309">
        <v>0.1</v>
      </c>
      <c r="G6" s="310">
        <v>9.9000000000000005E-2</v>
      </c>
    </row>
    <row r="7" spans="1:7">
      <c r="A7" s="307" t="s">
        <v>230</v>
      </c>
      <c r="B7" s="308" t="s">
        <v>2249</v>
      </c>
      <c r="C7" s="309">
        <v>9.7000000000000003E-2</v>
      </c>
      <c r="D7" s="309">
        <v>9.7000000000000003E-2</v>
      </c>
      <c r="E7" s="309">
        <v>9.6000000000000002E-2</v>
      </c>
      <c r="F7" s="309">
        <v>0.1</v>
      </c>
      <c r="G7" s="310">
        <v>9.8000000000000004E-2</v>
      </c>
    </row>
    <row r="8" spans="1:7">
      <c r="A8" s="307" t="s">
        <v>230</v>
      </c>
      <c r="B8" s="308" t="s">
        <v>2250</v>
      </c>
      <c r="C8" s="309">
        <v>8.1000000000000003E-2</v>
      </c>
      <c r="D8" s="309">
        <v>8.2000000000000003E-2</v>
      </c>
      <c r="E8" s="309">
        <v>7.0000000000000007E-2</v>
      </c>
      <c r="F8" s="309">
        <v>9.6000000000000002E-2</v>
      </c>
      <c r="G8" s="310">
        <v>8.8999999999999996E-2</v>
      </c>
    </row>
    <row r="9" spans="1:7">
      <c r="A9" s="311" t="s">
        <v>230</v>
      </c>
      <c r="B9" s="312" t="s">
        <v>2251</v>
      </c>
      <c r="C9" s="313">
        <v>0.1</v>
      </c>
      <c r="D9" s="313">
        <v>0.1</v>
      </c>
      <c r="E9" s="313">
        <v>0.1</v>
      </c>
      <c r="F9" s="314"/>
      <c r="G9" s="315">
        <v>0.1</v>
      </c>
    </row>
    <row r="10" spans="1:7">
      <c r="A10" s="303" t="s">
        <v>241</v>
      </c>
      <c r="B10" s="304" t="s">
        <v>2252</v>
      </c>
      <c r="C10" s="305">
        <v>6.7000000000000004E-2</v>
      </c>
      <c r="D10" s="305">
        <v>7.9000000000000001E-2</v>
      </c>
      <c r="E10" s="305">
        <v>7.9000000000000001E-2</v>
      </c>
      <c r="F10" s="305">
        <v>0.1</v>
      </c>
      <c r="G10" s="306">
        <v>9.0999999999999998E-2</v>
      </c>
    </row>
    <row r="11" spans="1:7">
      <c r="A11" s="307" t="s">
        <v>241</v>
      </c>
      <c r="B11" s="308" t="s">
        <v>2253</v>
      </c>
      <c r="C11" s="309">
        <v>0.05</v>
      </c>
      <c r="D11" s="309">
        <v>5.2999999999999999E-2</v>
      </c>
      <c r="E11" s="309">
        <v>6.3E-2</v>
      </c>
      <c r="F11" s="309">
        <v>0.1</v>
      </c>
      <c r="G11" s="310">
        <v>7.1999999999999995E-2</v>
      </c>
    </row>
    <row r="12" spans="1:7">
      <c r="A12" s="307" t="s">
        <v>241</v>
      </c>
      <c r="B12" s="308" t="s">
        <v>2254</v>
      </c>
      <c r="C12" s="309">
        <v>5.2999999999999999E-2</v>
      </c>
      <c r="D12" s="309">
        <v>0.09</v>
      </c>
      <c r="E12" s="309">
        <v>7.1999999999999995E-2</v>
      </c>
      <c r="F12" s="309">
        <v>0.1</v>
      </c>
      <c r="G12" s="310">
        <v>9.7000000000000003E-2</v>
      </c>
    </row>
    <row r="13" spans="1:7">
      <c r="A13" s="307" t="s">
        <v>241</v>
      </c>
      <c r="B13" s="308" t="s">
        <v>2255</v>
      </c>
      <c r="C13" s="309">
        <v>9.7000000000000003E-2</v>
      </c>
      <c r="D13" s="309">
        <v>9.1999999999999998E-2</v>
      </c>
      <c r="E13" s="309">
        <v>9.5000000000000001E-2</v>
      </c>
      <c r="F13" s="309">
        <v>0.1</v>
      </c>
      <c r="G13" s="310">
        <v>9.7000000000000003E-2</v>
      </c>
    </row>
    <row r="14" spans="1:7">
      <c r="A14" s="307" t="s">
        <v>241</v>
      </c>
      <c r="B14" s="308" t="s">
        <v>2256</v>
      </c>
      <c r="C14" s="309">
        <v>9.7000000000000003E-2</v>
      </c>
      <c r="D14" s="309">
        <v>9.7000000000000003E-2</v>
      </c>
      <c r="E14" s="309">
        <v>9.7000000000000003E-2</v>
      </c>
      <c r="F14" s="309">
        <v>0.1</v>
      </c>
      <c r="G14" s="310">
        <v>9.8000000000000004E-2</v>
      </c>
    </row>
    <row r="15" spans="1:7">
      <c r="A15" s="307" t="s">
        <v>241</v>
      </c>
      <c r="B15" s="308" t="s">
        <v>2257</v>
      </c>
      <c r="C15" s="309">
        <v>9.8000000000000004E-2</v>
      </c>
      <c r="D15" s="309">
        <v>9.0999999999999998E-2</v>
      </c>
      <c r="E15" s="309">
        <v>0.06</v>
      </c>
      <c r="F15" s="309">
        <v>0.1</v>
      </c>
      <c r="G15" s="310">
        <v>9.7000000000000003E-2</v>
      </c>
    </row>
    <row r="16" spans="1:7">
      <c r="A16" s="307" t="s">
        <v>241</v>
      </c>
      <c r="B16" s="308" t="s">
        <v>2258</v>
      </c>
      <c r="C16" s="309">
        <v>9.8000000000000004E-2</v>
      </c>
      <c r="D16" s="309">
        <v>9.7000000000000003E-2</v>
      </c>
      <c r="E16" s="309">
        <v>9.5000000000000001E-2</v>
      </c>
      <c r="F16" s="309">
        <v>0.1</v>
      </c>
      <c r="G16" s="310">
        <v>9.9000000000000005E-2</v>
      </c>
    </row>
    <row r="17" spans="1:7">
      <c r="A17" s="307" t="s">
        <v>241</v>
      </c>
      <c r="B17" s="308" t="s">
        <v>2259</v>
      </c>
      <c r="C17" s="309">
        <v>8.8999999999999996E-2</v>
      </c>
      <c r="D17" s="309">
        <v>9.1999999999999998E-2</v>
      </c>
      <c r="E17" s="309">
        <v>6.0999999999999999E-2</v>
      </c>
      <c r="F17" s="309">
        <v>0.1</v>
      </c>
      <c r="G17" s="310">
        <v>9.7000000000000003E-2</v>
      </c>
    </row>
    <row r="18" spans="1:7">
      <c r="A18" s="307" t="s">
        <v>241</v>
      </c>
      <c r="B18" s="308" t="s">
        <v>2260</v>
      </c>
      <c r="C18" s="309">
        <v>9.8000000000000004E-2</v>
      </c>
      <c r="D18" s="309">
        <v>9.8000000000000004E-2</v>
      </c>
      <c r="E18" s="309">
        <v>9.8000000000000004E-2</v>
      </c>
      <c r="F18" s="316"/>
      <c r="G18" s="310">
        <v>9.9000000000000005E-2</v>
      </c>
    </row>
    <row r="19" spans="1:7">
      <c r="A19" s="307" t="s">
        <v>241</v>
      </c>
      <c r="B19" s="308" t="s">
        <v>2261</v>
      </c>
      <c r="C19" s="309">
        <v>9.9000000000000005E-2</v>
      </c>
      <c r="D19" s="309">
        <v>7.3999999999999996E-2</v>
      </c>
      <c r="E19" s="309">
        <v>8.1000000000000003E-2</v>
      </c>
      <c r="F19" s="316"/>
      <c r="G19" s="310">
        <v>9.2999999999999999E-2</v>
      </c>
    </row>
    <row r="20" spans="1:7">
      <c r="A20" s="307" t="s">
        <v>241</v>
      </c>
      <c r="B20" s="308" t="s">
        <v>2262</v>
      </c>
      <c r="C20" s="309">
        <v>0.1</v>
      </c>
      <c r="D20" s="309">
        <v>8.8999999999999996E-2</v>
      </c>
      <c r="E20" s="309">
        <v>8.8999999999999996E-2</v>
      </c>
      <c r="F20" s="316"/>
      <c r="G20" s="310">
        <v>9.5000000000000001E-2</v>
      </c>
    </row>
    <row r="21" spans="1:7">
      <c r="A21" s="307" t="s">
        <v>241</v>
      </c>
      <c r="B21" s="308" t="s">
        <v>2263</v>
      </c>
      <c r="C21" s="309">
        <v>0.1</v>
      </c>
      <c r="D21" s="309">
        <v>9.0999999999999998E-2</v>
      </c>
      <c r="E21" s="309">
        <v>8.2000000000000003E-2</v>
      </c>
      <c r="F21" s="316"/>
      <c r="G21" s="310">
        <v>9.7000000000000003E-2</v>
      </c>
    </row>
    <row r="22" spans="1:7">
      <c r="A22" s="307" t="s">
        <v>241</v>
      </c>
      <c r="B22" s="308" t="s">
        <v>2264</v>
      </c>
      <c r="C22" s="309">
        <v>9.5000000000000001E-2</v>
      </c>
      <c r="D22" s="309">
        <v>9.9000000000000005E-2</v>
      </c>
      <c r="E22" s="309">
        <v>9.8000000000000004E-2</v>
      </c>
      <c r="F22" s="316"/>
      <c r="G22" s="310">
        <v>0.1</v>
      </c>
    </row>
    <row r="23" spans="1:7">
      <c r="A23" s="307" t="s">
        <v>241</v>
      </c>
      <c r="B23" s="308" t="s">
        <v>2265</v>
      </c>
      <c r="C23" s="309">
        <v>9.9000000000000005E-2</v>
      </c>
      <c r="D23" s="309">
        <v>0.1</v>
      </c>
      <c r="E23" s="309">
        <v>0.1</v>
      </c>
      <c r="F23" s="316"/>
      <c r="G23" s="310">
        <v>0.1</v>
      </c>
    </row>
    <row r="24" spans="1:7">
      <c r="A24" s="307" t="s">
        <v>241</v>
      </c>
      <c r="B24" s="308" t="s">
        <v>2266</v>
      </c>
      <c r="C24" s="309">
        <v>9.5000000000000001E-2</v>
      </c>
      <c r="D24" s="309">
        <v>0.1</v>
      </c>
      <c r="E24" s="309">
        <v>9.8000000000000004E-2</v>
      </c>
      <c r="F24" s="316"/>
      <c r="G24" s="310">
        <v>0.1</v>
      </c>
    </row>
    <row r="25" spans="1:7">
      <c r="A25" s="307" t="s">
        <v>241</v>
      </c>
      <c r="B25" s="308" t="s">
        <v>2267</v>
      </c>
      <c r="C25" s="309">
        <v>0.05</v>
      </c>
      <c r="D25" s="309">
        <v>9.6000000000000002E-2</v>
      </c>
      <c r="E25" s="309">
        <v>9.6000000000000002E-2</v>
      </c>
      <c r="F25" s="316"/>
      <c r="G25" s="310">
        <v>9.6000000000000002E-2</v>
      </c>
    </row>
    <row r="26" spans="1:7">
      <c r="A26" s="307" t="s">
        <v>241</v>
      </c>
      <c r="B26" s="308" t="s">
        <v>2268</v>
      </c>
      <c r="C26" s="309">
        <v>6.3E-2</v>
      </c>
      <c r="D26" s="309">
        <v>9.9000000000000005E-2</v>
      </c>
      <c r="E26" s="309">
        <v>9.8000000000000004E-2</v>
      </c>
      <c r="F26" s="316"/>
      <c r="G26" s="310">
        <v>0.1</v>
      </c>
    </row>
    <row r="27" spans="1:7">
      <c r="A27" s="307" t="s">
        <v>241</v>
      </c>
      <c r="B27" s="308" t="s">
        <v>2269</v>
      </c>
      <c r="C27" s="309">
        <v>5.1999999999999998E-2</v>
      </c>
      <c r="D27" s="309">
        <v>9.5000000000000001E-2</v>
      </c>
      <c r="E27" s="309">
        <v>6.4000000000000001E-2</v>
      </c>
      <c r="F27" s="316"/>
      <c r="G27" s="310">
        <v>9.7000000000000003E-2</v>
      </c>
    </row>
    <row r="28" spans="1:7">
      <c r="A28" s="307" t="s">
        <v>241</v>
      </c>
      <c r="B28" s="308" t="s">
        <v>2270</v>
      </c>
      <c r="C28" s="316"/>
      <c r="D28" s="309">
        <v>6.3E-2</v>
      </c>
      <c r="E28" s="309">
        <v>5.1999999999999998E-2</v>
      </c>
      <c r="F28" s="316"/>
      <c r="G28" s="310">
        <v>6.3E-2</v>
      </c>
    </row>
    <row r="29" spans="1:7">
      <c r="A29" s="311" t="s">
        <v>241</v>
      </c>
      <c r="B29" s="312" t="s">
        <v>2271</v>
      </c>
      <c r="C29" s="317"/>
      <c r="D29" s="313">
        <v>5.1999999999999998E-2</v>
      </c>
      <c r="E29" s="313">
        <v>7.0000000000000007E-2</v>
      </c>
      <c r="F29" s="317"/>
      <c r="G29" s="315">
        <v>7.0999999999999994E-2</v>
      </c>
    </row>
    <row r="30" spans="1:7">
      <c r="A30" s="318" t="s">
        <v>251</v>
      </c>
      <c r="B30" s="304" t="s">
        <v>2272</v>
      </c>
      <c r="C30" s="305">
        <v>6.6000000000000003E-2</v>
      </c>
      <c r="D30" s="305">
        <v>6.6000000000000003E-2</v>
      </c>
      <c r="E30" s="305">
        <v>5.7000000000000002E-2</v>
      </c>
      <c r="F30" s="305">
        <v>0.1</v>
      </c>
      <c r="G30" s="306">
        <v>6.8000000000000005E-2</v>
      </c>
    </row>
    <row r="31" spans="1:7">
      <c r="A31" s="319" t="s">
        <v>251</v>
      </c>
      <c r="B31" s="308" t="s">
        <v>2273</v>
      </c>
      <c r="C31" s="309">
        <v>5.5E-2</v>
      </c>
      <c r="D31" s="309">
        <v>8.2000000000000003E-2</v>
      </c>
      <c r="E31" s="309">
        <v>6.4000000000000001E-2</v>
      </c>
      <c r="F31" s="309">
        <v>0.1</v>
      </c>
      <c r="G31" s="310">
        <v>9.5000000000000001E-2</v>
      </c>
    </row>
    <row r="32" spans="1:7">
      <c r="A32" s="319" t="s">
        <v>251</v>
      </c>
      <c r="B32" s="308" t="s">
        <v>2274</v>
      </c>
      <c r="C32" s="309">
        <v>8.2000000000000003E-2</v>
      </c>
      <c r="D32" s="309">
        <v>8.6999999999999994E-2</v>
      </c>
      <c r="E32" s="309">
        <v>9.5000000000000001E-2</v>
      </c>
      <c r="F32" s="309">
        <v>0.1</v>
      </c>
      <c r="G32" s="310">
        <v>9.6000000000000002E-2</v>
      </c>
    </row>
    <row r="33" spans="1:7">
      <c r="A33" s="319" t="s">
        <v>251</v>
      </c>
      <c r="B33" s="308" t="s">
        <v>2275</v>
      </c>
      <c r="C33" s="309">
        <v>9.9000000000000005E-2</v>
      </c>
      <c r="D33" s="309">
        <v>9.1999999999999998E-2</v>
      </c>
      <c r="E33" s="309">
        <v>8.6999999999999994E-2</v>
      </c>
      <c r="F33" s="309">
        <v>0.1</v>
      </c>
      <c r="G33" s="310">
        <v>9.7000000000000003E-2</v>
      </c>
    </row>
    <row r="34" spans="1:7">
      <c r="A34" s="319" t="s">
        <v>251</v>
      </c>
      <c r="B34" s="308" t="s">
        <v>2276</v>
      </c>
      <c r="C34" s="309">
        <v>8.4000000000000005E-2</v>
      </c>
      <c r="D34" s="309">
        <v>9.7000000000000003E-2</v>
      </c>
      <c r="E34" s="309">
        <v>7.0999999999999994E-2</v>
      </c>
      <c r="F34" s="309">
        <v>0.1</v>
      </c>
      <c r="G34" s="310">
        <v>9.8000000000000004E-2</v>
      </c>
    </row>
    <row r="35" spans="1:7">
      <c r="A35" s="319" t="s">
        <v>251</v>
      </c>
      <c r="B35" s="308" t="s">
        <v>2277</v>
      </c>
      <c r="C35" s="309">
        <v>8.3000000000000004E-2</v>
      </c>
      <c r="D35" s="309">
        <v>9.7000000000000003E-2</v>
      </c>
      <c r="E35" s="309">
        <v>6.0999999999999999E-2</v>
      </c>
      <c r="F35" s="309">
        <v>0.1</v>
      </c>
      <c r="G35" s="310">
        <v>9.9000000000000005E-2</v>
      </c>
    </row>
    <row r="36" spans="1:7">
      <c r="A36" s="319" t="s">
        <v>251</v>
      </c>
      <c r="B36" s="308" t="s">
        <v>2278</v>
      </c>
      <c r="C36" s="309">
        <v>9.7000000000000003E-2</v>
      </c>
      <c r="D36" s="309">
        <v>9.7000000000000003E-2</v>
      </c>
      <c r="E36" s="309">
        <v>7.8E-2</v>
      </c>
      <c r="F36" s="309">
        <v>0.1</v>
      </c>
      <c r="G36" s="310">
        <v>9.9000000000000005E-2</v>
      </c>
    </row>
    <row r="37" spans="1:7">
      <c r="A37" s="319" t="s">
        <v>251</v>
      </c>
      <c r="B37" s="308" t="s">
        <v>2279</v>
      </c>
      <c r="C37" s="309">
        <v>9.7000000000000003E-2</v>
      </c>
      <c r="D37" s="309">
        <v>9.5000000000000001E-2</v>
      </c>
      <c r="E37" s="309">
        <v>7.8E-2</v>
      </c>
      <c r="F37" s="309">
        <v>0.1</v>
      </c>
      <c r="G37" s="310">
        <v>9.7000000000000003E-2</v>
      </c>
    </row>
    <row r="38" spans="1:7">
      <c r="A38" s="319" t="s">
        <v>251</v>
      </c>
      <c r="B38" s="308" t="s">
        <v>2280</v>
      </c>
      <c r="C38" s="309">
        <v>9.7000000000000003E-2</v>
      </c>
      <c r="D38" s="309">
        <v>7.6999999999999999E-2</v>
      </c>
      <c r="E38" s="309">
        <v>7.0000000000000007E-2</v>
      </c>
      <c r="F38" s="309">
        <v>0.1</v>
      </c>
      <c r="G38" s="310">
        <v>7.6999999999999999E-2</v>
      </c>
    </row>
    <row r="39" spans="1:7">
      <c r="A39" s="319" t="s">
        <v>251</v>
      </c>
      <c r="B39" s="308" t="s">
        <v>2281</v>
      </c>
      <c r="C39" s="309">
        <v>9.5000000000000001E-2</v>
      </c>
      <c r="D39" s="309">
        <v>7.6999999999999999E-2</v>
      </c>
      <c r="E39" s="309">
        <v>6.6000000000000003E-2</v>
      </c>
      <c r="F39" s="309">
        <v>0.1</v>
      </c>
      <c r="G39" s="310">
        <v>8.5999999999999993E-2</v>
      </c>
    </row>
    <row r="40" spans="1:7">
      <c r="A40" s="319" t="s">
        <v>251</v>
      </c>
      <c r="B40" s="308" t="s">
        <v>2282</v>
      </c>
      <c r="C40" s="309">
        <v>7.6999999999999999E-2</v>
      </c>
      <c r="D40" s="309">
        <v>7.8E-2</v>
      </c>
      <c r="E40" s="309">
        <v>8.2000000000000003E-2</v>
      </c>
      <c r="F40" s="320"/>
      <c r="G40" s="310">
        <v>7.8E-2</v>
      </c>
    </row>
    <row r="41" spans="1:7">
      <c r="A41" s="319" t="s">
        <v>251</v>
      </c>
      <c r="B41" s="308" t="s">
        <v>2283</v>
      </c>
      <c r="C41" s="309">
        <v>7.8E-2</v>
      </c>
      <c r="D41" s="309">
        <v>7.8E-2</v>
      </c>
      <c r="E41" s="309">
        <v>8.2000000000000003E-2</v>
      </c>
      <c r="F41" s="320"/>
      <c r="G41" s="310">
        <v>8.5999999999999993E-2</v>
      </c>
    </row>
    <row r="42" spans="1:7">
      <c r="A42" s="319" t="s">
        <v>251</v>
      </c>
      <c r="B42" s="308" t="s">
        <v>2284</v>
      </c>
      <c r="C42" s="309">
        <v>7.8E-2</v>
      </c>
      <c r="D42" s="309">
        <v>9.6000000000000002E-2</v>
      </c>
      <c r="E42" s="309">
        <v>7.1999999999999995E-2</v>
      </c>
      <c r="F42" s="320"/>
      <c r="G42" s="310">
        <v>9.8000000000000004E-2</v>
      </c>
    </row>
    <row r="43" spans="1:7">
      <c r="A43" s="319" t="s">
        <v>251</v>
      </c>
      <c r="B43" s="308" t="s">
        <v>2285</v>
      </c>
      <c r="C43" s="309">
        <v>7.8E-2</v>
      </c>
      <c r="D43" s="309">
        <v>9.9000000000000005E-2</v>
      </c>
      <c r="E43" s="309">
        <v>9.6000000000000002E-2</v>
      </c>
      <c r="F43" s="320"/>
      <c r="G43" s="310">
        <v>0.1</v>
      </c>
    </row>
    <row r="44" spans="1:7">
      <c r="A44" s="319" t="s">
        <v>251</v>
      </c>
      <c r="B44" s="308" t="s">
        <v>2286</v>
      </c>
      <c r="C44" s="309">
        <v>9.6000000000000002E-2</v>
      </c>
      <c r="D44" s="309">
        <v>0.1</v>
      </c>
      <c r="E44" s="309">
        <v>9.8000000000000004E-2</v>
      </c>
      <c r="F44" s="320"/>
      <c r="G44" s="310">
        <v>0.1</v>
      </c>
    </row>
    <row r="45" spans="1:7">
      <c r="A45" s="319" t="s">
        <v>251</v>
      </c>
      <c r="B45" s="308" t="s">
        <v>2287</v>
      </c>
      <c r="C45" s="309">
        <v>9.9000000000000005E-2</v>
      </c>
      <c r="D45" s="309">
        <v>9.8000000000000004E-2</v>
      </c>
      <c r="E45" s="309">
        <v>9.5000000000000001E-2</v>
      </c>
      <c r="F45" s="320"/>
      <c r="G45" s="310">
        <v>9.8000000000000004E-2</v>
      </c>
    </row>
    <row r="46" spans="1:7">
      <c r="A46" s="319" t="s">
        <v>251</v>
      </c>
      <c r="B46" s="308" t="s">
        <v>2288</v>
      </c>
      <c r="C46" s="309">
        <v>0.1</v>
      </c>
      <c r="D46" s="309">
        <v>9.9000000000000005E-2</v>
      </c>
      <c r="E46" s="309">
        <v>9.6000000000000002E-2</v>
      </c>
      <c r="F46" s="320"/>
      <c r="G46" s="310">
        <v>0.1</v>
      </c>
    </row>
    <row r="47" spans="1:7">
      <c r="A47" s="319" t="s">
        <v>251</v>
      </c>
      <c r="B47" s="308" t="s">
        <v>2289</v>
      </c>
      <c r="C47" s="309">
        <v>9.8000000000000004E-2</v>
      </c>
      <c r="D47" s="309">
        <v>8.6999999999999994E-2</v>
      </c>
      <c r="E47" s="309">
        <v>5.8999999999999997E-2</v>
      </c>
      <c r="F47" s="320"/>
      <c r="G47" s="310">
        <v>9.6000000000000002E-2</v>
      </c>
    </row>
    <row r="48" spans="1:7">
      <c r="A48" s="319" t="s">
        <v>251</v>
      </c>
      <c r="B48" s="308" t="s">
        <v>2290</v>
      </c>
      <c r="C48" s="309">
        <v>9.9000000000000005E-2</v>
      </c>
      <c r="D48" s="309">
        <v>9.8000000000000004E-2</v>
      </c>
      <c r="E48" s="309">
        <v>9.5000000000000001E-2</v>
      </c>
      <c r="F48" s="320"/>
      <c r="G48" s="310">
        <v>9.8000000000000004E-2</v>
      </c>
    </row>
    <row r="49" spans="1:7">
      <c r="A49" s="319" t="s">
        <v>251</v>
      </c>
      <c r="B49" s="308" t="s">
        <v>2291</v>
      </c>
      <c r="C49" s="309">
        <v>8.7999999999999995E-2</v>
      </c>
      <c r="D49" s="309">
        <v>9.9000000000000005E-2</v>
      </c>
      <c r="E49" s="309">
        <v>7.0000000000000007E-2</v>
      </c>
      <c r="F49" s="320"/>
      <c r="G49" s="310">
        <v>0.1</v>
      </c>
    </row>
    <row r="50" spans="1:7">
      <c r="A50" s="319" t="s">
        <v>251</v>
      </c>
      <c r="B50" s="308" t="s">
        <v>2292</v>
      </c>
      <c r="C50" s="309">
        <v>9.8000000000000004E-2</v>
      </c>
      <c r="D50" s="309">
        <v>7.2999999999999995E-2</v>
      </c>
      <c r="E50" s="309">
        <v>7.0999999999999994E-2</v>
      </c>
      <c r="F50" s="320"/>
      <c r="G50" s="310">
        <v>7.2999999999999995E-2</v>
      </c>
    </row>
    <row r="51" spans="1:7">
      <c r="A51" s="319" t="s">
        <v>251</v>
      </c>
      <c r="B51" s="308" t="s">
        <v>2293</v>
      </c>
      <c r="C51" s="309">
        <v>9.9000000000000005E-2</v>
      </c>
      <c r="D51" s="309">
        <v>8.5000000000000006E-2</v>
      </c>
      <c r="E51" s="309">
        <v>6.3E-2</v>
      </c>
      <c r="F51" s="320"/>
      <c r="G51" s="310">
        <v>9.6000000000000002E-2</v>
      </c>
    </row>
    <row r="52" spans="1:7">
      <c r="A52" s="319" t="s">
        <v>251</v>
      </c>
      <c r="B52" s="308" t="s">
        <v>2294</v>
      </c>
      <c r="C52" s="309">
        <v>7.3999999999999996E-2</v>
      </c>
      <c r="D52" s="309">
        <v>9.6000000000000002E-2</v>
      </c>
      <c r="E52" s="309">
        <v>0.05</v>
      </c>
      <c r="F52" s="320"/>
      <c r="G52" s="310">
        <v>9.8000000000000004E-2</v>
      </c>
    </row>
    <row r="53" spans="1:7">
      <c r="A53" s="319" t="s">
        <v>251</v>
      </c>
      <c r="B53" s="308" t="s">
        <v>2295</v>
      </c>
      <c r="C53" s="309">
        <v>8.5999999999999993E-2</v>
      </c>
      <c r="D53" s="320"/>
      <c r="E53" s="309">
        <v>9.1999999999999998E-2</v>
      </c>
      <c r="F53" s="320"/>
      <c r="G53" s="321"/>
    </row>
    <row r="54" spans="1:7">
      <c r="A54" s="322" t="s">
        <v>251</v>
      </c>
      <c r="B54" s="312" t="s">
        <v>2296</v>
      </c>
      <c r="C54" s="313">
        <v>9.6000000000000002E-2</v>
      </c>
      <c r="D54" s="314"/>
      <c r="E54" s="323"/>
      <c r="F54" s="314"/>
      <c r="G54" s="324"/>
    </row>
    <row r="55" spans="1:7">
      <c r="A55" s="318" t="s">
        <v>259</v>
      </c>
      <c r="B55" s="304" t="s">
        <v>2297</v>
      </c>
      <c r="C55" s="305">
        <v>9.6000000000000002E-2</v>
      </c>
      <c r="D55" s="305">
        <v>8.4000000000000005E-2</v>
      </c>
      <c r="E55" s="305">
        <v>9.1999999999999998E-2</v>
      </c>
      <c r="F55" s="305">
        <v>0.1</v>
      </c>
      <c r="G55" s="306">
        <v>9.5000000000000001E-2</v>
      </c>
    </row>
    <row r="56" spans="1:7">
      <c r="A56" s="319" t="s">
        <v>259</v>
      </c>
      <c r="B56" s="308" t="s">
        <v>2298</v>
      </c>
      <c r="C56" s="309">
        <v>8.4000000000000005E-2</v>
      </c>
      <c r="D56" s="309">
        <v>9.1999999999999998E-2</v>
      </c>
      <c r="E56" s="309">
        <v>9.5000000000000001E-2</v>
      </c>
      <c r="F56" s="309">
        <v>9.1999999999999998E-2</v>
      </c>
      <c r="G56" s="310">
        <v>9.6000000000000002E-2</v>
      </c>
    </row>
    <row r="57" spans="1:7">
      <c r="A57" s="319" t="s">
        <v>259</v>
      </c>
      <c r="B57" s="308" t="s">
        <v>2299</v>
      </c>
      <c r="C57" s="309">
        <v>9.9000000000000005E-2</v>
      </c>
      <c r="D57" s="309">
        <v>9.6000000000000002E-2</v>
      </c>
      <c r="E57" s="309">
        <v>9.1999999999999998E-2</v>
      </c>
      <c r="F57" s="309">
        <v>0.1</v>
      </c>
      <c r="G57" s="310">
        <v>9.8000000000000004E-2</v>
      </c>
    </row>
    <row r="58" spans="1:7">
      <c r="A58" s="319" t="s">
        <v>259</v>
      </c>
      <c r="B58" s="308" t="s">
        <v>2300</v>
      </c>
      <c r="C58" s="309">
        <v>9.8000000000000004E-2</v>
      </c>
      <c r="D58" s="309">
        <v>9.5000000000000001E-2</v>
      </c>
      <c r="E58" s="309">
        <v>5.7000000000000002E-2</v>
      </c>
      <c r="F58" s="309">
        <v>0.1</v>
      </c>
      <c r="G58" s="310">
        <v>9.6000000000000002E-2</v>
      </c>
    </row>
    <row r="59" spans="1:7">
      <c r="A59" s="319" t="s">
        <v>259</v>
      </c>
      <c r="B59" s="308" t="s">
        <v>2301</v>
      </c>
      <c r="C59" s="309">
        <v>9.5000000000000001E-2</v>
      </c>
      <c r="D59" s="309">
        <v>0.1</v>
      </c>
      <c r="E59" s="309">
        <v>7.4999999999999997E-2</v>
      </c>
      <c r="F59" s="309">
        <v>0.1</v>
      </c>
      <c r="G59" s="310">
        <v>0.1</v>
      </c>
    </row>
    <row r="60" spans="1:7">
      <c r="A60" s="319" t="s">
        <v>259</v>
      </c>
      <c r="B60" s="308" t="s">
        <v>2302</v>
      </c>
      <c r="C60" s="309">
        <v>0.1</v>
      </c>
      <c r="D60" s="309">
        <v>9.7000000000000003E-2</v>
      </c>
      <c r="E60" s="309">
        <v>0.1</v>
      </c>
      <c r="F60" s="309">
        <v>0.1</v>
      </c>
      <c r="G60" s="310">
        <v>9.7000000000000003E-2</v>
      </c>
    </row>
    <row r="61" spans="1:7">
      <c r="A61" s="319" t="s">
        <v>259</v>
      </c>
      <c r="B61" s="308" t="s">
        <v>2303</v>
      </c>
      <c r="C61" s="309">
        <v>9.7000000000000003E-2</v>
      </c>
      <c r="D61" s="309">
        <v>0.1</v>
      </c>
      <c r="E61" s="309">
        <v>9.2999999999999999E-2</v>
      </c>
      <c r="F61" s="309">
        <v>0.1</v>
      </c>
      <c r="G61" s="310">
        <v>0.1</v>
      </c>
    </row>
    <row r="62" spans="1:7">
      <c r="A62" s="319" t="s">
        <v>259</v>
      </c>
      <c r="B62" s="308" t="s">
        <v>2304</v>
      </c>
      <c r="C62" s="309">
        <v>0.1</v>
      </c>
      <c r="D62" s="309">
        <v>9.7000000000000003E-2</v>
      </c>
      <c r="E62" s="309">
        <v>8.8999999999999996E-2</v>
      </c>
      <c r="F62" s="309">
        <v>0.1</v>
      </c>
      <c r="G62" s="310">
        <v>9.8000000000000004E-2</v>
      </c>
    </row>
    <row r="63" spans="1:7">
      <c r="A63" s="319" t="s">
        <v>259</v>
      </c>
      <c r="B63" s="308" t="s">
        <v>2305</v>
      </c>
      <c r="C63" s="309">
        <v>9.7000000000000003E-2</v>
      </c>
      <c r="D63" s="309">
        <v>9.7000000000000003E-2</v>
      </c>
      <c r="E63" s="309">
        <v>9.9000000000000005E-2</v>
      </c>
      <c r="F63" s="309">
        <v>0.1</v>
      </c>
      <c r="G63" s="310">
        <v>9.7000000000000003E-2</v>
      </c>
    </row>
    <row r="64" spans="1:7">
      <c r="A64" s="319" t="s">
        <v>259</v>
      </c>
      <c r="B64" s="308" t="s">
        <v>2306</v>
      </c>
      <c r="C64" s="309">
        <v>9.7000000000000003E-2</v>
      </c>
      <c r="D64" s="309">
        <v>7.3999999999999996E-2</v>
      </c>
      <c r="E64" s="309">
        <v>7.8E-2</v>
      </c>
      <c r="F64" s="309">
        <v>0.1</v>
      </c>
      <c r="G64" s="310">
        <v>8.8999999999999996E-2</v>
      </c>
    </row>
    <row r="65" spans="1:7">
      <c r="A65" s="319" t="s">
        <v>259</v>
      </c>
      <c r="B65" s="308" t="s">
        <v>2307</v>
      </c>
      <c r="C65" s="309">
        <v>7.2999999999999995E-2</v>
      </c>
      <c r="D65" s="309">
        <v>9.8000000000000004E-2</v>
      </c>
      <c r="E65" s="309">
        <v>9.5000000000000001E-2</v>
      </c>
      <c r="F65" s="309">
        <v>0.1</v>
      </c>
      <c r="G65" s="310">
        <v>9.9000000000000005E-2</v>
      </c>
    </row>
    <row r="66" spans="1:7">
      <c r="A66" s="319" t="s">
        <v>259</v>
      </c>
      <c r="B66" s="308" t="s">
        <v>2308</v>
      </c>
      <c r="C66" s="309">
        <v>9.8000000000000004E-2</v>
      </c>
      <c r="D66" s="309">
        <v>9.5000000000000001E-2</v>
      </c>
      <c r="E66" s="309">
        <v>0.05</v>
      </c>
      <c r="F66" s="309">
        <v>0.1</v>
      </c>
      <c r="G66" s="310">
        <v>9.7000000000000003E-2</v>
      </c>
    </row>
    <row r="67" spans="1:7">
      <c r="A67" s="319" t="s">
        <v>259</v>
      </c>
      <c r="B67" s="308" t="s">
        <v>2309</v>
      </c>
      <c r="C67" s="309">
        <v>9.5000000000000001E-2</v>
      </c>
      <c r="D67" s="309">
        <v>9.7000000000000003E-2</v>
      </c>
      <c r="E67" s="309">
        <v>9.7000000000000003E-2</v>
      </c>
      <c r="F67" s="309">
        <v>0.1</v>
      </c>
      <c r="G67" s="310">
        <v>9.9000000000000005E-2</v>
      </c>
    </row>
    <row r="68" spans="1:7">
      <c r="A68" s="319" t="s">
        <v>259</v>
      </c>
      <c r="B68" s="308" t="s">
        <v>2310</v>
      </c>
      <c r="C68" s="309">
        <v>9.7000000000000003E-2</v>
      </c>
      <c r="D68" s="309">
        <v>6.8000000000000005E-2</v>
      </c>
      <c r="E68" s="309">
        <v>6.6000000000000003E-2</v>
      </c>
      <c r="F68" s="309">
        <v>0.1</v>
      </c>
      <c r="G68" s="310">
        <v>8.4000000000000005E-2</v>
      </c>
    </row>
    <row r="69" spans="1:7">
      <c r="A69" s="319" t="s">
        <v>259</v>
      </c>
      <c r="B69" s="308" t="s">
        <v>2311</v>
      </c>
      <c r="C69" s="309">
        <v>6.8000000000000005E-2</v>
      </c>
      <c r="D69" s="309">
        <v>9.8000000000000004E-2</v>
      </c>
      <c r="E69" s="309">
        <v>9.5000000000000001E-2</v>
      </c>
      <c r="F69" s="309">
        <v>0.1</v>
      </c>
      <c r="G69" s="310">
        <v>0.1</v>
      </c>
    </row>
    <row r="70" spans="1:7">
      <c r="A70" s="319" t="s">
        <v>259</v>
      </c>
      <c r="B70" s="308" t="s">
        <v>2312</v>
      </c>
      <c r="C70" s="309">
        <v>9.8000000000000004E-2</v>
      </c>
      <c r="D70" s="309">
        <v>8.8999999999999996E-2</v>
      </c>
      <c r="E70" s="309">
        <v>5.8999999999999997E-2</v>
      </c>
      <c r="F70" s="309">
        <v>0.1</v>
      </c>
      <c r="G70" s="310">
        <v>9.6000000000000002E-2</v>
      </c>
    </row>
    <row r="71" spans="1:7">
      <c r="A71" s="319" t="s">
        <v>259</v>
      </c>
      <c r="B71" s="308" t="s">
        <v>2313</v>
      </c>
      <c r="C71" s="309">
        <v>8.8999999999999996E-2</v>
      </c>
      <c r="D71" s="309">
        <v>9.9000000000000005E-2</v>
      </c>
      <c r="E71" s="309">
        <v>9.6000000000000002E-2</v>
      </c>
      <c r="F71" s="309">
        <v>0.1</v>
      </c>
      <c r="G71" s="310">
        <v>0.1</v>
      </c>
    </row>
    <row r="72" spans="1:7">
      <c r="A72" s="319" t="s">
        <v>259</v>
      </c>
      <c r="B72" s="308" t="s">
        <v>2314</v>
      </c>
      <c r="C72" s="309">
        <v>9.9000000000000005E-2</v>
      </c>
      <c r="D72" s="309">
        <v>0.1</v>
      </c>
      <c r="E72" s="309">
        <v>7.0000000000000007E-2</v>
      </c>
      <c r="F72" s="320"/>
      <c r="G72" s="310">
        <v>0.1</v>
      </c>
    </row>
    <row r="73" spans="1:7">
      <c r="A73" s="319" t="s">
        <v>259</v>
      </c>
      <c r="B73" s="308" t="s">
        <v>2315</v>
      </c>
      <c r="C73" s="309">
        <v>0.1</v>
      </c>
      <c r="D73" s="309">
        <v>0.1</v>
      </c>
      <c r="E73" s="309">
        <v>9.6000000000000002E-2</v>
      </c>
      <c r="F73" s="320"/>
      <c r="G73" s="310">
        <v>0.1</v>
      </c>
    </row>
    <row r="74" spans="1:7">
      <c r="A74" s="319" t="s">
        <v>259</v>
      </c>
      <c r="B74" s="308" t="s">
        <v>2316</v>
      </c>
      <c r="C74" s="309">
        <v>0.1</v>
      </c>
      <c r="D74" s="309">
        <v>0.1</v>
      </c>
      <c r="E74" s="309">
        <v>9.8000000000000004E-2</v>
      </c>
      <c r="F74" s="320"/>
      <c r="G74" s="310">
        <v>0.1</v>
      </c>
    </row>
    <row r="75" spans="1:7">
      <c r="A75" s="319" t="s">
        <v>259</v>
      </c>
      <c r="B75" s="308" t="s">
        <v>2317</v>
      </c>
      <c r="C75" s="309">
        <v>0.1</v>
      </c>
      <c r="D75" s="309">
        <v>9.9000000000000005E-2</v>
      </c>
      <c r="E75" s="309">
        <v>9.8000000000000004E-2</v>
      </c>
      <c r="F75" s="320"/>
      <c r="G75" s="310">
        <v>0.1</v>
      </c>
    </row>
    <row r="76" spans="1:7">
      <c r="A76" s="319" t="s">
        <v>259</v>
      </c>
      <c r="B76" s="308" t="s">
        <v>2318</v>
      </c>
      <c r="C76" s="309">
        <v>9.9000000000000005E-2</v>
      </c>
      <c r="D76" s="309">
        <v>0.1</v>
      </c>
      <c r="E76" s="309">
        <v>9.7000000000000003E-2</v>
      </c>
      <c r="F76" s="320"/>
      <c r="G76" s="310">
        <v>0.1</v>
      </c>
    </row>
    <row r="77" spans="1:7">
      <c r="A77" s="319" t="s">
        <v>259</v>
      </c>
      <c r="B77" s="308" t="s">
        <v>2319</v>
      </c>
      <c r="C77" s="309">
        <v>0.1</v>
      </c>
      <c r="D77" s="309">
        <v>0.1</v>
      </c>
      <c r="E77" s="309">
        <v>9.6000000000000002E-2</v>
      </c>
      <c r="F77" s="320"/>
      <c r="G77" s="310">
        <v>0.1</v>
      </c>
    </row>
    <row r="78" spans="1:7">
      <c r="A78" s="319" t="s">
        <v>259</v>
      </c>
      <c r="B78" s="308" t="s">
        <v>2320</v>
      </c>
      <c r="C78" s="309">
        <v>0.1</v>
      </c>
      <c r="D78" s="309">
        <v>8.5000000000000006E-2</v>
      </c>
      <c r="E78" s="309">
        <v>9.6000000000000002E-2</v>
      </c>
      <c r="F78" s="320"/>
      <c r="G78" s="310">
        <v>9.6000000000000002E-2</v>
      </c>
    </row>
    <row r="79" spans="1:7">
      <c r="A79" s="319" t="s">
        <v>259</v>
      </c>
      <c r="B79" s="308" t="s">
        <v>2321</v>
      </c>
      <c r="C79" s="309">
        <v>0.05</v>
      </c>
      <c r="D79" s="309">
        <v>9.6000000000000002E-2</v>
      </c>
      <c r="E79" s="309">
        <v>9.5000000000000001E-2</v>
      </c>
      <c r="F79" s="320"/>
      <c r="G79" s="310">
        <v>9.8000000000000004E-2</v>
      </c>
    </row>
    <row r="80" spans="1:7">
      <c r="A80" s="319" t="s">
        <v>259</v>
      </c>
      <c r="B80" s="308" t="s">
        <v>2322</v>
      </c>
      <c r="C80" s="309">
        <v>8.5999999999999993E-2</v>
      </c>
      <c r="D80" s="325"/>
      <c r="E80" s="309">
        <v>0.1</v>
      </c>
      <c r="F80" s="320"/>
      <c r="G80" s="321"/>
    </row>
    <row r="81" spans="1:7">
      <c r="A81" s="319" t="s">
        <v>259</v>
      </c>
      <c r="B81" s="308" t="s">
        <v>2323</v>
      </c>
      <c r="C81" s="309">
        <v>9.6000000000000002E-2</v>
      </c>
      <c r="D81" s="320"/>
      <c r="E81" s="309">
        <v>9.8000000000000004E-2</v>
      </c>
      <c r="F81" s="320"/>
      <c r="G81" s="321"/>
    </row>
    <row r="82" spans="1:7">
      <c r="A82" s="319" t="s">
        <v>259</v>
      </c>
      <c r="B82" s="308" t="s">
        <v>2324</v>
      </c>
      <c r="C82" s="325"/>
      <c r="D82" s="320"/>
      <c r="E82" s="309">
        <v>7.6999999999999999E-2</v>
      </c>
      <c r="F82" s="320"/>
      <c r="G82" s="321"/>
    </row>
    <row r="83" spans="1:7">
      <c r="A83" s="319" t="s">
        <v>259</v>
      </c>
      <c r="B83" s="308" t="s">
        <v>2325</v>
      </c>
      <c r="C83" s="320"/>
      <c r="D83" s="320"/>
      <c r="E83" s="320"/>
      <c r="F83" s="309">
        <v>0.1</v>
      </c>
      <c r="G83" s="326"/>
    </row>
    <row r="84" spans="1:7">
      <c r="A84" s="319" t="s">
        <v>259</v>
      </c>
      <c r="B84" s="308" t="s">
        <v>2326</v>
      </c>
      <c r="C84" s="320"/>
      <c r="D84" s="320"/>
      <c r="E84" s="320"/>
      <c r="F84" s="309">
        <v>0.1</v>
      </c>
      <c r="G84" s="326"/>
    </row>
    <row r="85" spans="1:7">
      <c r="A85" s="319" t="s">
        <v>259</v>
      </c>
      <c r="B85" s="308" t="s">
        <v>2327</v>
      </c>
      <c r="C85" s="320"/>
      <c r="D85" s="320"/>
      <c r="E85" s="320"/>
      <c r="F85" s="309">
        <v>0.1</v>
      </c>
      <c r="G85" s="326"/>
    </row>
    <row r="86" spans="1:7">
      <c r="A86" s="322" t="s">
        <v>259</v>
      </c>
      <c r="B86" s="312" t="s">
        <v>2328</v>
      </c>
      <c r="C86" s="313">
        <v>9.8000000000000004E-2</v>
      </c>
      <c r="D86" s="313">
        <v>9.8000000000000004E-2</v>
      </c>
      <c r="E86" s="313">
        <v>9.6000000000000002E-2</v>
      </c>
      <c r="F86" s="323"/>
      <c r="G86" s="315">
        <v>0.1</v>
      </c>
    </row>
    <row r="87" spans="1:7">
      <c r="A87" s="318" t="s">
        <v>267</v>
      </c>
      <c r="B87" s="304" t="s">
        <v>2329</v>
      </c>
      <c r="C87" s="305">
        <v>0.1</v>
      </c>
      <c r="D87" s="305">
        <v>0.1</v>
      </c>
      <c r="E87" s="305">
        <v>9.8000000000000004E-2</v>
      </c>
      <c r="F87" s="305">
        <v>0.1</v>
      </c>
      <c r="G87" s="306">
        <v>0.1</v>
      </c>
    </row>
    <row r="88" spans="1:7">
      <c r="A88" s="319" t="s">
        <v>267</v>
      </c>
      <c r="B88" s="308" t="s">
        <v>2330</v>
      </c>
      <c r="C88" s="309">
        <v>9.0999999999999998E-2</v>
      </c>
      <c r="D88" s="309">
        <v>9.1999999999999998E-2</v>
      </c>
      <c r="E88" s="309">
        <v>0.1</v>
      </c>
      <c r="F88" s="309">
        <v>0.1</v>
      </c>
      <c r="G88" s="310">
        <v>9.6000000000000002E-2</v>
      </c>
    </row>
    <row r="89" spans="1:7">
      <c r="A89" s="319" t="s">
        <v>267</v>
      </c>
      <c r="B89" s="308" t="s">
        <v>2331</v>
      </c>
      <c r="C89" s="309">
        <v>0.1</v>
      </c>
      <c r="D89" s="309">
        <v>0.1</v>
      </c>
      <c r="E89" s="309">
        <v>6.7000000000000004E-2</v>
      </c>
      <c r="F89" s="309">
        <v>9.2999999999999999E-2</v>
      </c>
      <c r="G89" s="310">
        <v>0.1</v>
      </c>
    </row>
    <row r="90" spans="1:7">
      <c r="A90" s="319" t="s">
        <v>267</v>
      </c>
      <c r="B90" s="308" t="s">
        <v>2332</v>
      </c>
      <c r="C90" s="309">
        <v>9.6000000000000002E-2</v>
      </c>
      <c r="D90" s="309">
        <v>9.6000000000000002E-2</v>
      </c>
      <c r="E90" s="309">
        <v>0.1</v>
      </c>
      <c r="F90" s="309">
        <v>0.1</v>
      </c>
      <c r="G90" s="310">
        <v>9.8000000000000004E-2</v>
      </c>
    </row>
    <row r="91" spans="1:7">
      <c r="A91" s="319" t="s">
        <v>267</v>
      </c>
      <c r="B91" s="308" t="s">
        <v>2333</v>
      </c>
      <c r="C91" s="309">
        <v>7.6999999999999999E-2</v>
      </c>
      <c r="D91" s="309">
        <v>7.6999999999999999E-2</v>
      </c>
      <c r="E91" s="309">
        <v>9.6000000000000002E-2</v>
      </c>
      <c r="F91" s="309">
        <v>0.1</v>
      </c>
      <c r="G91" s="310">
        <v>7.6999999999999999E-2</v>
      </c>
    </row>
    <row r="92" spans="1:7">
      <c r="A92" s="319" t="s">
        <v>267</v>
      </c>
      <c r="B92" s="308" t="s">
        <v>2334</v>
      </c>
      <c r="C92" s="309">
        <v>0.1</v>
      </c>
      <c r="D92" s="309">
        <v>0.1</v>
      </c>
      <c r="E92" s="309">
        <v>9.1999999999999998E-2</v>
      </c>
      <c r="F92" s="309">
        <v>0.1</v>
      </c>
      <c r="G92" s="310">
        <v>0.1</v>
      </c>
    </row>
    <row r="93" spans="1:7">
      <c r="A93" s="319" t="s">
        <v>267</v>
      </c>
      <c r="B93" s="308" t="s">
        <v>2335</v>
      </c>
      <c r="C93" s="309">
        <v>9.8000000000000004E-2</v>
      </c>
      <c r="D93" s="309">
        <v>9.8000000000000004E-2</v>
      </c>
      <c r="E93" s="309">
        <v>9.6000000000000002E-2</v>
      </c>
      <c r="F93" s="309">
        <v>0.1</v>
      </c>
      <c r="G93" s="310">
        <v>9.9000000000000005E-2</v>
      </c>
    </row>
    <row r="94" spans="1:7">
      <c r="A94" s="319" t="s">
        <v>267</v>
      </c>
      <c r="B94" s="308" t="s">
        <v>2336</v>
      </c>
      <c r="C94" s="309">
        <v>8.7999999999999995E-2</v>
      </c>
      <c r="D94" s="309">
        <v>8.7999999999999995E-2</v>
      </c>
      <c r="E94" s="309">
        <v>9.6000000000000002E-2</v>
      </c>
      <c r="F94" s="309">
        <v>0.1</v>
      </c>
      <c r="G94" s="310">
        <v>8.7999999999999995E-2</v>
      </c>
    </row>
    <row r="95" spans="1:7">
      <c r="A95" s="319" t="s">
        <v>267</v>
      </c>
      <c r="B95" s="308" t="s">
        <v>2337</v>
      </c>
      <c r="C95" s="309">
        <v>9.6000000000000002E-2</v>
      </c>
      <c r="D95" s="309">
        <v>9.6000000000000002E-2</v>
      </c>
      <c r="E95" s="309">
        <v>0.1</v>
      </c>
      <c r="F95" s="309">
        <v>0.1</v>
      </c>
      <c r="G95" s="310">
        <v>9.8000000000000004E-2</v>
      </c>
    </row>
    <row r="96" spans="1:7">
      <c r="A96" s="319" t="s">
        <v>267</v>
      </c>
      <c r="B96" s="308" t="s">
        <v>2338</v>
      </c>
      <c r="C96" s="309">
        <v>9.7000000000000003E-2</v>
      </c>
      <c r="D96" s="309">
        <v>9.7000000000000003E-2</v>
      </c>
      <c r="E96" s="309">
        <v>0.1</v>
      </c>
      <c r="F96" s="309">
        <v>0.1</v>
      </c>
      <c r="G96" s="310">
        <v>9.8000000000000004E-2</v>
      </c>
    </row>
    <row r="97" spans="1:7">
      <c r="A97" s="319" t="s">
        <v>267</v>
      </c>
      <c r="B97" s="308" t="s">
        <v>2339</v>
      </c>
      <c r="C97" s="309">
        <v>9.6000000000000002E-2</v>
      </c>
      <c r="D97" s="309">
        <v>9.6000000000000002E-2</v>
      </c>
      <c r="E97" s="309">
        <v>9.9000000000000005E-2</v>
      </c>
      <c r="F97" s="309">
        <v>0.1</v>
      </c>
      <c r="G97" s="310">
        <v>9.8000000000000004E-2</v>
      </c>
    </row>
    <row r="98" spans="1:7">
      <c r="A98" s="319" t="s">
        <v>267</v>
      </c>
      <c r="B98" s="308" t="s">
        <v>2340</v>
      </c>
      <c r="C98" s="309">
        <v>9.8000000000000004E-2</v>
      </c>
      <c r="D98" s="309">
        <v>9.8000000000000004E-2</v>
      </c>
      <c r="E98" s="309">
        <v>0.1</v>
      </c>
      <c r="F98" s="309">
        <v>0.1</v>
      </c>
      <c r="G98" s="310">
        <v>9.9000000000000005E-2</v>
      </c>
    </row>
    <row r="99" spans="1:7">
      <c r="A99" s="319" t="s">
        <v>267</v>
      </c>
      <c r="B99" s="308" t="s">
        <v>2341</v>
      </c>
      <c r="C99" s="309">
        <v>9.6000000000000002E-2</v>
      </c>
      <c r="D99" s="309">
        <v>9.6000000000000002E-2</v>
      </c>
      <c r="E99" s="309">
        <v>0.1</v>
      </c>
      <c r="F99" s="309">
        <v>0.1</v>
      </c>
      <c r="G99" s="310">
        <v>9.7000000000000003E-2</v>
      </c>
    </row>
    <row r="100" spans="1:7">
      <c r="A100" s="319" t="s">
        <v>267</v>
      </c>
      <c r="B100" s="308" t="s">
        <v>2342</v>
      </c>
      <c r="C100" s="309">
        <v>0.1</v>
      </c>
      <c r="D100" s="309">
        <v>0.1</v>
      </c>
      <c r="E100" s="309">
        <v>9.7000000000000003E-2</v>
      </c>
      <c r="F100" s="309">
        <v>9.8000000000000004E-2</v>
      </c>
      <c r="G100" s="310">
        <v>0.1</v>
      </c>
    </row>
    <row r="101" spans="1:7">
      <c r="A101" s="319" t="s">
        <v>267</v>
      </c>
      <c r="B101" s="308" t="s">
        <v>2343</v>
      </c>
      <c r="C101" s="309">
        <v>0.1</v>
      </c>
      <c r="D101" s="309">
        <v>0.1</v>
      </c>
      <c r="E101" s="309">
        <v>9.5000000000000001E-2</v>
      </c>
      <c r="F101" s="309">
        <v>0.1</v>
      </c>
      <c r="G101" s="310">
        <v>0.1</v>
      </c>
    </row>
    <row r="102" spans="1:7">
      <c r="A102" s="319" t="s">
        <v>267</v>
      </c>
      <c r="B102" s="308" t="s">
        <v>2344</v>
      </c>
      <c r="C102" s="309">
        <v>0.1</v>
      </c>
      <c r="D102" s="309">
        <v>0.1</v>
      </c>
      <c r="E102" s="309">
        <v>9.9000000000000005E-2</v>
      </c>
      <c r="F102" s="309">
        <v>9.7000000000000003E-2</v>
      </c>
      <c r="G102" s="310">
        <v>0.1</v>
      </c>
    </row>
    <row r="103" spans="1:7">
      <c r="A103" s="319" t="s">
        <v>267</v>
      </c>
      <c r="B103" s="308" t="s">
        <v>2345</v>
      </c>
      <c r="C103" s="309">
        <v>0.1</v>
      </c>
      <c r="D103" s="309">
        <v>0.1</v>
      </c>
      <c r="E103" s="309">
        <v>9.8000000000000004E-2</v>
      </c>
      <c r="F103" s="309">
        <v>0.1</v>
      </c>
      <c r="G103" s="310">
        <v>0.1</v>
      </c>
    </row>
    <row r="104" spans="1:7">
      <c r="A104" s="319" t="s">
        <v>267</v>
      </c>
      <c r="B104" s="308" t="s">
        <v>2346</v>
      </c>
      <c r="C104" s="309">
        <v>0.1</v>
      </c>
      <c r="D104" s="309">
        <v>0.1</v>
      </c>
      <c r="E104" s="309">
        <v>9.8000000000000004E-2</v>
      </c>
      <c r="F104" s="309">
        <v>0.1</v>
      </c>
      <c r="G104" s="310">
        <v>0.1</v>
      </c>
    </row>
    <row r="105" spans="1:7">
      <c r="A105" s="319" t="s">
        <v>267</v>
      </c>
      <c r="B105" s="308" t="s">
        <v>2347</v>
      </c>
      <c r="C105" s="309">
        <v>9.8000000000000004E-2</v>
      </c>
      <c r="D105" s="309">
        <v>9.8000000000000004E-2</v>
      </c>
      <c r="E105" s="309">
        <v>9.8000000000000004E-2</v>
      </c>
      <c r="F105" s="309">
        <v>0.1</v>
      </c>
      <c r="G105" s="310">
        <v>9.9000000000000005E-2</v>
      </c>
    </row>
    <row r="106" spans="1:7">
      <c r="A106" s="319" t="s">
        <v>267</v>
      </c>
      <c r="B106" s="308" t="s">
        <v>2348</v>
      </c>
      <c r="C106" s="309">
        <v>9.7000000000000003E-2</v>
      </c>
      <c r="D106" s="309">
        <v>9.7000000000000003E-2</v>
      </c>
      <c r="E106" s="309">
        <v>9.7000000000000003E-2</v>
      </c>
      <c r="F106" s="309">
        <v>0.1</v>
      </c>
      <c r="G106" s="310">
        <v>9.9000000000000005E-2</v>
      </c>
    </row>
    <row r="107" spans="1:7">
      <c r="A107" s="319" t="s">
        <v>267</v>
      </c>
      <c r="B107" s="308" t="s">
        <v>2349</v>
      </c>
      <c r="C107" s="309">
        <v>0.1</v>
      </c>
      <c r="D107" s="309">
        <v>0.1</v>
      </c>
      <c r="E107" s="309">
        <v>8.5999999999999993E-2</v>
      </c>
      <c r="F107" s="309">
        <v>0.09</v>
      </c>
      <c r="G107" s="310">
        <v>0.1</v>
      </c>
    </row>
    <row r="108" spans="1:7">
      <c r="A108" s="319" t="s">
        <v>267</v>
      </c>
      <c r="B108" s="308" t="s">
        <v>2350</v>
      </c>
      <c r="C108" s="309">
        <v>0.1</v>
      </c>
      <c r="D108" s="309">
        <v>0.1</v>
      </c>
      <c r="E108" s="309">
        <v>9.6000000000000002E-2</v>
      </c>
      <c r="F108" s="320"/>
      <c r="G108" s="310">
        <v>0.1</v>
      </c>
    </row>
    <row r="109" spans="1:7">
      <c r="A109" s="319" t="s">
        <v>267</v>
      </c>
      <c r="B109" s="308" t="s">
        <v>2351</v>
      </c>
      <c r="C109" s="309">
        <v>0.1</v>
      </c>
      <c r="D109" s="309">
        <v>0.1</v>
      </c>
      <c r="E109" s="309">
        <v>0.1</v>
      </c>
      <c r="F109" s="320"/>
      <c r="G109" s="310">
        <v>0.1</v>
      </c>
    </row>
    <row r="110" spans="1:7">
      <c r="A110" s="319" t="s">
        <v>267</v>
      </c>
      <c r="B110" s="308" t="s">
        <v>2352</v>
      </c>
      <c r="C110" s="309">
        <v>0.1</v>
      </c>
      <c r="D110" s="309">
        <v>0.1</v>
      </c>
      <c r="E110" s="309">
        <v>0.1</v>
      </c>
      <c r="F110" s="320"/>
      <c r="G110" s="310">
        <v>0.1</v>
      </c>
    </row>
    <row r="111" spans="1:7">
      <c r="A111" s="319" t="s">
        <v>267</v>
      </c>
      <c r="B111" s="308" t="s">
        <v>2353</v>
      </c>
      <c r="C111" s="309">
        <v>0.1</v>
      </c>
      <c r="D111" s="309">
        <v>0.1</v>
      </c>
      <c r="E111" s="309">
        <v>9.5000000000000001E-2</v>
      </c>
      <c r="F111" s="320"/>
      <c r="G111" s="310">
        <v>0.1</v>
      </c>
    </row>
    <row r="112" spans="1:7">
      <c r="A112" s="319" t="s">
        <v>267</v>
      </c>
      <c r="B112" s="308" t="s">
        <v>2354</v>
      </c>
      <c r="C112" s="309">
        <v>9.7000000000000003E-2</v>
      </c>
      <c r="D112" s="309">
        <v>9.7000000000000003E-2</v>
      </c>
      <c r="E112" s="309">
        <v>0.05</v>
      </c>
      <c r="F112" s="320"/>
      <c r="G112" s="310">
        <v>9.8000000000000004E-2</v>
      </c>
    </row>
    <row r="113" spans="1:7">
      <c r="A113" s="319" t="s">
        <v>267</v>
      </c>
      <c r="B113" s="308" t="s">
        <v>2355</v>
      </c>
      <c r="C113" s="309">
        <v>0.1</v>
      </c>
      <c r="D113" s="309">
        <v>0.1</v>
      </c>
      <c r="E113" s="320"/>
      <c r="F113" s="320"/>
      <c r="G113" s="310">
        <v>0.1</v>
      </c>
    </row>
    <row r="114" spans="1:7">
      <c r="A114" s="319" t="s">
        <v>267</v>
      </c>
      <c r="B114" s="308" t="s">
        <v>2356</v>
      </c>
      <c r="C114" s="309">
        <v>9.7000000000000003E-2</v>
      </c>
      <c r="D114" s="309">
        <v>9.7000000000000003E-2</v>
      </c>
      <c r="E114" s="320"/>
      <c r="F114" s="320"/>
      <c r="G114" s="310">
        <v>9.9000000000000005E-2</v>
      </c>
    </row>
    <row r="115" spans="1:7">
      <c r="A115" s="319" t="s">
        <v>267</v>
      </c>
      <c r="B115" s="308" t="s">
        <v>2357</v>
      </c>
      <c r="C115" s="309">
        <v>0.1</v>
      </c>
      <c r="D115" s="309">
        <v>0.1</v>
      </c>
      <c r="E115" s="320"/>
      <c r="F115" s="320"/>
      <c r="G115" s="310">
        <v>0.1</v>
      </c>
    </row>
    <row r="116" spans="1:7">
      <c r="A116" s="319" t="s">
        <v>267</v>
      </c>
      <c r="B116" s="308" t="s">
        <v>2358</v>
      </c>
      <c r="C116" s="309">
        <v>0.1</v>
      </c>
      <c r="D116" s="309">
        <v>0.1</v>
      </c>
      <c r="E116" s="320"/>
      <c r="F116" s="320"/>
      <c r="G116" s="310">
        <v>0.1</v>
      </c>
    </row>
    <row r="117" spans="1:7">
      <c r="A117" s="319" t="s">
        <v>267</v>
      </c>
      <c r="B117" s="308" t="s">
        <v>2359</v>
      </c>
      <c r="C117" s="309">
        <v>9.7000000000000003E-2</v>
      </c>
      <c r="D117" s="309">
        <v>9.7000000000000003E-2</v>
      </c>
      <c r="E117" s="320"/>
      <c r="F117" s="320"/>
      <c r="G117" s="310">
        <v>9.7000000000000003E-2</v>
      </c>
    </row>
    <row r="118" spans="1:7">
      <c r="A118" s="319" t="s">
        <v>267</v>
      </c>
      <c r="B118" s="308" t="s">
        <v>2360</v>
      </c>
      <c r="C118" s="309">
        <v>0.1</v>
      </c>
      <c r="D118" s="309">
        <v>0.1</v>
      </c>
      <c r="E118" s="320"/>
      <c r="F118" s="320"/>
      <c r="G118" s="310">
        <v>0.1</v>
      </c>
    </row>
    <row r="119" spans="1:7">
      <c r="A119" s="319" t="s">
        <v>267</v>
      </c>
      <c r="B119" s="308" t="s">
        <v>2361</v>
      </c>
      <c r="C119" s="309">
        <v>5.0999999999999997E-2</v>
      </c>
      <c r="D119" s="309">
        <v>5.1999999999999998E-2</v>
      </c>
      <c r="E119" s="320"/>
      <c r="F119" s="325"/>
      <c r="G119" s="310">
        <v>0.06</v>
      </c>
    </row>
    <row r="120" spans="1:7">
      <c r="A120" s="319" t="s">
        <v>267</v>
      </c>
      <c r="B120" s="308" t="s">
        <v>2362</v>
      </c>
      <c r="C120" s="320"/>
      <c r="D120" s="320"/>
      <c r="E120" s="320"/>
      <c r="F120" s="309">
        <v>0.1</v>
      </c>
      <c r="G120" s="326"/>
    </row>
    <row r="121" spans="1:7">
      <c r="A121" s="319" t="s">
        <v>267</v>
      </c>
      <c r="B121" s="308" t="s">
        <v>2363</v>
      </c>
      <c r="C121" s="320"/>
      <c r="D121" s="320"/>
      <c r="E121" s="320"/>
      <c r="F121" s="309">
        <v>0.1</v>
      </c>
      <c r="G121" s="326"/>
    </row>
    <row r="122" spans="1:7">
      <c r="A122" s="319" t="s">
        <v>267</v>
      </c>
      <c r="B122" s="308" t="s">
        <v>2364</v>
      </c>
      <c r="C122" s="309">
        <v>0.1</v>
      </c>
      <c r="D122" s="309">
        <v>0.1</v>
      </c>
      <c r="E122" s="309">
        <v>9.8000000000000004E-2</v>
      </c>
      <c r="F122" s="309">
        <v>0.1</v>
      </c>
      <c r="G122" s="310">
        <v>0.1</v>
      </c>
    </row>
    <row r="123" spans="1:7">
      <c r="A123" s="319" t="s">
        <v>267</v>
      </c>
      <c r="B123" s="308" t="s">
        <v>2365</v>
      </c>
      <c r="C123" s="309">
        <v>0.1</v>
      </c>
      <c r="D123" s="309">
        <v>0.1</v>
      </c>
      <c r="E123" s="309">
        <v>9.8000000000000004E-2</v>
      </c>
      <c r="F123" s="309">
        <v>0.1</v>
      </c>
      <c r="G123" s="310">
        <v>0.1</v>
      </c>
    </row>
    <row r="124" spans="1:7">
      <c r="A124" s="319" t="s">
        <v>267</v>
      </c>
      <c r="B124" s="308" t="s">
        <v>2366</v>
      </c>
      <c r="C124" s="309">
        <v>0.1</v>
      </c>
      <c r="D124" s="309">
        <v>0.1</v>
      </c>
      <c r="E124" s="309">
        <v>9.8000000000000004E-2</v>
      </c>
      <c r="F124" s="325"/>
      <c r="G124" s="310">
        <v>0.1</v>
      </c>
    </row>
    <row r="125" spans="1:7">
      <c r="A125" s="319" t="s">
        <v>267</v>
      </c>
      <c r="B125" s="308" t="s">
        <v>2367</v>
      </c>
      <c r="C125" s="309">
        <v>9.8000000000000004E-2</v>
      </c>
      <c r="D125" s="309">
        <v>9.8000000000000004E-2</v>
      </c>
      <c r="E125" s="309">
        <v>9.6000000000000002E-2</v>
      </c>
      <c r="F125" s="325"/>
      <c r="G125" s="310">
        <v>0.1</v>
      </c>
    </row>
    <row r="126" spans="1:7">
      <c r="A126" s="322" t="s">
        <v>267</v>
      </c>
      <c r="B126" s="312" t="s">
        <v>2368</v>
      </c>
      <c r="C126" s="313">
        <v>0.1</v>
      </c>
      <c r="D126" s="313">
        <v>0.1</v>
      </c>
      <c r="E126" s="313">
        <v>9.8000000000000004E-2</v>
      </c>
      <c r="F126" s="313">
        <v>0.1</v>
      </c>
      <c r="G126" s="315">
        <v>0.1</v>
      </c>
    </row>
    <row r="127" spans="1:7">
      <c r="A127" s="318" t="s">
        <v>273</v>
      </c>
      <c r="B127" s="304" t="s">
        <v>2369</v>
      </c>
      <c r="C127" s="305">
        <v>0.121</v>
      </c>
      <c r="D127" s="305">
        <v>0.121</v>
      </c>
      <c r="E127" s="305">
        <v>0.107</v>
      </c>
      <c r="F127" s="305">
        <v>0.13</v>
      </c>
      <c r="G127" s="306">
        <v>0.122</v>
      </c>
    </row>
    <row r="128" spans="1:7">
      <c r="A128" s="319" t="s">
        <v>273</v>
      </c>
      <c r="B128" s="308" t="s">
        <v>2370</v>
      </c>
      <c r="C128" s="309">
        <v>0.11600000000000001</v>
      </c>
      <c r="D128" s="309">
        <v>0.11700000000000001</v>
      </c>
      <c r="E128" s="309">
        <v>0.104</v>
      </c>
      <c r="F128" s="309">
        <v>0.13</v>
      </c>
      <c r="G128" s="310">
        <v>0.11700000000000001</v>
      </c>
    </row>
    <row r="129" spans="1:7">
      <c r="A129" s="319" t="s">
        <v>273</v>
      </c>
      <c r="B129" s="308" t="s">
        <v>2371</v>
      </c>
      <c r="C129" s="309">
        <v>0.107</v>
      </c>
      <c r="D129" s="309">
        <v>0.108</v>
      </c>
      <c r="E129" s="309">
        <v>0.1</v>
      </c>
      <c r="F129" s="309">
        <v>0.13</v>
      </c>
      <c r="G129" s="310">
        <v>0.11700000000000001</v>
      </c>
    </row>
    <row r="130" spans="1:7">
      <c r="A130" s="319" t="s">
        <v>273</v>
      </c>
      <c r="B130" s="308" t="s">
        <v>2372</v>
      </c>
      <c r="C130" s="309">
        <v>0.13</v>
      </c>
      <c r="D130" s="309">
        <v>0.13</v>
      </c>
      <c r="E130" s="309">
        <v>0.126</v>
      </c>
      <c r="F130" s="309">
        <v>0.13</v>
      </c>
      <c r="G130" s="310">
        <v>0.13</v>
      </c>
    </row>
    <row r="131" spans="1:7">
      <c r="A131" s="319" t="s">
        <v>273</v>
      </c>
      <c r="B131" s="308" t="s">
        <v>2373</v>
      </c>
      <c r="C131" s="309">
        <v>0.13</v>
      </c>
      <c r="D131" s="309">
        <v>0.13</v>
      </c>
      <c r="E131" s="309">
        <v>0.13</v>
      </c>
      <c r="F131" s="309">
        <v>0.13</v>
      </c>
      <c r="G131" s="310">
        <v>0.13</v>
      </c>
    </row>
    <row r="132" spans="1:7">
      <c r="A132" s="319" t="s">
        <v>273</v>
      </c>
      <c r="B132" s="308" t="s">
        <v>2374</v>
      </c>
      <c r="C132" s="309">
        <v>0.13</v>
      </c>
      <c r="D132" s="309">
        <v>0.13</v>
      </c>
      <c r="E132" s="309">
        <v>0.126</v>
      </c>
      <c r="F132" s="309">
        <v>0.13</v>
      </c>
      <c r="G132" s="310">
        <v>0.13</v>
      </c>
    </row>
    <row r="133" spans="1:7">
      <c r="A133" s="319" t="s">
        <v>273</v>
      </c>
      <c r="B133" s="308" t="s">
        <v>2375</v>
      </c>
      <c r="C133" s="309">
        <v>0.111</v>
      </c>
      <c r="D133" s="309">
        <v>0.111</v>
      </c>
      <c r="E133" s="309">
        <v>0.10199999999999999</v>
      </c>
      <c r="F133" s="309">
        <v>0.13</v>
      </c>
      <c r="G133" s="310">
        <v>0.121</v>
      </c>
    </row>
    <row r="134" spans="1:7">
      <c r="A134" s="319" t="s">
        <v>273</v>
      </c>
      <c r="B134" s="308" t="s">
        <v>2376</v>
      </c>
      <c r="C134" s="309">
        <v>0.121</v>
      </c>
      <c r="D134" s="309">
        <v>0.121</v>
      </c>
      <c r="E134" s="309">
        <v>0.1</v>
      </c>
      <c r="F134" s="309">
        <v>0.13</v>
      </c>
      <c r="G134" s="310">
        <v>0.123</v>
      </c>
    </row>
    <row r="135" spans="1:7">
      <c r="A135" s="319" t="s">
        <v>273</v>
      </c>
      <c r="B135" s="308" t="s">
        <v>2377</v>
      </c>
      <c r="C135" s="309">
        <v>0.105</v>
      </c>
      <c r="D135" s="309">
        <v>0.106</v>
      </c>
      <c r="E135" s="309">
        <v>0.1</v>
      </c>
      <c r="F135" s="309">
        <v>0.13</v>
      </c>
      <c r="G135" s="310">
        <v>0.115</v>
      </c>
    </row>
    <row r="136" spans="1:7">
      <c r="A136" s="319" t="s">
        <v>273</v>
      </c>
      <c r="B136" s="308" t="s">
        <v>2378</v>
      </c>
      <c r="C136" s="309">
        <v>0.127</v>
      </c>
      <c r="D136" s="309">
        <v>0.127</v>
      </c>
      <c r="E136" s="309">
        <v>0.121</v>
      </c>
      <c r="F136" s="309">
        <v>0.123</v>
      </c>
      <c r="G136" s="310">
        <v>0.129</v>
      </c>
    </row>
    <row r="137" spans="1:7">
      <c r="A137" s="319" t="s">
        <v>273</v>
      </c>
      <c r="B137" s="308" t="s">
        <v>2379</v>
      </c>
      <c r="C137" s="309">
        <v>0.13</v>
      </c>
      <c r="D137" s="309">
        <v>0.13</v>
      </c>
      <c r="E137" s="309">
        <v>0.129</v>
      </c>
      <c r="F137" s="309">
        <v>0.13</v>
      </c>
      <c r="G137" s="310">
        <v>0.13</v>
      </c>
    </row>
    <row r="138" spans="1:7">
      <c r="A138" s="319" t="s">
        <v>273</v>
      </c>
      <c r="B138" s="308" t="s">
        <v>2380</v>
      </c>
      <c r="C138" s="309">
        <v>0.13</v>
      </c>
      <c r="D138" s="309">
        <v>0.13</v>
      </c>
      <c r="E138" s="309">
        <v>0.125</v>
      </c>
      <c r="F138" s="309">
        <v>0.13</v>
      </c>
      <c r="G138" s="310">
        <v>0.13</v>
      </c>
    </row>
    <row r="139" spans="1:7">
      <c r="A139" s="319" t="s">
        <v>273</v>
      </c>
      <c r="B139" s="308" t="s">
        <v>2381</v>
      </c>
      <c r="C139" s="309">
        <v>0.13</v>
      </c>
      <c r="D139" s="309">
        <v>0.13</v>
      </c>
      <c r="E139" s="309">
        <v>0.126</v>
      </c>
      <c r="F139" s="309">
        <v>0.13</v>
      </c>
      <c r="G139" s="310">
        <v>0.13</v>
      </c>
    </row>
    <row r="140" spans="1:7">
      <c r="A140" s="319" t="s">
        <v>273</v>
      </c>
      <c r="B140" s="308" t="s">
        <v>2382</v>
      </c>
      <c r="C140" s="309">
        <v>0.1</v>
      </c>
      <c r="D140" s="309">
        <v>0.1</v>
      </c>
      <c r="E140" s="309">
        <v>0.1</v>
      </c>
      <c r="F140" s="309">
        <v>0.123</v>
      </c>
      <c r="G140" s="310">
        <v>0.107</v>
      </c>
    </row>
    <row r="141" spans="1:7">
      <c r="A141" s="319" t="s">
        <v>273</v>
      </c>
      <c r="B141" s="308" t="s">
        <v>2383</v>
      </c>
      <c r="C141" s="309">
        <v>0.127</v>
      </c>
      <c r="D141" s="309">
        <v>0.127</v>
      </c>
      <c r="E141" s="309">
        <v>0.122</v>
      </c>
      <c r="F141" s="309">
        <v>0.1</v>
      </c>
      <c r="G141" s="310">
        <v>0.129</v>
      </c>
    </row>
    <row r="142" spans="1:7">
      <c r="A142" s="319" t="s">
        <v>273</v>
      </c>
      <c r="B142" s="308" t="s">
        <v>2384</v>
      </c>
      <c r="C142" s="309">
        <v>0.121</v>
      </c>
      <c r="D142" s="309">
        <v>0.122</v>
      </c>
      <c r="E142" s="309">
        <v>0.1</v>
      </c>
      <c r="F142" s="309">
        <v>0.123</v>
      </c>
      <c r="G142" s="310">
        <v>0.123</v>
      </c>
    </row>
    <row r="143" spans="1:7">
      <c r="A143" s="319" t="s">
        <v>273</v>
      </c>
      <c r="B143" s="308" t="s">
        <v>2385</v>
      </c>
      <c r="C143" s="309">
        <v>0.1</v>
      </c>
      <c r="D143" s="309">
        <v>0.1</v>
      </c>
      <c r="E143" s="309">
        <v>0.1</v>
      </c>
      <c r="F143" s="309">
        <v>0.13</v>
      </c>
      <c r="G143" s="310">
        <v>0.1</v>
      </c>
    </row>
    <row r="144" spans="1:7">
      <c r="A144" s="319" t="s">
        <v>273</v>
      </c>
      <c r="B144" s="308" t="s">
        <v>2386</v>
      </c>
      <c r="C144" s="309">
        <v>0.106</v>
      </c>
      <c r="D144" s="309">
        <v>0.105</v>
      </c>
      <c r="E144" s="309">
        <v>0.1</v>
      </c>
      <c r="F144" s="309">
        <v>0.13</v>
      </c>
      <c r="G144" s="310">
        <v>0.11799999999999999</v>
      </c>
    </row>
    <row r="145" spans="1:7">
      <c r="A145" s="319" t="s">
        <v>273</v>
      </c>
      <c r="B145" s="308" t="s">
        <v>2387</v>
      </c>
      <c r="C145" s="309">
        <v>0.123</v>
      </c>
      <c r="D145" s="309">
        <v>0.123</v>
      </c>
      <c r="E145" s="309">
        <v>0.11700000000000001</v>
      </c>
      <c r="F145" s="309">
        <v>0.13</v>
      </c>
      <c r="G145" s="310">
        <v>0.126</v>
      </c>
    </row>
    <row r="146" spans="1:7">
      <c r="A146" s="319" t="s">
        <v>273</v>
      </c>
      <c r="B146" s="308" t="s">
        <v>2388</v>
      </c>
      <c r="C146" s="309">
        <v>0.127</v>
      </c>
      <c r="D146" s="309">
        <v>0.127</v>
      </c>
      <c r="E146" s="309">
        <v>0.12</v>
      </c>
      <c r="F146" s="320"/>
      <c r="G146" s="310">
        <v>0.129</v>
      </c>
    </row>
    <row r="147" spans="1:7">
      <c r="A147" s="319" t="s">
        <v>273</v>
      </c>
      <c r="B147" s="308" t="s">
        <v>2389</v>
      </c>
      <c r="C147" s="309">
        <v>0.13</v>
      </c>
      <c r="D147" s="309">
        <v>0.13</v>
      </c>
      <c r="E147" s="309">
        <v>0.126</v>
      </c>
      <c r="F147" s="320"/>
      <c r="G147" s="310">
        <v>0.13</v>
      </c>
    </row>
    <row r="148" spans="1:7">
      <c r="A148" s="319" t="s">
        <v>273</v>
      </c>
      <c r="B148" s="308" t="s">
        <v>2390</v>
      </c>
      <c r="C148" s="309">
        <v>0.13</v>
      </c>
      <c r="D148" s="309">
        <v>0.13</v>
      </c>
      <c r="E148" s="309">
        <v>0.13</v>
      </c>
      <c r="F148" s="320"/>
      <c r="G148" s="310">
        <v>0.13</v>
      </c>
    </row>
    <row r="149" spans="1:7">
      <c r="A149" s="319" t="s">
        <v>273</v>
      </c>
      <c r="B149" s="308" t="s">
        <v>2391</v>
      </c>
      <c r="C149" s="309">
        <v>0.13</v>
      </c>
      <c r="D149" s="309">
        <v>0.13</v>
      </c>
      <c r="E149" s="309">
        <v>0.13</v>
      </c>
      <c r="F149" s="309">
        <v>0.13</v>
      </c>
      <c r="G149" s="310">
        <v>0.13</v>
      </c>
    </row>
    <row r="150" spans="1:7">
      <c r="A150" s="319" t="s">
        <v>273</v>
      </c>
      <c r="B150" s="308" t="s">
        <v>2392</v>
      </c>
      <c r="C150" s="309">
        <v>0.13</v>
      </c>
      <c r="D150" s="309">
        <v>0.13</v>
      </c>
      <c r="E150" s="309">
        <v>0.127</v>
      </c>
      <c r="F150" s="309">
        <v>0.13</v>
      </c>
      <c r="G150" s="310">
        <v>0.13</v>
      </c>
    </row>
    <row r="151" spans="1:7">
      <c r="A151" s="319" t="s">
        <v>273</v>
      </c>
      <c r="B151" s="308" t="s">
        <v>2393</v>
      </c>
      <c r="C151" s="309">
        <v>0.13</v>
      </c>
      <c r="D151" s="309">
        <v>0.13</v>
      </c>
      <c r="E151" s="309">
        <v>0.13</v>
      </c>
      <c r="F151" s="309">
        <v>0.13</v>
      </c>
      <c r="G151" s="310">
        <v>0.13</v>
      </c>
    </row>
    <row r="152" spans="1:7">
      <c r="A152" s="319" t="s">
        <v>273</v>
      </c>
      <c r="B152" s="308" t="s">
        <v>2394</v>
      </c>
      <c r="C152" s="309">
        <v>0.13</v>
      </c>
      <c r="D152" s="309">
        <v>0.13</v>
      </c>
      <c r="E152" s="309">
        <v>0.13</v>
      </c>
      <c r="F152" s="309">
        <v>0.13</v>
      </c>
      <c r="G152" s="310">
        <v>0.13</v>
      </c>
    </row>
    <row r="153" spans="1:7">
      <c r="A153" s="319" t="s">
        <v>273</v>
      </c>
      <c r="B153" s="308" t="s">
        <v>2395</v>
      </c>
      <c r="C153" s="309">
        <v>0.13</v>
      </c>
      <c r="D153" s="309">
        <v>0.13</v>
      </c>
      <c r="E153" s="309">
        <v>0.13</v>
      </c>
      <c r="F153" s="309">
        <v>0.13</v>
      </c>
      <c r="G153" s="310">
        <v>0.13</v>
      </c>
    </row>
    <row r="154" spans="1:7">
      <c r="A154" s="319" t="s">
        <v>273</v>
      </c>
      <c r="B154" s="308" t="s">
        <v>2396</v>
      </c>
      <c r="C154" s="309">
        <v>0.121</v>
      </c>
      <c r="D154" s="309">
        <v>0.121</v>
      </c>
      <c r="E154" s="309">
        <v>0.105</v>
      </c>
      <c r="F154" s="309">
        <v>0.121</v>
      </c>
      <c r="G154" s="310">
        <v>0.123</v>
      </c>
    </row>
    <row r="155" spans="1:7">
      <c r="A155" s="319" t="s">
        <v>273</v>
      </c>
      <c r="B155" s="308" t="s">
        <v>2397</v>
      </c>
      <c r="C155" s="309">
        <v>0.1</v>
      </c>
      <c r="D155" s="309">
        <v>0.1</v>
      </c>
      <c r="E155" s="309">
        <v>0.1</v>
      </c>
      <c r="F155" s="309">
        <v>0.1</v>
      </c>
      <c r="G155" s="310">
        <v>0.1</v>
      </c>
    </row>
    <row r="156" spans="1:7">
      <c r="A156" s="319" t="s">
        <v>273</v>
      </c>
      <c r="B156" s="308" t="s">
        <v>2398</v>
      </c>
      <c r="C156" s="309">
        <v>0.13</v>
      </c>
      <c r="D156" s="309">
        <v>0.13</v>
      </c>
      <c r="E156" s="309">
        <v>0.13</v>
      </c>
      <c r="F156" s="309">
        <v>0.13</v>
      </c>
      <c r="G156" s="310">
        <v>0.13</v>
      </c>
    </row>
    <row r="157" spans="1:7">
      <c r="A157" s="319" t="s">
        <v>273</v>
      </c>
      <c r="B157" s="308" t="s">
        <v>2399</v>
      </c>
      <c r="C157" s="309">
        <v>0.13</v>
      </c>
      <c r="D157" s="309">
        <v>0.13</v>
      </c>
      <c r="E157" s="309">
        <v>0.125</v>
      </c>
      <c r="F157" s="309">
        <v>0.13</v>
      </c>
      <c r="G157" s="310">
        <v>0.13</v>
      </c>
    </row>
    <row r="158" spans="1:7">
      <c r="A158" s="319" t="s">
        <v>273</v>
      </c>
      <c r="B158" s="308" t="s">
        <v>2400</v>
      </c>
      <c r="C158" s="309">
        <v>0.124</v>
      </c>
      <c r="D158" s="309">
        <v>0.124</v>
      </c>
      <c r="E158" s="309">
        <v>0.11700000000000001</v>
      </c>
      <c r="F158" s="309">
        <v>0.121</v>
      </c>
      <c r="G158" s="310">
        <v>0.124</v>
      </c>
    </row>
    <row r="159" spans="1:7">
      <c r="A159" s="319" t="s">
        <v>273</v>
      </c>
      <c r="B159" s="308" t="s">
        <v>2401</v>
      </c>
      <c r="C159" s="309">
        <v>0.127</v>
      </c>
      <c r="D159" s="309">
        <v>0.127</v>
      </c>
      <c r="E159" s="309">
        <v>0.122</v>
      </c>
      <c r="F159" s="309">
        <v>0.13</v>
      </c>
      <c r="G159" s="310">
        <v>0.129</v>
      </c>
    </row>
    <row r="160" spans="1:7">
      <c r="A160" s="319" t="s">
        <v>273</v>
      </c>
      <c r="B160" s="308" t="s">
        <v>2402</v>
      </c>
      <c r="C160" s="309">
        <v>0.13</v>
      </c>
      <c r="D160" s="309">
        <v>0.13</v>
      </c>
      <c r="E160" s="309">
        <v>0.124</v>
      </c>
      <c r="F160" s="309">
        <v>0.126</v>
      </c>
      <c r="G160" s="310">
        <v>0.13</v>
      </c>
    </row>
    <row r="161" spans="1:7">
      <c r="A161" s="319" t="s">
        <v>273</v>
      </c>
      <c r="B161" s="308" t="s">
        <v>2403</v>
      </c>
      <c r="C161" s="309">
        <v>0.13</v>
      </c>
      <c r="D161" s="309">
        <v>0.13</v>
      </c>
      <c r="E161" s="309">
        <v>0.124</v>
      </c>
      <c r="F161" s="309">
        <v>0.127</v>
      </c>
      <c r="G161" s="310">
        <v>0.13</v>
      </c>
    </row>
    <row r="162" spans="1:7">
      <c r="A162" s="319" t="s">
        <v>273</v>
      </c>
      <c r="B162" s="308" t="s">
        <v>2404</v>
      </c>
      <c r="C162" s="309">
        <v>0.1</v>
      </c>
      <c r="D162" s="309">
        <v>0.1</v>
      </c>
      <c r="E162" s="309">
        <v>0.1</v>
      </c>
      <c r="F162" s="309">
        <v>0.121</v>
      </c>
      <c r="G162" s="310">
        <v>0.105</v>
      </c>
    </row>
    <row r="163" spans="1:7">
      <c r="A163" s="319" t="s">
        <v>273</v>
      </c>
      <c r="B163" s="308" t="s">
        <v>2405</v>
      </c>
      <c r="C163" s="309">
        <v>0.1</v>
      </c>
      <c r="D163" s="309">
        <v>0.1</v>
      </c>
      <c r="E163" s="309">
        <v>0.1</v>
      </c>
      <c r="F163" s="309">
        <v>0.1</v>
      </c>
      <c r="G163" s="310">
        <v>0.1</v>
      </c>
    </row>
    <row r="164" spans="1:7">
      <c r="A164" s="319" t="s">
        <v>273</v>
      </c>
      <c r="B164" s="308" t="s">
        <v>2406</v>
      </c>
      <c r="C164" s="325"/>
      <c r="D164" s="325"/>
      <c r="E164" s="325"/>
      <c r="F164" s="309">
        <v>0.1</v>
      </c>
      <c r="G164" s="321"/>
    </row>
    <row r="165" spans="1:7">
      <c r="A165" s="319" t="s">
        <v>273</v>
      </c>
      <c r="B165" s="308" t="s">
        <v>2407</v>
      </c>
      <c r="C165" s="309">
        <v>0.126</v>
      </c>
      <c r="D165" s="309">
        <v>0.126</v>
      </c>
      <c r="E165" s="309">
        <v>0.11899999999999999</v>
      </c>
      <c r="F165" s="309">
        <v>0.13</v>
      </c>
      <c r="G165" s="310">
        <v>0.128</v>
      </c>
    </row>
    <row r="166" spans="1:7">
      <c r="A166" s="319" t="s">
        <v>273</v>
      </c>
      <c r="B166" s="308" t="s">
        <v>2408</v>
      </c>
      <c r="C166" s="309">
        <v>0.129</v>
      </c>
      <c r="D166" s="309">
        <v>0.129</v>
      </c>
      <c r="E166" s="309">
        <v>0.123</v>
      </c>
      <c r="F166" s="309">
        <v>0.128</v>
      </c>
      <c r="G166" s="310">
        <v>0.13</v>
      </c>
    </row>
    <row r="167" spans="1:7">
      <c r="A167" s="319" t="s">
        <v>273</v>
      </c>
      <c r="B167" s="308" t="s">
        <v>2409</v>
      </c>
      <c r="C167" s="309">
        <v>0.125</v>
      </c>
      <c r="D167" s="309">
        <v>0.125</v>
      </c>
      <c r="E167" s="309">
        <v>0.11700000000000001</v>
      </c>
      <c r="F167" s="309">
        <v>0.13</v>
      </c>
      <c r="G167" s="310">
        <v>0.126</v>
      </c>
    </row>
    <row r="168" spans="1:7">
      <c r="A168" s="319" t="s">
        <v>273</v>
      </c>
      <c r="B168" s="308" t="s">
        <v>2410</v>
      </c>
      <c r="C168" s="309">
        <v>0.128</v>
      </c>
      <c r="D168" s="309">
        <v>0.128</v>
      </c>
      <c r="E168" s="309">
        <v>0.123</v>
      </c>
      <c r="F168" s="320"/>
      <c r="G168" s="310">
        <v>0.13</v>
      </c>
    </row>
    <row r="169" spans="1:7">
      <c r="A169" s="319" t="s">
        <v>273</v>
      </c>
      <c r="B169" s="308" t="s">
        <v>2411</v>
      </c>
      <c r="C169" s="325"/>
      <c r="D169" s="325"/>
      <c r="E169" s="325"/>
      <c r="F169" s="309">
        <v>0.05</v>
      </c>
      <c r="G169" s="321"/>
    </row>
    <row r="170" spans="1:7">
      <c r="A170" s="319" t="s">
        <v>273</v>
      </c>
      <c r="B170" s="308" t="s">
        <v>2412</v>
      </c>
      <c r="C170" s="325"/>
      <c r="D170" s="325"/>
      <c r="E170" s="325"/>
      <c r="F170" s="309">
        <v>0.05</v>
      </c>
      <c r="G170" s="321"/>
    </row>
    <row r="171" spans="1:7">
      <c r="A171" s="319" t="s">
        <v>273</v>
      </c>
      <c r="B171" s="308" t="s">
        <v>2413</v>
      </c>
      <c r="C171" s="325"/>
      <c r="D171" s="325"/>
      <c r="E171" s="325"/>
      <c r="F171" s="309">
        <v>0.05</v>
      </c>
      <c r="G171" s="326"/>
    </row>
    <row r="172" spans="1:7">
      <c r="A172" s="319" t="s">
        <v>273</v>
      </c>
      <c r="B172" s="308" t="s">
        <v>2414</v>
      </c>
      <c r="C172" s="325"/>
      <c r="D172" s="325"/>
      <c r="E172" s="325"/>
      <c r="F172" s="309">
        <v>0.05</v>
      </c>
      <c r="G172" s="326"/>
    </row>
    <row r="173" spans="1:7">
      <c r="A173" s="319" t="s">
        <v>273</v>
      </c>
      <c r="B173" s="308" t="s">
        <v>2415</v>
      </c>
      <c r="C173" s="325"/>
      <c r="D173" s="325"/>
      <c r="E173" s="325"/>
      <c r="F173" s="309">
        <v>0.05</v>
      </c>
      <c r="G173" s="321"/>
    </row>
    <row r="174" spans="1:7">
      <c r="A174" s="319" t="s">
        <v>273</v>
      </c>
      <c r="B174" s="308" t="s">
        <v>2416</v>
      </c>
      <c r="C174" s="325"/>
      <c r="D174" s="325"/>
      <c r="E174" s="325"/>
      <c r="F174" s="309">
        <v>0.05</v>
      </c>
      <c r="G174" s="321"/>
    </row>
    <row r="175" spans="1:7">
      <c r="A175" s="319" t="s">
        <v>273</v>
      </c>
      <c r="B175" s="308" t="s">
        <v>2417</v>
      </c>
      <c r="C175" s="325"/>
      <c r="D175" s="325"/>
      <c r="E175" s="325"/>
      <c r="F175" s="309">
        <v>0.05</v>
      </c>
      <c r="G175" s="321"/>
    </row>
    <row r="176" spans="1:7">
      <c r="A176" s="319" t="s">
        <v>273</v>
      </c>
      <c r="B176" s="308" t="s">
        <v>2418</v>
      </c>
      <c r="C176" s="325"/>
      <c r="D176" s="325"/>
      <c r="E176" s="325"/>
      <c r="F176" s="309">
        <v>0.05</v>
      </c>
      <c r="G176" s="321"/>
    </row>
    <row r="177" spans="1:7">
      <c r="A177" s="319" t="s">
        <v>273</v>
      </c>
      <c r="B177" s="308" t="s">
        <v>2419</v>
      </c>
      <c r="C177" s="320"/>
      <c r="D177" s="320"/>
      <c r="E177" s="320"/>
      <c r="F177" s="309">
        <v>0.05</v>
      </c>
      <c r="G177" s="326"/>
    </row>
    <row r="178" spans="1:7">
      <c r="A178" s="319" t="s">
        <v>273</v>
      </c>
      <c r="B178" s="308" t="s">
        <v>2420</v>
      </c>
      <c r="C178" s="320"/>
      <c r="D178" s="320"/>
      <c r="E178" s="320"/>
      <c r="F178" s="309">
        <v>0.05</v>
      </c>
      <c r="G178" s="326"/>
    </row>
    <row r="179" spans="1:7">
      <c r="A179" s="319" t="s">
        <v>273</v>
      </c>
      <c r="B179" s="308" t="s">
        <v>2421</v>
      </c>
      <c r="C179" s="320"/>
      <c r="D179" s="320"/>
      <c r="E179" s="320"/>
      <c r="F179" s="309">
        <v>0.05</v>
      </c>
      <c r="G179" s="326"/>
    </row>
    <row r="180" spans="1:7">
      <c r="A180" s="319" t="s">
        <v>273</v>
      </c>
      <c r="B180" s="308" t="s">
        <v>2422</v>
      </c>
      <c r="C180" s="320"/>
      <c r="D180" s="320"/>
      <c r="E180" s="320"/>
      <c r="F180" s="309">
        <v>0.05</v>
      </c>
      <c r="G180" s="326"/>
    </row>
    <row r="181" spans="1:7">
      <c r="A181" s="319" t="s">
        <v>273</v>
      </c>
      <c r="B181" s="308" t="s">
        <v>2423</v>
      </c>
      <c r="C181" s="320"/>
      <c r="D181" s="320"/>
      <c r="E181" s="320"/>
      <c r="F181" s="309">
        <v>0.05</v>
      </c>
      <c r="G181" s="326"/>
    </row>
    <row r="182" spans="1:7">
      <c r="A182" s="319" t="s">
        <v>273</v>
      </c>
      <c r="B182" s="308" t="s">
        <v>2424</v>
      </c>
      <c r="C182" s="320"/>
      <c r="D182" s="320"/>
      <c r="E182" s="320"/>
      <c r="F182" s="309">
        <v>0.05</v>
      </c>
      <c r="G182" s="326"/>
    </row>
    <row r="183" spans="1:7">
      <c r="A183" s="319" t="s">
        <v>273</v>
      </c>
      <c r="B183" s="308" t="s">
        <v>2425</v>
      </c>
      <c r="C183" s="320"/>
      <c r="D183" s="320"/>
      <c r="E183" s="320"/>
      <c r="F183" s="309">
        <v>0.05</v>
      </c>
      <c r="G183" s="326"/>
    </row>
    <row r="184" spans="1:7">
      <c r="A184" s="319" t="s">
        <v>273</v>
      </c>
      <c r="B184" s="308" t="s">
        <v>2426</v>
      </c>
      <c r="C184" s="320"/>
      <c r="D184" s="320"/>
      <c r="E184" s="320"/>
      <c r="F184" s="309">
        <v>0.05</v>
      </c>
      <c r="G184" s="326"/>
    </row>
    <row r="185" spans="1:7">
      <c r="A185" s="319" t="s">
        <v>273</v>
      </c>
      <c r="B185" s="308" t="s">
        <v>2427</v>
      </c>
      <c r="C185" s="320"/>
      <c r="D185" s="320"/>
      <c r="E185" s="320"/>
      <c r="F185" s="309">
        <v>0.05</v>
      </c>
      <c r="G185" s="326"/>
    </row>
    <row r="186" spans="1:7">
      <c r="A186" s="319" t="s">
        <v>273</v>
      </c>
      <c r="B186" s="308" t="s">
        <v>2428</v>
      </c>
      <c r="C186" s="320"/>
      <c r="D186" s="320"/>
      <c r="E186" s="320"/>
      <c r="F186" s="309">
        <v>0.05</v>
      </c>
      <c r="G186" s="326"/>
    </row>
    <row r="187" spans="1:7">
      <c r="A187" s="319" t="s">
        <v>273</v>
      </c>
      <c r="B187" s="308" t="s">
        <v>2429</v>
      </c>
      <c r="C187" s="320"/>
      <c r="D187" s="320"/>
      <c r="E187" s="320"/>
      <c r="F187" s="309">
        <v>0.05</v>
      </c>
      <c r="G187" s="326"/>
    </row>
    <row r="188" spans="1:7">
      <c r="A188" s="319" t="s">
        <v>273</v>
      </c>
      <c r="B188" s="308" t="s">
        <v>2430</v>
      </c>
      <c r="C188" s="320"/>
      <c r="D188" s="320"/>
      <c r="E188" s="320"/>
      <c r="F188" s="309">
        <v>0.05</v>
      </c>
      <c r="G188" s="326"/>
    </row>
    <row r="189" spans="1:7">
      <c r="A189" s="322" t="s">
        <v>273</v>
      </c>
      <c r="B189" s="312" t="s">
        <v>2431</v>
      </c>
      <c r="C189" s="314"/>
      <c r="D189" s="314"/>
      <c r="E189" s="314"/>
      <c r="F189" s="313">
        <v>0.05</v>
      </c>
      <c r="G189" s="327"/>
    </row>
    <row r="190" spans="1:7">
      <c r="A190" s="318" t="s">
        <v>278</v>
      </c>
      <c r="B190" s="304" t="s">
        <v>2432</v>
      </c>
      <c r="C190" s="305">
        <v>0.124</v>
      </c>
      <c r="D190" s="305">
        <v>0.124</v>
      </c>
      <c r="E190" s="305">
        <v>0.129</v>
      </c>
      <c r="F190" s="305">
        <v>0.13</v>
      </c>
      <c r="G190" s="306">
        <v>0.127</v>
      </c>
    </row>
    <row r="191" spans="1:7">
      <c r="A191" s="319" t="s">
        <v>278</v>
      </c>
      <c r="B191" s="308" t="s">
        <v>2433</v>
      </c>
      <c r="C191" s="309">
        <v>0.13</v>
      </c>
      <c r="D191" s="309">
        <v>0.13</v>
      </c>
      <c r="E191" s="309">
        <v>0.13</v>
      </c>
      <c r="F191" s="309">
        <v>0.13</v>
      </c>
      <c r="G191" s="310">
        <v>0.13</v>
      </c>
    </row>
    <row r="192" spans="1:7">
      <c r="A192" s="319" t="s">
        <v>278</v>
      </c>
      <c r="B192" s="308" t="s">
        <v>2434</v>
      </c>
      <c r="C192" s="309">
        <v>0.13</v>
      </c>
      <c r="D192" s="309">
        <v>0.13</v>
      </c>
      <c r="E192" s="309">
        <v>0.13</v>
      </c>
      <c r="F192" s="309">
        <v>0.13</v>
      </c>
      <c r="G192" s="310">
        <v>0.13</v>
      </c>
    </row>
    <row r="193" spans="1:7">
      <c r="A193" s="319" t="s">
        <v>278</v>
      </c>
      <c r="B193" s="308" t="s">
        <v>2435</v>
      </c>
      <c r="C193" s="309">
        <v>0.13</v>
      </c>
      <c r="D193" s="309">
        <v>0.13</v>
      </c>
      <c r="E193" s="309">
        <v>0.13</v>
      </c>
      <c r="F193" s="309">
        <v>0.13</v>
      </c>
      <c r="G193" s="310">
        <v>0.13</v>
      </c>
    </row>
    <row r="194" spans="1:7">
      <c r="A194" s="319" t="s">
        <v>278</v>
      </c>
      <c r="B194" s="308" t="s">
        <v>2436</v>
      </c>
      <c r="C194" s="309">
        <v>0.123</v>
      </c>
      <c r="D194" s="309">
        <v>0.123</v>
      </c>
      <c r="E194" s="309">
        <v>0.128</v>
      </c>
      <c r="F194" s="309">
        <v>0.13</v>
      </c>
      <c r="G194" s="310">
        <v>0.126</v>
      </c>
    </row>
    <row r="195" spans="1:7">
      <c r="A195" s="319" t="s">
        <v>278</v>
      </c>
      <c r="B195" s="308" t="s">
        <v>2437</v>
      </c>
      <c r="C195" s="309">
        <v>0.127</v>
      </c>
      <c r="D195" s="309">
        <v>0.127</v>
      </c>
      <c r="E195" s="309">
        <v>0.121</v>
      </c>
      <c r="F195" s="309">
        <v>0.129</v>
      </c>
      <c r="G195" s="310">
        <v>0.129</v>
      </c>
    </row>
    <row r="196" spans="1:7">
      <c r="A196" s="319" t="s">
        <v>278</v>
      </c>
      <c r="B196" s="308" t="s">
        <v>2438</v>
      </c>
      <c r="C196" s="309">
        <v>0.127</v>
      </c>
      <c r="D196" s="309">
        <v>0.128</v>
      </c>
      <c r="E196" s="309">
        <v>0.122</v>
      </c>
      <c r="F196" s="309">
        <v>0.13</v>
      </c>
      <c r="G196" s="310">
        <v>0.129</v>
      </c>
    </row>
    <row r="197" spans="1:7">
      <c r="A197" s="319" t="s">
        <v>278</v>
      </c>
      <c r="B197" s="308" t="s">
        <v>2439</v>
      </c>
      <c r="C197" s="309">
        <v>0.126</v>
      </c>
      <c r="D197" s="309">
        <v>0.126</v>
      </c>
      <c r="E197" s="309">
        <v>0.11899999999999999</v>
      </c>
      <c r="F197" s="309">
        <v>0.13</v>
      </c>
      <c r="G197" s="310">
        <v>0.128</v>
      </c>
    </row>
    <row r="198" spans="1:7">
      <c r="A198" s="319" t="s">
        <v>278</v>
      </c>
      <c r="B198" s="308" t="s">
        <v>2440</v>
      </c>
      <c r="C198" s="309">
        <v>0.13</v>
      </c>
      <c r="D198" s="309">
        <v>0.13</v>
      </c>
      <c r="E198" s="309">
        <v>0.126</v>
      </c>
      <c r="F198" s="325"/>
      <c r="G198" s="310">
        <v>0.13</v>
      </c>
    </row>
    <row r="199" spans="1:7">
      <c r="A199" s="319" t="s">
        <v>278</v>
      </c>
      <c r="B199" s="308" t="s">
        <v>2441</v>
      </c>
      <c r="C199" s="309">
        <v>0.13</v>
      </c>
      <c r="D199" s="309">
        <v>0.13</v>
      </c>
      <c r="E199" s="309">
        <v>0.13</v>
      </c>
      <c r="F199" s="309">
        <v>0.13</v>
      </c>
      <c r="G199" s="310">
        <v>0.13</v>
      </c>
    </row>
    <row r="200" spans="1:7">
      <c r="A200" s="319" t="s">
        <v>278</v>
      </c>
      <c r="B200" s="308" t="s">
        <v>2442</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2443</v>
      </c>
      <c r="C202" s="309">
        <v>0.13</v>
      </c>
      <c r="D202" s="309">
        <v>0.13</v>
      </c>
      <c r="E202" s="309">
        <v>0.13</v>
      </c>
      <c r="F202" s="309">
        <v>0.13</v>
      </c>
      <c r="G202" s="310">
        <v>0.13</v>
      </c>
    </row>
    <row r="203" spans="1:7">
      <c r="A203" s="319" t="s">
        <v>278</v>
      </c>
      <c r="B203" s="308" t="s">
        <v>2444</v>
      </c>
      <c r="C203" s="309">
        <v>0.129</v>
      </c>
      <c r="D203" s="309">
        <v>0.129</v>
      </c>
      <c r="E203" s="309">
        <v>0.13</v>
      </c>
      <c r="F203" s="309">
        <v>0.13</v>
      </c>
      <c r="G203" s="310">
        <v>0.13</v>
      </c>
    </row>
    <row r="204" spans="1:7">
      <c r="A204" s="319" t="s">
        <v>278</v>
      </c>
      <c r="B204" s="308" t="s">
        <v>2445</v>
      </c>
      <c r="C204" s="309">
        <v>0.129</v>
      </c>
      <c r="D204" s="309">
        <v>0.129</v>
      </c>
      <c r="E204" s="309">
        <v>0.123</v>
      </c>
      <c r="F204" s="309">
        <v>0.13</v>
      </c>
      <c r="G204" s="310">
        <v>0.13</v>
      </c>
    </row>
    <row r="205" spans="1:7">
      <c r="A205" s="319" t="s">
        <v>278</v>
      </c>
      <c r="B205" s="308" t="s">
        <v>2446</v>
      </c>
      <c r="C205" s="309">
        <v>0.13</v>
      </c>
      <c r="D205" s="309">
        <v>0.13</v>
      </c>
      <c r="E205" s="309">
        <v>0.13</v>
      </c>
      <c r="F205" s="309">
        <v>0.13</v>
      </c>
      <c r="G205" s="310">
        <v>0.13</v>
      </c>
    </row>
    <row r="206" spans="1:7">
      <c r="A206" s="319" t="s">
        <v>278</v>
      </c>
      <c r="B206" s="308" t="s">
        <v>2447</v>
      </c>
      <c r="C206" s="309">
        <v>0.13</v>
      </c>
      <c r="D206" s="309">
        <v>0.13</v>
      </c>
      <c r="E206" s="309">
        <v>0.13</v>
      </c>
      <c r="F206" s="309">
        <v>0.128</v>
      </c>
      <c r="G206" s="310">
        <v>0.13</v>
      </c>
    </row>
    <row r="207" spans="1:7">
      <c r="A207" s="319" t="s">
        <v>278</v>
      </c>
      <c r="B207" s="308" t="s">
        <v>2448</v>
      </c>
      <c r="C207" s="309">
        <v>0.13</v>
      </c>
      <c r="D207" s="309">
        <v>0.13</v>
      </c>
      <c r="E207" s="309">
        <v>0.13</v>
      </c>
      <c r="F207" s="309">
        <v>0.13</v>
      </c>
      <c r="G207" s="310">
        <v>0.13</v>
      </c>
    </row>
    <row r="208" spans="1:7">
      <c r="A208" s="319" t="s">
        <v>278</v>
      </c>
      <c r="B208" s="308" t="s">
        <v>2449</v>
      </c>
      <c r="C208" s="309">
        <v>0.13</v>
      </c>
      <c r="D208" s="309">
        <v>0.13</v>
      </c>
      <c r="E208" s="309">
        <v>0.13</v>
      </c>
      <c r="F208" s="309">
        <v>0.13</v>
      </c>
      <c r="G208" s="310">
        <v>0.13</v>
      </c>
    </row>
    <row r="209" spans="1:7">
      <c r="A209" s="319" t="s">
        <v>278</v>
      </c>
      <c r="B209" s="308" t="s">
        <v>2450</v>
      </c>
      <c r="C209" s="309">
        <v>0.13</v>
      </c>
      <c r="D209" s="309">
        <v>0.13</v>
      </c>
      <c r="E209" s="309">
        <v>0.13</v>
      </c>
      <c r="F209" s="309">
        <v>0.13</v>
      </c>
      <c r="G209" s="310">
        <v>0.13</v>
      </c>
    </row>
    <row r="210" spans="1:7">
      <c r="A210" s="319" t="s">
        <v>278</v>
      </c>
      <c r="B210" s="308" t="s">
        <v>2451</v>
      </c>
      <c r="C210" s="309">
        <v>0.121</v>
      </c>
      <c r="D210" s="309">
        <v>0.121</v>
      </c>
      <c r="E210" s="309">
        <v>0.125</v>
      </c>
      <c r="F210" s="309">
        <v>0.13</v>
      </c>
      <c r="G210" s="310">
        <v>0.123</v>
      </c>
    </row>
    <row r="211" spans="1:7">
      <c r="A211" s="319" t="s">
        <v>278</v>
      </c>
      <c r="B211" s="308" t="s">
        <v>2452</v>
      </c>
      <c r="C211" s="309">
        <v>0.123</v>
      </c>
      <c r="D211" s="309">
        <v>0.123</v>
      </c>
      <c r="E211" s="309">
        <v>0.127</v>
      </c>
      <c r="F211" s="309">
        <v>0.115</v>
      </c>
      <c r="G211" s="310">
        <v>0.126</v>
      </c>
    </row>
    <row r="212" spans="1:7">
      <c r="A212" s="319" t="s">
        <v>278</v>
      </c>
      <c r="B212" s="308" t="s">
        <v>2453</v>
      </c>
      <c r="C212" s="309">
        <v>0.126</v>
      </c>
      <c r="D212" s="309">
        <v>0.126</v>
      </c>
      <c r="E212" s="309">
        <v>0.13</v>
      </c>
      <c r="F212" s="309">
        <v>0.13</v>
      </c>
      <c r="G212" s="310">
        <v>0.129</v>
      </c>
    </row>
    <row r="213" spans="1:7">
      <c r="A213" s="319" t="s">
        <v>278</v>
      </c>
      <c r="B213" s="308" t="s">
        <v>2454</v>
      </c>
      <c r="C213" s="309">
        <v>0.129</v>
      </c>
      <c r="D213" s="309">
        <v>0.13</v>
      </c>
      <c r="E213" s="309">
        <v>0.127</v>
      </c>
      <c r="F213" s="309">
        <v>0.13</v>
      </c>
      <c r="G213" s="310">
        <v>0.13</v>
      </c>
    </row>
    <row r="214" spans="1:7">
      <c r="A214" s="319" t="s">
        <v>278</v>
      </c>
      <c r="B214" s="308" t="s">
        <v>2455</v>
      </c>
      <c r="C214" s="309">
        <v>0.128</v>
      </c>
      <c r="D214" s="309">
        <v>0.128</v>
      </c>
      <c r="E214" s="309">
        <v>0.13</v>
      </c>
      <c r="F214" s="309">
        <v>0.13</v>
      </c>
      <c r="G214" s="310">
        <v>0.13</v>
      </c>
    </row>
    <row r="215" spans="1:7">
      <c r="A215" s="319" t="s">
        <v>278</v>
      </c>
      <c r="B215" s="308" t="s">
        <v>2456</v>
      </c>
      <c r="C215" s="309">
        <v>0.13</v>
      </c>
      <c r="D215" s="309">
        <v>0.13</v>
      </c>
      <c r="E215" s="309">
        <v>0.13</v>
      </c>
      <c r="F215" s="309">
        <v>0.129</v>
      </c>
      <c r="G215" s="310">
        <v>0.13</v>
      </c>
    </row>
    <row r="216" spans="1:7">
      <c r="A216" s="319" t="s">
        <v>278</v>
      </c>
      <c r="B216" s="308" t="s">
        <v>2457</v>
      </c>
      <c r="C216" s="309">
        <v>0.13</v>
      </c>
      <c r="D216" s="309">
        <v>0.13</v>
      </c>
      <c r="E216" s="309">
        <v>0.13</v>
      </c>
      <c r="F216" s="309">
        <v>0.13</v>
      </c>
      <c r="G216" s="310">
        <v>0.13</v>
      </c>
    </row>
    <row r="217" spans="1:7">
      <c r="A217" s="319" t="s">
        <v>278</v>
      </c>
      <c r="B217" s="308" t="s">
        <v>2458</v>
      </c>
      <c r="C217" s="309">
        <v>0.129</v>
      </c>
      <c r="D217" s="309">
        <v>0.129</v>
      </c>
      <c r="E217" s="309">
        <v>0.13</v>
      </c>
      <c r="F217" s="309">
        <v>0.13</v>
      </c>
      <c r="G217" s="310">
        <v>0.13</v>
      </c>
    </row>
    <row r="218" spans="1:7">
      <c r="A218" s="319" t="s">
        <v>278</v>
      </c>
      <c r="B218" s="308" t="s">
        <v>2459</v>
      </c>
      <c r="C218" s="320"/>
      <c r="D218" s="320"/>
      <c r="E218" s="320"/>
      <c r="F218" s="309">
        <v>0.05</v>
      </c>
      <c r="G218" s="326"/>
    </row>
    <row r="219" spans="1:7">
      <c r="A219" s="319" t="s">
        <v>278</v>
      </c>
      <c r="B219" s="308" t="s">
        <v>2460</v>
      </c>
      <c r="C219" s="320"/>
      <c r="D219" s="320"/>
      <c r="E219" s="320"/>
      <c r="F219" s="309">
        <v>0.05</v>
      </c>
      <c r="G219" s="326"/>
    </row>
    <row r="220" spans="1:7">
      <c r="A220" s="319" t="s">
        <v>278</v>
      </c>
      <c r="B220" s="308" t="s">
        <v>2461</v>
      </c>
      <c r="C220" s="320"/>
      <c r="D220" s="320"/>
      <c r="E220" s="320"/>
      <c r="F220" s="309">
        <v>0.05</v>
      </c>
      <c r="G220" s="326"/>
    </row>
    <row r="221" spans="1:7">
      <c r="A221" s="319" t="s">
        <v>278</v>
      </c>
      <c r="B221" s="308" t="s">
        <v>2462</v>
      </c>
      <c r="C221" s="320"/>
      <c r="D221" s="320"/>
      <c r="E221" s="320"/>
      <c r="F221" s="309">
        <v>0.05</v>
      </c>
      <c r="G221" s="326"/>
    </row>
    <row r="222" spans="1:7">
      <c r="A222" s="319" t="s">
        <v>278</v>
      </c>
      <c r="B222" s="308" t="s">
        <v>2463</v>
      </c>
      <c r="C222" s="320"/>
      <c r="D222" s="320"/>
      <c r="E222" s="320"/>
      <c r="F222" s="309">
        <v>0.05</v>
      </c>
      <c r="G222" s="326"/>
    </row>
    <row r="223" spans="1:7">
      <c r="A223" s="319" t="s">
        <v>278</v>
      </c>
      <c r="B223" s="308" t="s">
        <v>2464</v>
      </c>
      <c r="C223" s="320"/>
      <c r="D223" s="320"/>
      <c r="E223" s="320"/>
      <c r="F223" s="309">
        <v>0.05</v>
      </c>
      <c r="G223" s="326"/>
    </row>
    <row r="224" spans="1:7">
      <c r="A224" s="319" t="s">
        <v>278</v>
      </c>
      <c r="B224" s="308" t="s">
        <v>2465</v>
      </c>
      <c r="C224" s="320"/>
      <c r="D224" s="320"/>
      <c r="E224" s="320"/>
      <c r="F224" s="309">
        <v>0.05</v>
      </c>
      <c r="G224" s="326"/>
    </row>
    <row r="225" spans="1:7">
      <c r="A225" s="319" t="s">
        <v>278</v>
      </c>
      <c r="B225" s="308" t="s">
        <v>2466</v>
      </c>
      <c r="C225" s="320"/>
      <c r="D225" s="320"/>
      <c r="E225" s="320"/>
      <c r="F225" s="309">
        <v>0.05</v>
      </c>
      <c r="G225" s="326"/>
    </row>
    <row r="226" spans="1:7">
      <c r="A226" s="319" t="s">
        <v>278</v>
      </c>
      <c r="B226" s="308" t="s">
        <v>2467</v>
      </c>
      <c r="C226" s="320"/>
      <c r="D226" s="320"/>
      <c r="E226" s="320"/>
      <c r="F226" s="309">
        <v>0.05</v>
      </c>
      <c r="G226" s="326"/>
    </row>
    <row r="227" spans="1:7">
      <c r="A227" s="319" t="s">
        <v>278</v>
      </c>
      <c r="B227" s="308" t="s">
        <v>2468</v>
      </c>
      <c r="C227" s="320"/>
      <c r="D227" s="320"/>
      <c r="E227" s="320"/>
      <c r="F227" s="309">
        <v>0.05</v>
      </c>
      <c r="G227" s="326"/>
    </row>
    <row r="228" spans="1:7">
      <c r="A228" s="319" t="s">
        <v>278</v>
      </c>
      <c r="B228" s="308" t="s">
        <v>2469</v>
      </c>
      <c r="C228" s="320"/>
      <c r="D228" s="320"/>
      <c r="E228" s="320"/>
      <c r="F228" s="309">
        <v>0.05</v>
      </c>
      <c r="G228" s="326"/>
    </row>
    <row r="229" spans="1:7">
      <c r="A229" s="319" t="s">
        <v>278</v>
      </c>
      <c r="B229" s="308" t="s">
        <v>2470</v>
      </c>
      <c r="C229" s="320"/>
      <c r="D229" s="320"/>
      <c r="E229" s="320"/>
      <c r="F229" s="309">
        <v>0.05</v>
      </c>
      <c r="G229" s="326"/>
    </row>
    <row r="230" spans="1:7">
      <c r="A230" s="319" t="s">
        <v>278</v>
      </c>
      <c r="B230" s="308" t="s">
        <v>2471</v>
      </c>
      <c r="C230" s="320"/>
      <c r="D230" s="320"/>
      <c r="E230" s="320"/>
      <c r="F230" s="309">
        <v>0.05</v>
      </c>
      <c r="G230" s="326"/>
    </row>
    <row r="231" spans="1:7">
      <c r="A231" s="319" t="s">
        <v>278</v>
      </c>
      <c r="B231" s="308" t="s">
        <v>2472</v>
      </c>
      <c r="C231" s="320"/>
      <c r="D231" s="320"/>
      <c r="E231" s="320"/>
      <c r="F231" s="309">
        <v>0.05</v>
      </c>
      <c r="G231" s="326"/>
    </row>
    <row r="232" spans="1:7">
      <c r="A232" s="319" t="s">
        <v>278</v>
      </c>
      <c r="B232" s="308" t="s">
        <v>2473</v>
      </c>
      <c r="C232" s="320"/>
      <c r="D232" s="320"/>
      <c r="E232" s="320"/>
      <c r="F232" s="309">
        <v>0.05</v>
      </c>
      <c r="G232" s="326"/>
    </row>
    <row r="233" spans="1:7">
      <c r="A233" s="322" t="s">
        <v>278</v>
      </c>
      <c r="B233" s="312" t="s">
        <v>2474</v>
      </c>
      <c r="C233" s="314"/>
      <c r="D233" s="314"/>
      <c r="E233" s="314"/>
      <c r="F233" s="313">
        <v>0.05</v>
      </c>
      <c r="G233" s="327"/>
    </row>
    <row r="234" spans="1:7">
      <c r="A234" s="318" t="s">
        <v>284</v>
      </c>
      <c r="B234" s="304" t="s">
        <v>2475</v>
      </c>
      <c r="C234" s="305">
        <v>0.13</v>
      </c>
      <c r="D234" s="305">
        <v>0.128</v>
      </c>
      <c r="E234" s="305">
        <v>0.14199999999999999</v>
      </c>
      <c r="F234" s="305">
        <v>0.14699999999999999</v>
      </c>
      <c r="G234" s="306">
        <v>0.14000000000000001</v>
      </c>
    </row>
    <row r="235" spans="1:7">
      <c r="A235" s="319" t="s">
        <v>284</v>
      </c>
      <c r="B235" s="308" t="s">
        <v>2476</v>
      </c>
      <c r="C235" s="309">
        <v>0.13600000000000001</v>
      </c>
      <c r="D235" s="309">
        <v>0.13800000000000001</v>
      </c>
      <c r="E235" s="309">
        <v>0.14499999999999999</v>
      </c>
      <c r="F235" s="309">
        <v>0.14299999999999999</v>
      </c>
      <c r="G235" s="310">
        <v>0.14099999999999999</v>
      </c>
    </row>
    <row r="236" spans="1:7">
      <c r="A236" s="319" t="s">
        <v>284</v>
      </c>
      <c r="B236" s="308" t="s">
        <v>2477</v>
      </c>
      <c r="C236" s="309">
        <v>0.15</v>
      </c>
      <c r="D236" s="309">
        <v>0.15</v>
      </c>
      <c r="E236" s="309">
        <v>0.15</v>
      </c>
      <c r="F236" s="309">
        <v>0.15</v>
      </c>
      <c r="G236" s="310">
        <v>0.15</v>
      </c>
    </row>
    <row r="237" spans="1:7">
      <c r="A237" s="319" t="s">
        <v>284</v>
      </c>
      <c r="B237" s="308" t="s">
        <v>2478</v>
      </c>
      <c r="C237" s="309">
        <v>0.15</v>
      </c>
      <c r="D237" s="309">
        <v>0.15</v>
      </c>
      <c r="E237" s="309">
        <v>0.15</v>
      </c>
      <c r="F237" s="309">
        <v>0.15</v>
      </c>
      <c r="G237" s="310">
        <v>0.15</v>
      </c>
    </row>
    <row r="238" spans="1:7">
      <c r="A238" s="319" t="s">
        <v>284</v>
      </c>
      <c r="B238" s="308" t="s">
        <v>2479</v>
      </c>
      <c r="C238" s="309">
        <v>0.14899999999999999</v>
      </c>
      <c r="D238" s="309">
        <v>0.14899999999999999</v>
      </c>
      <c r="E238" s="309">
        <v>0.15</v>
      </c>
      <c r="F238" s="309">
        <v>0.15</v>
      </c>
      <c r="G238" s="310">
        <v>0.15</v>
      </c>
    </row>
    <row r="239" spans="1:7">
      <c r="A239" s="319" t="s">
        <v>284</v>
      </c>
      <c r="B239" s="308" t="s">
        <v>2480</v>
      </c>
      <c r="C239" s="309">
        <v>0.15</v>
      </c>
      <c r="D239" s="309">
        <v>0.15</v>
      </c>
      <c r="E239" s="309">
        <v>0.15</v>
      </c>
      <c r="F239" s="309">
        <v>0.15</v>
      </c>
      <c r="G239" s="310">
        <v>0.15</v>
      </c>
    </row>
    <row r="240" spans="1:7">
      <c r="A240" s="319" t="s">
        <v>284</v>
      </c>
      <c r="B240" s="308" t="s">
        <v>2481</v>
      </c>
      <c r="C240" s="309">
        <v>0.15</v>
      </c>
      <c r="D240" s="309">
        <v>0.15</v>
      </c>
      <c r="E240" s="309">
        <v>0.15</v>
      </c>
      <c r="F240" s="309">
        <v>0.15</v>
      </c>
      <c r="G240" s="310">
        <v>0.15</v>
      </c>
    </row>
    <row r="241" spans="1:7">
      <c r="A241" s="319" t="s">
        <v>284</v>
      </c>
      <c r="B241" s="308" t="s">
        <v>2482</v>
      </c>
      <c r="C241" s="309">
        <v>0.14099999999999999</v>
      </c>
      <c r="D241" s="309">
        <v>0.14199999999999999</v>
      </c>
      <c r="E241" s="309">
        <v>0.14899999999999999</v>
      </c>
      <c r="F241" s="309">
        <v>0.15</v>
      </c>
      <c r="G241" s="310">
        <v>0.14399999999999999</v>
      </c>
    </row>
    <row r="242" spans="1:7">
      <c r="A242" s="319" t="s">
        <v>284</v>
      </c>
      <c r="B242" s="308" t="s">
        <v>2483</v>
      </c>
      <c r="C242" s="309">
        <v>0.14099999999999999</v>
      </c>
      <c r="D242" s="309">
        <v>0.14199999999999999</v>
      </c>
      <c r="E242" s="309">
        <v>0.14799999999999999</v>
      </c>
      <c r="F242" s="309">
        <v>0.127</v>
      </c>
      <c r="G242" s="310">
        <v>0.14399999999999999</v>
      </c>
    </row>
    <row r="243" spans="1:7">
      <c r="A243" s="319" t="s">
        <v>284</v>
      </c>
      <c r="B243" s="308" t="s">
        <v>2484</v>
      </c>
      <c r="C243" s="309">
        <v>0.14699999999999999</v>
      </c>
      <c r="D243" s="309">
        <v>0.14699999999999999</v>
      </c>
      <c r="E243" s="309">
        <v>0.15</v>
      </c>
      <c r="F243" s="309">
        <v>0.15</v>
      </c>
      <c r="G243" s="310">
        <v>0.14899999999999999</v>
      </c>
    </row>
    <row r="244" spans="1:7">
      <c r="A244" s="319" t="s">
        <v>284</v>
      </c>
      <c r="B244" s="308" t="s">
        <v>2485</v>
      </c>
      <c r="C244" s="309">
        <v>0.15</v>
      </c>
      <c r="D244" s="309">
        <v>0.15</v>
      </c>
      <c r="E244" s="309">
        <v>0.15</v>
      </c>
      <c r="F244" s="309">
        <v>0.15</v>
      </c>
      <c r="G244" s="310">
        <v>0.15</v>
      </c>
    </row>
    <row r="245" spans="1:7">
      <c r="A245" s="319" t="s">
        <v>284</v>
      </c>
      <c r="B245" s="308" t="s">
        <v>2486</v>
      </c>
      <c r="C245" s="309">
        <v>0.14199999999999999</v>
      </c>
      <c r="D245" s="309">
        <v>0.14199999999999999</v>
      </c>
      <c r="E245" s="309">
        <v>0.15</v>
      </c>
      <c r="F245" s="309">
        <v>0.15</v>
      </c>
      <c r="G245" s="310">
        <v>0.14499999999999999</v>
      </c>
    </row>
    <row r="246" spans="1:7">
      <c r="A246" s="319" t="s">
        <v>284</v>
      </c>
      <c r="B246" s="308" t="s">
        <v>2487</v>
      </c>
      <c r="C246" s="309">
        <v>0.14199999999999999</v>
      </c>
      <c r="D246" s="309">
        <v>0.14299999999999999</v>
      </c>
      <c r="E246" s="309">
        <v>0.15</v>
      </c>
      <c r="F246" s="309">
        <v>0.14199999999999999</v>
      </c>
      <c r="G246" s="310">
        <v>0.14399999999999999</v>
      </c>
    </row>
    <row r="247" spans="1:7">
      <c r="A247" s="319" t="s">
        <v>284</v>
      </c>
      <c r="B247" s="308" t="s">
        <v>2488</v>
      </c>
      <c r="C247" s="309">
        <v>0.14899999999999999</v>
      </c>
      <c r="D247" s="309">
        <v>0.14899999999999999</v>
      </c>
      <c r="E247" s="309">
        <v>0.15</v>
      </c>
      <c r="F247" s="309">
        <v>0.15</v>
      </c>
      <c r="G247" s="310">
        <v>0.15</v>
      </c>
    </row>
    <row r="248" spans="1:7">
      <c r="A248" s="319" t="s">
        <v>284</v>
      </c>
      <c r="B248" s="308" t="s">
        <v>2489</v>
      </c>
      <c r="C248" s="309">
        <v>0.14399999999999999</v>
      </c>
      <c r="D248" s="309">
        <v>0.14399999999999999</v>
      </c>
      <c r="E248" s="309">
        <v>0.14899999999999999</v>
      </c>
      <c r="F248" s="309">
        <v>0.14799999999999999</v>
      </c>
      <c r="G248" s="310">
        <v>0.14599999999999999</v>
      </c>
    </row>
    <row r="249" spans="1:7">
      <c r="A249" s="319" t="s">
        <v>284</v>
      </c>
      <c r="B249" s="308" t="s">
        <v>2490</v>
      </c>
      <c r="C249" s="309">
        <v>0.14000000000000001</v>
      </c>
      <c r="D249" s="309">
        <v>0.14000000000000001</v>
      </c>
      <c r="E249" s="309">
        <v>0.14699999999999999</v>
      </c>
      <c r="F249" s="309">
        <v>0.14899999999999999</v>
      </c>
      <c r="G249" s="310">
        <v>0.14199999999999999</v>
      </c>
    </row>
    <row r="250" spans="1:7">
      <c r="A250" s="319" t="s">
        <v>284</v>
      </c>
      <c r="B250" s="308" t="s">
        <v>2491</v>
      </c>
      <c r="C250" s="309">
        <v>0.14399999999999999</v>
      </c>
      <c r="D250" s="309">
        <v>0.14299999999999999</v>
      </c>
      <c r="E250" s="309">
        <v>0.14899999999999999</v>
      </c>
      <c r="F250" s="309">
        <v>0.15</v>
      </c>
      <c r="G250" s="310">
        <v>0.14599999999999999</v>
      </c>
    </row>
    <row r="251" spans="1:7">
      <c r="A251" s="319" t="s">
        <v>284</v>
      </c>
      <c r="B251" s="308" t="s">
        <v>2492</v>
      </c>
      <c r="C251" s="325"/>
      <c r="D251" s="320"/>
      <c r="E251" s="320"/>
      <c r="F251" s="309">
        <v>0.1</v>
      </c>
      <c r="G251" s="326"/>
    </row>
    <row r="252" spans="1:7">
      <c r="A252" s="319" t="s">
        <v>284</v>
      </c>
      <c r="B252" s="308" t="s">
        <v>2493</v>
      </c>
      <c r="C252" s="309">
        <v>0.14399999999999999</v>
      </c>
      <c r="D252" s="309">
        <v>0.14399999999999999</v>
      </c>
      <c r="E252" s="309">
        <v>0.15</v>
      </c>
      <c r="F252" s="309">
        <v>0.14899999999999999</v>
      </c>
      <c r="G252" s="310">
        <v>0.14599999999999999</v>
      </c>
    </row>
    <row r="253" spans="1:7">
      <c r="A253" s="319" t="s">
        <v>284</v>
      </c>
      <c r="B253" s="308" t="s">
        <v>2494</v>
      </c>
      <c r="C253" s="309">
        <v>0.14199999999999999</v>
      </c>
      <c r="D253" s="309">
        <v>0.14199999999999999</v>
      </c>
      <c r="E253" s="309">
        <v>0.14599999999999999</v>
      </c>
      <c r="F253" s="309">
        <v>0.14799999999999999</v>
      </c>
      <c r="G253" s="310">
        <v>0.14499999999999999</v>
      </c>
    </row>
    <row r="254" spans="1:7">
      <c r="A254" s="319" t="s">
        <v>284</v>
      </c>
      <c r="B254" s="308" t="s">
        <v>2495</v>
      </c>
      <c r="C254" s="309">
        <v>0.15</v>
      </c>
      <c r="D254" s="309">
        <v>0.15</v>
      </c>
      <c r="E254" s="309">
        <v>0.15</v>
      </c>
      <c r="F254" s="309">
        <v>0.15</v>
      </c>
      <c r="G254" s="310">
        <v>0.15</v>
      </c>
    </row>
    <row r="255" spans="1:7">
      <c r="A255" s="319" t="s">
        <v>284</v>
      </c>
      <c r="B255" s="308" t="s">
        <v>2496</v>
      </c>
      <c r="C255" s="309">
        <v>0.14299999999999999</v>
      </c>
      <c r="D255" s="309">
        <v>0.14299999999999999</v>
      </c>
      <c r="E255" s="309">
        <v>0.15</v>
      </c>
      <c r="F255" s="309">
        <v>0.15</v>
      </c>
      <c r="G255" s="310">
        <v>0.14499999999999999</v>
      </c>
    </row>
    <row r="256" spans="1:7">
      <c r="A256" s="319" t="s">
        <v>284</v>
      </c>
      <c r="B256" s="308" t="s">
        <v>2497</v>
      </c>
      <c r="C256" s="309">
        <v>0.15</v>
      </c>
      <c r="D256" s="309">
        <v>0.15</v>
      </c>
      <c r="E256" s="309">
        <v>0.15</v>
      </c>
      <c r="F256" s="309">
        <v>0.14599999999999999</v>
      </c>
      <c r="G256" s="310">
        <v>0.15</v>
      </c>
    </row>
    <row r="257" spans="1:7">
      <c r="A257" s="319" t="s">
        <v>284</v>
      </c>
      <c r="B257" s="308" t="s">
        <v>2498</v>
      </c>
      <c r="C257" s="309">
        <v>0.14199999999999999</v>
      </c>
      <c r="D257" s="309">
        <v>0.14299999999999999</v>
      </c>
      <c r="E257" s="309">
        <v>0.14799999999999999</v>
      </c>
      <c r="F257" s="309">
        <v>0.15</v>
      </c>
      <c r="G257" s="310">
        <v>0.14499999999999999</v>
      </c>
    </row>
    <row r="258" spans="1:7">
      <c r="A258" s="319" t="s">
        <v>284</v>
      </c>
      <c r="B258" s="308" t="s">
        <v>2499</v>
      </c>
      <c r="C258" s="309">
        <v>0.14299999999999999</v>
      </c>
      <c r="D258" s="309">
        <v>0.14299999999999999</v>
      </c>
      <c r="E258" s="309">
        <v>0.15</v>
      </c>
      <c r="F258" s="309">
        <v>0.14799999999999999</v>
      </c>
      <c r="G258" s="310">
        <v>0.14599999999999999</v>
      </c>
    </row>
    <row r="259" spans="1:7">
      <c r="A259" s="319" t="s">
        <v>284</v>
      </c>
      <c r="B259" s="308" t="s">
        <v>2500</v>
      </c>
      <c r="C259" s="309">
        <v>0.14399999999999999</v>
      </c>
      <c r="D259" s="309">
        <v>0.14399999999999999</v>
      </c>
      <c r="E259" s="309">
        <v>0.14899999999999999</v>
      </c>
      <c r="F259" s="309">
        <v>0.14699999999999999</v>
      </c>
      <c r="G259" s="310">
        <v>0.14599999999999999</v>
      </c>
    </row>
    <row r="260" spans="1:7">
      <c r="A260" s="319" t="s">
        <v>284</v>
      </c>
      <c r="B260" s="308" t="s">
        <v>2501</v>
      </c>
      <c r="C260" s="309">
        <v>0.109</v>
      </c>
      <c r="D260" s="309">
        <v>0.111</v>
      </c>
      <c r="E260" s="309">
        <v>0.13100000000000001</v>
      </c>
      <c r="F260" s="309">
        <v>0.126</v>
      </c>
      <c r="G260" s="310">
        <v>0.11899999999999999</v>
      </c>
    </row>
    <row r="261" spans="1:7">
      <c r="A261" s="319" t="s">
        <v>284</v>
      </c>
      <c r="B261" s="308" t="s">
        <v>2502</v>
      </c>
      <c r="C261" s="309">
        <v>0.1</v>
      </c>
      <c r="D261" s="309">
        <v>0.1</v>
      </c>
      <c r="E261" s="309">
        <v>0.11799999999999999</v>
      </c>
      <c r="F261" s="309">
        <v>0.108</v>
      </c>
      <c r="G261" s="310">
        <v>0.107</v>
      </c>
    </row>
    <row r="262" spans="1:7">
      <c r="A262" s="319" t="s">
        <v>284</v>
      </c>
      <c r="B262" s="308" t="s">
        <v>2503</v>
      </c>
      <c r="C262" s="309">
        <v>0.1</v>
      </c>
      <c r="D262" s="309">
        <v>0.1</v>
      </c>
      <c r="E262" s="309">
        <v>0.1</v>
      </c>
      <c r="F262" s="309">
        <v>0.14099999999999999</v>
      </c>
      <c r="G262" s="310">
        <v>0.1</v>
      </c>
    </row>
    <row r="263" spans="1:7">
      <c r="A263" s="319" t="s">
        <v>284</v>
      </c>
      <c r="B263" s="308" t="s">
        <v>2504</v>
      </c>
      <c r="C263" s="309">
        <v>0.14799999999999999</v>
      </c>
      <c r="D263" s="309">
        <v>0.14799999999999999</v>
      </c>
      <c r="E263" s="309">
        <v>0.15</v>
      </c>
      <c r="F263" s="309">
        <v>0.14699999999999999</v>
      </c>
      <c r="G263" s="310">
        <v>0.15</v>
      </c>
    </row>
    <row r="264" spans="1:7">
      <c r="A264" s="319" t="s">
        <v>284</v>
      </c>
      <c r="B264" s="308" t="s">
        <v>2505</v>
      </c>
      <c r="C264" s="309">
        <v>0.14299999999999999</v>
      </c>
      <c r="D264" s="309">
        <v>0.14299999999999999</v>
      </c>
      <c r="E264" s="309">
        <v>0.15</v>
      </c>
      <c r="F264" s="309">
        <v>0.14899999999999999</v>
      </c>
      <c r="G264" s="310">
        <v>0.14599999999999999</v>
      </c>
    </row>
    <row r="265" spans="1:7">
      <c r="A265" s="319" t="s">
        <v>284</v>
      </c>
      <c r="B265" s="308" t="s">
        <v>2506</v>
      </c>
      <c r="C265" s="320"/>
      <c r="D265" s="320"/>
      <c r="E265" s="320"/>
      <c r="F265" s="309">
        <v>0.05</v>
      </c>
      <c r="G265" s="326"/>
    </row>
    <row r="266" spans="1:7">
      <c r="A266" s="319" t="s">
        <v>284</v>
      </c>
      <c r="B266" s="308" t="s">
        <v>2507</v>
      </c>
      <c r="C266" s="320"/>
      <c r="D266" s="320"/>
      <c r="E266" s="320"/>
      <c r="F266" s="309">
        <v>0.05</v>
      </c>
      <c r="G266" s="326"/>
    </row>
    <row r="267" spans="1:7">
      <c r="A267" s="319" t="s">
        <v>284</v>
      </c>
      <c r="B267" s="308" t="s">
        <v>2508</v>
      </c>
      <c r="C267" s="320"/>
      <c r="D267" s="320"/>
      <c r="E267" s="320"/>
      <c r="F267" s="309">
        <v>0.05</v>
      </c>
      <c r="G267" s="326"/>
    </row>
    <row r="268" spans="1:7">
      <c r="A268" s="319" t="s">
        <v>284</v>
      </c>
      <c r="B268" s="308" t="s">
        <v>2509</v>
      </c>
      <c r="C268" s="320"/>
      <c r="D268" s="320"/>
      <c r="E268" s="320"/>
      <c r="F268" s="309">
        <v>0.05</v>
      </c>
      <c r="G268" s="326"/>
    </row>
    <row r="269" spans="1:7">
      <c r="A269" s="319" t="s">
        <v>284</v>
      </c>
      <c r="B269" s="308" t="s">
        <v>2510</v>
      </c>
      <c r="C269" s="320"/>
      <c r="D269" s="320"/>
      <c r="E269" s="320"/>
      <c r="F269" s="309">
        <v>0.05</v>
      </c>
      <c r="G269" s="326"/>
    </row>
    <row r="270" spans="1:7">
      <c r="A270" s="319" t="s">
        <v>284</v>
      </c>
      <c r="B270" s="308" t="s">
        <v>2511</v>
      </c>
      <c r="C270" s="320"/>
      <c r="D270" s="320"/>
      <c r="E270" s="320"/>
      <c r="F270" s="309">
        <v>0.05</v>
      </c>
      <c r="G270" s="326"/>
    </row>
    <row r="271" spans="1:7">
      <c r="A271" s="319" t="s">
        <v>284</v>
      </c>
      <c r="B271" s="308" t="s">
        <v>2512</v>
      </c>
      <c r="C271" s="320"/>
      <c r="D271" s="320"/>
      <c r="E271" s="320"/>
      <c r="F271" s="309">
        <v>0.05</v>
      </c>
      <c r="G271" s="326"/>
    </row>
    <row r="272" spans="1:7">
      <c r="A272" s="319" t="s">
        <v>284</v>
      </c>
      <c r="B272" s="308" t="s">
        <v>2513</v>
      </c>
      <c r="C272" s="320"/>
      <c r="D272" s="320"/>
      <c r="E272" s="320"/>
      <c r="F272" s="309">
        <v>0.05</v>
      </c>
      <c r="G272" s="326"/>
    </row>
    <row r="273" spans="1:7">
      <c r="A273" s="319" t="s">
        <v>284</v>
      </c>
      <c r="B273" s="308" t="s">
        <v>2514</v>
      </c>
      <c r="C273" s="320"/>
      <c r="D273" s="320"/>
      <c r="E273" s="320"/>
      <c r="F273" s="309">
        <v>0.05</v>
      </c>
      <c r="G273" s="326"/>
    </row>
    <row r="274" spans="1:7">
      <c r="A274" s="319" t="s">
        <v>284</v>
      </c>
      <c r="B274" s="308" t="s">
        <v>2515</v>
      </c>
      <c r="C274" s="320"/>
      <c r="D274" s="320"/>
      <c r="E274" s="320"/>
      <c r="F274" s="309">
        <v>0.05</v>
      </c>
      <c r="G274" s="326"/>
    </row>
    <row r="275" spans="1:7">
      <c r="A275" s="319" t="s">
        <v>284</v>
      </c>
      <c r="B275" s="308" t="s">
        <v>2516</v>
      </c>
      <c r="C275" s="320"/>
      <c r="D275" s="320"/>
      <c r="E275" s="320"/>
      <c r="F275" s="309">
        <v>0.05</v>
      </c>
      <c r="G275" s="326"/>
    </row>
    <row r="276" spans="1:7">
      <c r="A276" s="322" t="s">
        <v>284</v>
      </c>
      <c r="B276" s="312" t="s">
        <v>2517</v>
      </c>
      <c r="C276" s="314"/>
      <c r="D276" s="314"/>
      <c r="E276" s="314"/>
      <c r="F276" s="313">
        <v>0.05</v>
      </c>
      <c r="G276" s="327"/>
    </row>
    <row r="277" spans="1:7">
      <c r="A277" s="318" t="s">
        <v>288</v>
      </c>
      <c r="B277" s="304" t="s">
        <v>2518</v>
      </c>
      <c r="C277" s="305">
        <v>0.15</v>
      </c>
      <c r="D277" s="305">
        <v>0.15</v>
      </c>
      <c r="E277" s="305">
        <v>0.15</v>
      </c>
      <c r="F277" s="305">
        <v>0.15</v>
      </c>
      <c r="G277" s="306">
        <v>0.15</v>
      </c>
    </row>
    <row r="278" spans="1:7">
      <c r="A278" s="319" t="s">
        <v>288</v>
      </c>
      <c r="B278" s="308" t="s">
        <v>2519</v>
      </c>
      <c r="C278" s="309">
        <v>0.15</v>
      </c>
      <c r="D278" s="309">
        <v>0.15</v>
      </c>
      <c r="E278" s="309">
        <v>0.15</v>
      </c>
      <c r="F278" s="309">
        <v>0.15</v>
      </c>
      <c r="G278" s="310">
        <v>0.15</v>
      </c>
    </row>
    <row r="279" spans="1:7">
      <c r="A279" s="319" t="s">
        <v>288</v>
      </c>
      <c r="B279" s="308" t="s">
        <v>2520</v>
      </c>
      <c r="C279" s="309">
        <v>0.15</v>
      </c>
      <c r="D279" s="309">
        <v>0.15</v>
      </c>
      <c r="E279" s="309">
        <v>0.15</v>
      </c>
      <c r="F279" s="309">
        <v>0.15</v>
      </c>
      <c r="G279" s="310">
        <v>0.15</v>
      </c>
    </row>
    <row r="280" spans="1:7">
      <c r="A280" s="319" t="s">
        <v>288</v>
      </c>
      <c r="B280" s="308" t="s">
        <v>2521</v>
      </c>
      <c r="C280" s="309">
        <v>0.15</v>
      </c>
      <c r="D280" s="309">
        <v>0.15</v>
      </c>
      <c r="E280" s="309">
        <v>0.15</v>
      </c>
      <c r="F280" s="309">
        <v>0.15</v>
      </c>
      <c r="G280" s="310">
        <v>0.15</v>
      </c>
    </row>
    <row r="281" spans="1:7">
      <c r="A281" s="319" t="s">
        <v>288</v>
      </c>
      <c r="B281" s="308" t="s">
        <v>2522</v>
      </c>
      <c r="C281" s="309">
        <v>0.15</v>
      </c>
      <c r="D281" s="309">
        <v>0.15</v>
      </c>
      <c r="E281" s="309">
        <v>0.15</v>
      </c>
      <c r="F281" s="309">
        <v>0.15</v>
      </c>
      <c r="G281" s="310">
        <v>0.15</v>
      </c>
    </row>
    <row r="282" spans="1:7">
      <c r="A282" s="319" t="s">
        <v>288</v>
      </c>
      <c r="B282" s="308" t="s">
        <v>2523</v>
      </c>
      <c r="C282" s="309">
        <v>0.15</v>
      </c>
      <c r="D282" s="309">
        <v>0.15</v>
      </c>
      <c r="E282" s="309">
        <v>0.15</v>
      </c>
      <c r="F282" s="309">
        <v>0.14499999999999999</v>
      </c>
      <c r="G282" s="310">
        <v>0.15</v>
      </c>
    </row>
    <row r="283" spans="1:7">
      <c r="A283" s="319" t="s">
        <v>288</v>
      </c>
      <c r="B283" s="308" t="s">
        <v>2524</v>
      </c>
      <c r="C283" s="309">
        <v>0.15</v>
      </c>
      <c r="D283" s="309">
        <v>0.15</v>
      </c>
      <c r="E283" s="309">
        <v>0.15</v>
      </c>
      <c r="F283" s="309">
        <v>0.14199999999999999</v>
      </c>
      <c r="G283" s="310">
        <v>0.15</v>
      </c>
    </row>
    <row r="284" spans="1:7">
      <c r="A284" s="319" t="s">
        <v>288</v>
      </c>
      <c r="B284" s="308" t="s">
        <v>2525</v>
      </c>
      <c r="C284" s="309">
        <v>0.15</v>
      </c>
      <c r="D284" s="309">
        <v>0.15</v>
      </c>
      <c r="E284" s="309">
        <v>0.15</v>
      </c>
      <c r="F284" s="309">
        <v>0.15</v>
      </c>
      <c r="G284" s="310">
        <v>0.15</v>
      </c>
    </row>
    <row r="285" spans="1:7">
      <c r="A285" s="319" t="s">
        <v>288</v>
      </c>
      <c r="B285" s="308" t="s">
        <v>2526</v>
      </c>
      <c r="C285" s="309">
        <v>0.15</v>
      </c>
      <c r="D285" s="309">
        <v>0.15</v>
      </c>
      <c r="E285" s="309">
        <v>0.15</v>
      </c>
      <c r="F285" s="309">
        <v>0.15</v>
      </c>
      <c r="G285" s="310">
        <v>0.15</v>
      </c>
    </row>
    <row r="286" spans="1:7">
      <c r="A286" s="319" t="s">
        <v>288</v>
      </c>
      <c r="B286" s="308" t="s">
        <v>2527</v>
      </c>
      <c r="C286" s="309">
        <v>0.14499999999999999</v>
      </c>
      <c r="D286" s="309">
        <v>0.14499999999999999</v>
      </c>
      <c r="E286" s="309">
        <v>0.15</v>
      </c>
      <c r="F286" s="309">
        <v>0.14099999999999999</v>
      </c>
      <c r="G286" s="310">
        <v>0.14499999999999999</v>
      </c>
    </row>
    <row r="287" spans="1:7">
      <c r="A287" s="319" t="s">
        <v>288</v>
      </c>
      <c r="B287" s="308" t="s">
        <v>2528</v>
      </c>
      <c r="C287" s="309">
        <v>0.11</v>
      </c>
      <c r="D287" s="309">
        <v>0.111</v>
      </c>
      <c r="E287" s="309">
        <v>0.14099999999999999</v>
      </c>
      <c r="F287" s="309">
        <v>0.11</v>
      </c>
      <c r="G287" s="310">
        <v>0.12</v>
      </c>
    </row>
    <row r="288" spans="1:7">
      <c r="A288" s="319" t="s">
        <v>288</v>
      </c>
      <c r="B288" s="308" t="s">
        <v>2529</v>
      </c>
      <c r="C288" s="309">
        <v>0.14199999999999999</v>
      </c>
      <c r="D288" s="309">
        <v>0.14299999999999999</v>
      </c>
      <c r="E288" s="309">
        <v>0.15</v>
      </c>
      <c r="F288" s="309">
        <v>0.14199999999999999</v>
      </c>
      <c r="G288" s="310">
        <v>0.14399999999999999</v>
      </c>
    </row>
    <row r="289" spans="1:7">
      <c r="A289" s="319" t="s">
        <v>288</v>
      </c>
      <c r="B289" s="308" t="s">
        <v>2530</v>
      </c>
      <c r="C289" s="309">
        <v>0.14299999999999999</v>
      </c>
      <c r="D289" s="309">
        <v>0.14299999999999999</v>
      </c>
      <c r="E289" s="309">
        <v>0.14799999999999999</v>
      </c>
      <c r="F289" s="309">
        <v>0.14399999999999999</v>
      </c>
      <c r="G289" s="310">
        <v>0.14399999999999999</v>
      </c>
    </row>
    <row r="290" spans="1:7">
      <c r="A290" s="319" t="s">
        <v>288</v>
      </c>
      <c r="B290" s="308" t="s">
        <v>2531</v>
      </c>
      <c r="C290" s="309">
        <v>0.14799999999999999</v>
      </c>
      <c r="D290" s="309">
        <v>0.14899999999999999</v>
      </c>
      <c r="E290" s="309">
        <v>0.15</v>
      </c>
      <c r="F290" s="309">
        <v>0.127</v>
      </c>
      <c r="G290" s="310">
        <v>0.15</v>
      </c>
    </row>
    <row r="291" spans="1:7">
      <c r="A291" s="319" t="s">
        <v>288</v>
      </c>
      <c r="B291" s="308" t="s">
        <v>2532</v>
      </c>
      <c r="C291" s="309">
        <v>0.15</v>
      </c>
      <c r="D291" s="309">
        <v>0.15</v>
      </c>
      <c r="E291" s="309">
        <v>0.15</v>
      </c>
      <c r="F291" s="309">
        <v>0.14899999999999999</v>
      </c>
      <c r="G291" s="310">
        <v>0.15</v>
      </c>
    </row>
    <row r="292" spans="1:7">
      <c r="A292" s="319" t="s">
        <v>288</v>
      </c>
      <c r="B292" s="308" t="s">
        <v>2533</v>
      </c>
      <c r="C292" s="309">
        <v>0.15</v>
      </c>
      <c r="D292" s="309">
        <v>0.15</v>
      </c>
      <c r="E292" s="309">
        <v>0.15</v>
      </c>
      <c r="F292" s="309">
        <v>0.14399999999999999</v>
      </c>
      <c r="G292" s="310">
        <v>0.15</v>
      </c>
    </row>
    <row r="293" spans="1:7">
      <c r="A293" s="319" t="s">
        <v>288</v>
      </c>
      <c r="B293" s="308" t="s">
        <v>2534</v>
      </c>
      <c r="C293" s="309">
        <v>0.15</v>
      </c>
      <c r="D293" s="309">
        <v>0.15</v>
      </c>
      <c r="E293" s="309">
        <v>0.15</v>
      </c>
      <c r="F293" s="309">
        <v>0.14499999999999999</v>
      </c>
      <c r="G293" s="310">
        <v>0.15</v>
      </c>
    </row>
    <row r="294" spans="1:7">
      <c r="A294" s="319" t="s">
        <v>288</v>
      </c>
      <c r="B294" s="308" t="s">
        <v>2535</v>
      </c>
      <c r="C294" s="309">
        <v>0.15</v>
      </c>
      <c r="D294" s="309">
        <v>0.15</v>
      </c>
      <c r="E294" s="309">
        <v>0.15</v>
      </c>
      <c r="F294" s="309">
        <v>0.14899999999999999</v>
      </c>
      <c r="G294" s="310">
        <v>0.15</v>
      </c>
    </row>
    <row r="295" spans="1:7">
      <c r="A295" s="319" t="s">
        <v>288</v>
      </c>
      <c r="B295" s="308" t="s">
        <v>2536</v>
      </c>
      <c r="C295" s="309">
        <v>0.15</v>
      </c>
      <c r="D295" s="309">
        <v>0.15</v>
      </c>
      <c r="E295" s="309">
        <v>0.15</v>
      </c>
      <c r="F295" s="309">
        <v>0.14799999999999999</v>
      </c>
      <c r="G295" s="310">
        <v>0.15</v>
      </c>
    </row>
    <row r="296" spans="1:7">
      <c r="A296" s="319" t="s">
        <v>288</v>
      </c>
      <c r="B296" s="308" t="s">
        <v>2537</v>
      </c>
      <c r="C296" s="309">
        <v>0.15</v>
      </c>
      <c r="D296" s="309">
        <v>0.15</v>
      </c>
      <c r="E296" s="309">
        <v>0.15</v>
      </c>
      <c r="F296" s="309">
        <v>0.14399999999999999</v>
      </c>
      <c r="G296" s="310">
        <v>0.15</v>
      </c>
    </row>
    <row r="297" spans="1:7">
      <c r="A297" s="319" t="s">
        <v>288</v>
      </c>
      <c r="B297" s="308" t="s">
        <v>2538</v>
      </c>
      <c r="C297" s="309">
        <v>0.15</v>
      </c>
      <c r="D297" s="309">
        <v>0.15</v>
      </c>
      <c r="E297" s="309">
        <v>0.15</v>
      </c>
      <c r="F297" s="309">
        <v>0.14499999999999999</v>
      </c>
      <c r="G297" s="310">
        <v>0.15</v>
      </c>
    </row>
    <row r="298" spans="1:7">
      <c r="A298" s="319" t="s">
        <v>288</v>
      </c>
      <c r="B298" s="308" t="s">
        <v>2539</v>
      </c>
      <c r="C298" s="309">
        <v>0.15</v>
      </c>
      <c r="D298" s="309">
        <v>0.15</v>
      </c>
      <c r="E298" s="309">
        <v>0.15</v>
      </c>
      <c r="F298" s="309">
        <v>0.15</v>
      </c>
      <c r="G298" s="310">
        <v>0.15</v>
      </c>
    </row>
    <row r="299" spans="1:7">
      <c r="A299" s="319" t="s">
        <v>288</v>
      </c>
      <c r="B299" s="328" t="s">
        <v>2540</v>
      </c>
      <c r="C299" s="309">
        <v>0.15</v>
      </c>
      <c r="D299" s="309">
        <v>0.15</v>
      </c>
      <c r="E299" s="309">
        <v>0.15</v>
      </c>
      <c r="F299" s="309">
        <v>0.14499999999999999</v>
      </c>
      <c r="G299" s="310">
        <v>0.15</v>
      </c>
    </row>
    <row r="300" spans="1:7">
      <c r="A300" s="319" t="s">
        <v>288</v>
      </c>
      <c r="B300" s="328" t="s">
        <v>2541</v>
      </c>
      <c r="C300" s="309">
        <v>0.15</v>
      </c>
      <c r="D300" s="309">
        <v>0.15</v>
      </c>
      <c r="E300" s="309">
        <v>0.15</v>
      </c>
      <c r="F300" s="309">
        <v>0.14599999999999999</v>
      </c>
      <c r="G300" s="310">
        <v>0.15</v>
      </c>
    </row>
    <row r="301" spans="1:7">
      <c r="A301" s="319" t="s">
        <v>288</v>
      </c>
      <c r="B301" s="328" t="s">
        <v>2542</v>
      </c>
      <c r="C301" s="309">
        <v>0.126</v>
      </c>
      <c r="D301" s="309">
        <v>0.124</v>
      </c>
      <c r="E301" s="309">
        <v>0.14099999999999999</v>
      </c>
      <c r="F301" s="309">
        <v>0.14399999999999999</v>
      </c>
      <c r="G301" s="310">
        <v>0.13</v>
      </c>
    </row>
    <row r="302" spans="1:7">
      <c r="A302" s="319" t="s">
        <v>288</v>
      </c>
      <c r="B302" s="308" t="s">
        <v>2543</v>
      </c>
      <c r="C302" s="309">
        <v>0.15</v>
      </c>
      <c r="D302" s="309">
        <v>0.15</v>
      </c>
      <c r="E302" s="309">
        <v>0.15</v>
      </c>
      <c r="F302" s="309">
        <v>0.14699999999999999</v>
      </c>
      <c r="G302" s="310">
        <v>0.15</v>
      </c>
    </row>
    <row r="303" spans="1:7">
      <c r="A303" s="319" t="s">
        <v>288</v>
      </c>
      <c r="B303" s="308" t="s">
        <v>2544</v>
      </c>
      <c r="C303" s="309">
        <v>0.15</v>
      </c>
      <c r="D303" s="309">
        <v>0.15</v>
      </c>
      <c r="E303" s="309">
        <v>0.15</v>
      </c>
      <c r="F303" s="309">
        <v>0.14199999999999999</v>
      </c>
      <c r="G303" s="310">
        <v>0.15</v>
      </c>
    </row>
    <row r="304" spans="1:7">
      <c r="A304" s="319" t="s">
        <v>288</v>
      </c>
      <c r="B304" s="308" t="s">
        <v>2545</v>
      </c>
      <c r="C304" s="309">
        <v>0.15</v>
      </c>
      <c r="D304" s="309">
        <v>0.15</v>
      </c>
      <c r="E304" s="309">
        <v>0.15</v>
      </c>
      <c r="F304" s="309">
        <v>0.14499999999999999</v>
      </c>
      <c r="G304" s="310">
        <v>0.15</v>
      </c>
    </row>
    <row r="305" spans="1:7">
      <c r="A305" s="319" t="s">
        <v>288</v>
      </c>
      <c r="B305" s="308" t="s">
        <v>2546</v>
      </c>
      <c r="C305" s="309">
        <v>0.15</v>
      </c>
      <c r="D305" s="309">
        <v>0.15</v>
      </c>
      <c r="E305" s="309">
        <v>0.15</v>
      </c>
      <c r="F305" s="309">
        <v>0.111</v>
      </c>
      <c r="G305" s="310">
        <v>0.15</v>
      </c>
    </row>
    <row r="306" spans="1:7">
      <c r="A306" s="319" t="s">
        <v>288</v>
      </c>
      <c r="B306" s="308" t="s">
        <v>2547</v>
      </c>
      <c r="C306" s="309">
        <v>0.15</v>
      </c>
      <c r="D306" s="309">
        <v>0.15</v>
      </c>
      <c r="E306" s="309">
        <v>0.15</v>
      </c>
      <c r="F306" s="309">
        <v>0.126</v>
      </c>
      <c r="G306" s="310">
        <v>0.15</v>
      </c>
    </row>
    <row r="307" spans="1:7">
      <c r="A307" s="319" t="s">
        <v>288</v>
      </c>
      <c r="B307" s="308" t="s">
        <v>2548</v>
      </c>
      <c r="C307" s="309">
        <v>0.15</v>
      </c>
      <c r="D307" s="309">
        <v>0.15</v>
      </c>
      <c r="E307" s="309">
        <v>0.15</v>
      </c>
      <c r="F307" s="309">
        <v>0.12</v>
      </c>
      <c r="G307" s="310">
        <v>0.15</v>
      </c>
    </row>
    <row r="308" spans="1:7">
      <c r="A308" s="319" t="s">
        <v>288</v>
      </c>
      <c r="B308" s="308" t="s">
        <v>2549</v>
      </c>
      <c r="C308" s="309">
        <v>0.15</v>
      </c>
      <c r="D308" s="309">
        <v>0.15</v>
      </c>
      <c r="E308" s="309">
        <v>0.15</v>
      </c>
      <c r="F308" s="309">
        <v>0.13</v>
      </c>
      <c r="G308" s="310">
        <v>0.15</v>
      </c>
    </row>
    <row r="309" spans="1:7">
      <c r="A309" s="319" t="s">
        <v>288</v>
      </c>
      <c r="B309" s="308" t="s">
        <v>2550</v>
      </c>
      <c r="C309" s="309">
        <v>0.15</v>
      </c>
      <c r="D309" s="309">
        <v>0.15</v>
      </c>
      <c r="E309" s="309">
        <v>0.15</v>
      </c>
      <c r="F309" s="309">
        <v>0.14099999999999999</v>
      </c>
      <c r="G309" s="310">
        <v>0.15</v>
      </c>
    </row>
    <row r="310" spans="1:7">
      <c r="A310" s="319" t="s">
        <v>288</v>
      </c>
      <c r="B310" s="308" t="s">
        <v>2551</v>
      </c>
      <c r="C310" s="309">
        <v>0.15</v>
      </c>
      <c r="D310" s="309">
        <v>0.15</v>
      </c>
      <c r="E310" s="309">
        <v>0.15</v>
      </c>
      <c r="F310" s="309">
        <v>0.15</v>
      </c>
      <c r="G310" s="310">
        <v>0.15</v>
      </c>
    </row>
    <row r="311" spans="1:7">
      <c r="A311" s="319" t="s">
        <v>288</v>
      </c>
      <c r="B311" s="308" t="s">
        <v>2552</v>
      </c>
      <c r="C311" s="309">
        <v>0.13200000000000001</v>
      </c>
      <c r="D311" s="309">
        <v>0.13300000000000001</v>
      </c>
      <c r="E311" s="309">
        <v>0.14499999999999999</v>
      </c>
      <c r="F311" s="309">
        <v>0.14199999999999999</v>
      </c>
      <c r="G311" s="310">
        <v>0.14000000000000001</v>
      </c>
    </row>
    <row r="312" spans="1:7">
      <c r="A312" s="319" t="s">
        <v>288</v>
      </c>
      <c r="B312" s="308" t="s">
        <v>2553</v>
      </c>
      <c r="C312" s="309">
        <v>0.13800000000000001</v>
      </c>
      <c r="D312" s="309">
        <v>0.14000000000000001</v>
      </c>
      <c r="E312" s="309">
        <v>0.14599999999999999</v>
      </c>
      <c r="F312" s="309">
        <v>0.14899999999999999</v>
      </c>
      <c r="G312" s="310">
        <v>0.14199999999999999</v>
      </c>
    </row>
    <row r="313" spans="1:7">
      <c r="A313" s="319" t="s">
        <v>288</v>
      </c>
      <c r="B313" s="308" t="s">
        <v>2554</v>
      </c>
      <c r="C313" s="309">
        <v>0.125</v>
      </c>
      <c r="D313" s="309">
        <v>0.127</v>
      </c>
      <c r="E313" s="309">
        <v>0.14399999999999999</v>
      </c>
      <c r="F313" s="309">
        <v>0.115</v>
      </c>
      <c r="G313" s="310">
        <v>0.13600000000000001</v>
      </c>
    </row>
    <row r="314" spans="1:7">
      <c r="A314" s="319" t="s">
        <v>288</v>
      </c>
      <c r="B314" s="308" t="s">
        <v>2555</v>
      </c>
      <c r="C314" s="325"/>
      <c r="D314" s="325"/>
      <c r="E314" s="325"/>
      <c r="F314" s="309">
        <v>0.05</v>
      </c>
      <c r="G314" s="326"/>
    </row>
    <row r="315" spans="1:7">
      <c r="A315" s="319" t="s">
        <v>288</v>
      </c>
      <c r="B315" s="308" t="s">
        <v>2556</v>
      </c>
      <c r="C315" s="325"/>
      <c r="D315" s="325"/>
      <c r="E315" s="325"/>
      <c r="F315" s="309">
        <v>0.05</v>
      </c>
      <c r="G315" s="326"/>
    </row>
    <row r="316" spans="1:7">
      <c r="A316" s="319" t="s">
        <v>288</v>
      </c>
      <c r="B316" s="308" t="s">
        <v>2557</v>
      </c>
      <c r="C316" s="320"/>
      <c r="D316" s="320"/>
      <c r="E316" s="320"/>
      <c r="F316" s="309">
        <v>0.05</v>
      </c>
      <c r="G316" s="326"/>
    </row>
    <row r="317" spans="1:7">
      <c r="A317" s="319" t="s">
        <v>288</v>
      </c>
      <c r="B317" s="308" t="s">
        <v>2558</v>
      </c>
      <c r="C317" s="320"/>
      <c r="D317" s="320"/>
      <c r="E317" s="320"/>
      <c r="F317" s="309">
        <v>0.05</v>
      </c>
      <c r="G317" s="326"/>
    </row>
    <row r="318" spans="1:7">
      <c r="A318" s="319" t="s">
        <v>288</v>
      </c>
      <c r="B318" s="308" t="s">
        <v>2559</v>
      </c>
      <c r="C318" s="320"/>
      <c r="D318" s="320"/>
      <c r="E318" s="320"/>
      <c r="F318" s="309">
        <v>0.05</v>
      </c>
      <c r="G318" s="326"/>
    </row>
    <row r="319" spans="1:7">
      <c r="A319" s="319" t="s">
        <v>288</v>
      </c>
      <c r="B319" s="308" t="s">
        <v>2560</v>
      </c>
      <c r="C319" s="320"/>
      <c r="D319" s="320"/>
      <c r="E319" s="320"/>
      <c r="F319" s="309">
        <v>0.05</v>
      </c>
      <c r="G319" s="326"/>
    </row>
    <row r="320" spans="1:7">
      <c r="A320" s="319" t="s">
        <v>288</v>
      </c>
      <c r="B320" s="308" t="s">
        <v>2561</v>
      </c>
      <c r="C320" s="320"/>
      <c r="D320" s="320"/>
      <c r="E320" s="320"/>
      <c r="F320" s="309">
        <v>0.05</v>
      </c>
      <c r="G320" s="326"/>
    </row>
    <row r="321" spans="1:7">
      <c r="A321" s="319" t="s">
        <v>288</v>
      </c>
      <c r="B321" s="308" t="s">
        <v>2562</v>
      </c>
      <c r="C321" s="320"/>
      <c r="D321" s="320"/>
      <c r="E321" s="320"/>
      <c r="F321" s="309">
        <v>0.05</v>
      </c>
      <c r="G321" s="326"/>
    </row>
    <row r="322" spans="1:7">
      <c r="A322" s="319" t="s">
        <v>288</v>
      </c>
      <c r="B322" s="308" t="s">
        <v>2563</v>
      </c>
      <c r="C322" s="320"/>
      <c r="D322" s="320"/>
      <c r="E322" s="320"/>
      <c r="F322" s="309">
        <v>0.05</v>
      </c>
      <c r="G322" s="326"/>
    </row>
    <row r="323" spans="1:7">
      <c r="A323" s="319" t="s">
        <v>288</v>
      </c>
      <c r="B323" s="308" t="s">
        <v>2564</v>
      </c>
      <c r="C323" s="320"/>
      <c r="D323" s="320"/>
      <c r="E323" s="320"/>
      <c r="F323" s="309">
        <v>0.05</v>
      </c>
      <c r="G323" s="326"/>
    </row>
    <row r="324" spans="1:7">
      <c r="A324" s="319" t="s">
        <v>288</v>
      </c>
      <c r="B324" s="308" t="s">
        <v>2565</v>
      </c>
      <c r="C324" s="320"/>
      <c r="D324" s="320"/>
      <c r="E324" s="320"/>
      <c r="F324" s="309">
        <v>0.05</v>
      </c>
      <c r="G324" s="326"/>
    </row>
    <row r="325" spans="1:7">
      <c r="A325" s="319" t="s">
        <v>288</v>
      </c>
      <c r="B325" s="308" t="s">
        <v>2566</v>
      </c>
      <c r="C325" s="320"/>
      <c r="D325" s="320"/>
      <c r="E325" s="320"/>
      <c r="F325" s="309">
        <v>0.05</v>
      </c>
      <c r="G325" s="326"/>
    </row>
    <row r="326" spans="1:7">
      <c r="A326" s="322" t="s">
        <v>288</v>
      </c>
      <c r="B326" s="312" t="s">
        <v>2567</v>
      </c>
      <c r="C326" s="314"/>
      <c r="D326" s="314"/>
      <c r="E326" s="314"/>
      <c r="F326" s="313">
        <v>0.05</v>
      </c>
      <c r="G326" s="327"/>
    </row>
    <row r="327" spans="1:7">
      <c r="A327" s="318" t="s">
        <v>292</v>
      </c>
      <c r="B327" s="304" t="s">
        <v>2568</v>
      </c>
      <c r="C327" s="305">
        <v>0.15</v>
      </c>
      <c r="D327" s="305">
        <v>0.15</v>
      </c>
      <c r="E327" s="305">
        <v>0.15</v>
      </c>
      <c r="F327" s="305">
        <v>0.15</v>
      </c>
      <c r="G327" s="306">
        <v>0.15</v>
      </c>
    </row>
    <row r="328" spans="1:7">
      <c r="A328" s="319" t="s">
        <v>292</v>
      </c>
      <c r="B328" s="308" t="s">
        <v>2569</v>
      </c>
      <c r="C328" s="309">
        <v>0.15</v>
      </c>
      <c r="D328" s="309">
        <v>0.15</v>
      </c>
      <c r="E328" s="309">
        <v>0.15</v>
      </c>
      <c r="F328" s="309">
        <v>0.126</v>
      </c>
      <c r="G328" s="310">
        <v>0.15</v>
      </c>
    </row>
    <row r="329" spans="1:7">
      <c r="A329" s="319" t="s">
        <v>292</v>
      </c>
      <c r="B329" s="308" t="s">
        <v>2570</v>
      </c>
      <c r="C329" s="309">
        <v>0.15</v>
      </c>
      <c r="D329" s="309">
        <v>0.15</v>
      </c>
      <c r="E329" s="309">
        <v>0.15</v>
      </c>
      <c r="F329" s="309">
        <v>0.15</v>
      </c>
      <c r="G329" s="310">
        <v>0.15</v>
      </c>
    </row>
    <row r="330" spans="1:7">
      <c r="A330" s="319" t="s">
        <v>292</v>
      </c>
      <c r="B330" s="308" t="s">
        <v>2571</v>
      </c>
      <c r="C330" s="309">
        <v>0.15</v>
      </c>
      <c r="D330" s="309">
        <v>0.15</v>
      </c>
      <c r="E330" s="309">
        <v>0.15</v>
      </c>
      <c r="F330" s="309">
        <v>0.15</v>
      </c>
      <c r="G330" s="310">
        <v>0.15</v>
      </c>
    </row>
    <row r="331" spans="1:7">
      <c r="A331" s="319" t="s">
        <v>292</v>
      </c>
      <c r="B331" s="308" t="s">
        <v>2572</v>
      </c>
      <c r="C331" s="309">
        <v>0.15</v>
      </c>
      <c r="D331" s="309">
        <v>0.15</v>
      </c>
      <c r="E331" s="309">
        <v>0.15</v>
      </c>
      <c r="F331" s="309">
        <v>0.15</v>
      </c>
      <c r="G331" s="310">
        <v>0.15</v>
      </c>
    </row>
    <row r="332" spans="1:7">
      <c r="A332" s="319" t="s">
        <v>292</v>
      </c>
      <c r="B332" s="308" t="s">
        <v>2573</v>
      </c>
      <c r="C332" s="309">
        <v>0.15</v>
      </c>
      <c r="D332" s="309">
        <v>0.15</v>
      </c>
      <c r="E332" s="309">
        <v>0.15</v>
      </c>
      <c r="F332" s="309">
        <v>0.15</v>
      </c>
      <c r="G332" s="310">
        <v>0.15</v>
      </c>
    </row>
    <row r="333" spans="1:7">
      <c r="A333" s="319" t="s">
        <v>292</v>
      </c>
      <c r="B333" s="308" t="s">
        <v>2574</v>
      </c>
      <c r="C333" s="309">
        <v>0.14899999999999999</v>
      </c>
      <c r="D333" s="309">
        <v>0.14899999999999999</v>
      </c>
      <c r="E333" s="309">
        <v>0.15</v>
      </c>
      <c r="F333" s="309">
        <v>0.11600000000000001</v>
      </c>
      <c r="G333" s="310">
        <v>0.15</v>
      </c>
    </row>
    <row r="334" spans="1:7">
      <c r="A334" s="319" t="s">
        <v>292</v>
      </c>
      <c r="B334" s="308" t="s">
        <v>2575</v>
      </c>
      <c r="C334" s="309">
        <v>0.15</v>
      </c>
      <c r="D334" s="309">
        <v>0.15</v>
      </c>
      <c r="E334" s="309">
        <v>0.15</v>
      </c>
      <c r="F334" s="309">
        <v>0.13</v>
      </c>
      <c r="G334" s="310">
        <v>0.15</v>
      </c>
    </row>
    <row r="335" spans="1:7">
      <c r="A335" s="319" t="s">
        <v>292</v>
      </c>
      <c r="B335" s="308" t="s">
        <v>2576</v>
      </c>
      <c r="C335" s="309">
        <v>0.15</v>
      </c>
      <c r="D335" s="309">
        <v>0.15</v>
      </c>
      <c r="E335" s="309">
        <v>0.15</v>
      </c>
      <c r="F335" s="309">
        <v>0.14399999999999999</v>
      </c>
      <c r="G335" s="310">
        <v>0.15</v>
      </c>
    </row>
    <row r="336" spans="1:7">
      <c r="A336" s="319" t="s">
        <v>292</v>
      </c>
      <c r="B336" s="308" t="s">
        <v>2577</v>
      </c>
      <c r="C336" s="309">
        <v>0.15</v>
      </c>
      <c r="D336" s="309">
        <v>0.15</v>
      </c>
      <c r="E336" s="309">
        <v>0.15</v>
      </c>
      <c r="F336" s="309">
        <v>0.14199999999999999</v>
      </c>
      <c r="G336" s="310">
        <v>0.15</v>
      </c>
    </row>
    <row r="337" spans="1:7">
      <c r="A337" s="319" t="s">
        <v>292</v>
      </c>
      <c r="B337" s="308" t="s">
        <v>2578</v>
      </c>
      <c r="C337" s="309">
        <v>0.15</v>
      </c>
      <c r="D337" s="309">
        <v>0.15</v>
      </c>
      <c r="E337" s="309">
        <v>0.15</v>
      </c>
      <c r="F337" s="309">
        <v>0.14499999999999999</v>
      </c>
      <c r="G337" s="310">
        <v>0.15</v>
      </c>
    </row>
    <row r="338" spans="1:7">
      <c r="A338" s="319" t="s">
        <v>292</v>
      </c>
      <c r="B338" s="308" t="s">
        <v>2579</v>
      </c>
      <c r="C338" s="309">
        <v>0.15</v>
      </c>
      <c r="D338" s="309">
        <v>0.15</v>
      </c>
      <c r="E338" s="309">
        <v>0.15</v>
      </c>
      <c r="F338" s="309">
        <v>0.15</v>
      </c>
      <c r="G338" s="310">
        <v>0.15</v>
      </c>
    </row>
    <row r="339" spans="1:7">
      <c r="A339" s="319" t="s">
        <v>292</v>
      </c>
      <c r="B339" s="308" t="s">
        <v>2580</v>
      </c>
      <c r="C339" s="309">
        <v>0.15</v>
      </c>
      <c r="D339" s="309">
        <v>0.15</v>
      </c>
      <c r="E339" s="309">
        <v>0.15</v>
      </c>
      <c r="F339" s="309">
        <v>0.14699999999999999</v>
      </c>
      <c r="G339" s="310">
        <v>0.15</v>
      </c>
    </row>
    <row r="340" spans="1:7">
      <c r="A340" s="319" t="s">
        <v>292</v>
      </c>
      <c r="B340" s="308" t="s">
        <v>2581</v>
      </c>
      <c r="C340" s="309">
        <v>0.14599999999999999</v>
      </c>
      <c r="D340" s="309">
        <v>0.14599999999999999</v>
      </c>
      <c r="E340" s="309">
        <v>0.15</v>
      </c>
      <c r="F340" s="309">
        <v>0.14099999999999999</v>
      </c>
      <c r="G340" s="310">
        <v>0.14699999999999999</v>
      </c>
    </row>
    <row r="341" spans="1:7">
      <c r="A341" s="319" t="s">
        <v>292</v>
      </c>
      <c r="B341" s="308" t="s">
        <v>2582</v>
      </c>
      <c r="C341" s="309">
        <v>0.126</v>
      </c>
      <c r="D341" s="309">
        <v>0.124</v>
      </c>
      <c r="E341" s="309">
        <v>0.14099999999999999</v>
      </c>
      <c r="F341" s="309">
        <v>0.14399999999999999</v>
      </c>
      <c r="G341" s="310">
        <v>0.13</v>
      </c>
    </row>
    <row r="342" spans="1:7">
      <c r="A342" s="319" t="s">
        <v>292</v>
      </c>
      <c r="B342" s="308" t="s">
        <v>2583</v>
      </c>
      <c r="C342" s="309">
        <v>0.15</v>
      </c>
      <c r="D342" s="309">
        <v>0.15</v>
      </c>
      <c r="E342" s="309">
        <v>0.15</v>
      </c>
      <c r="F342" s="309">
        <v>0.14399999999999999</v>
      </c>
      <c r="G342" s="310">
        <v>0.15</v>
      </c>
    </row>
    <row r="343" spans="1:7">
      <c r="A343" s="319" t="s">
        <v>292</v>
      </c>
      <c r="B343" s="308" t="s">
        <v>2584</v>
      </c>
      <c r="C343" s="309">
        <v>0.15</v>
      </c>
      <c r="D343" s="309">
        <v>0.15</v>
      </c>
      <c r="E343" s="309">
        <v>0.15</v>
      </c>
      <c r="F343" s="309">
        <v>0.128</v>
      </c>
      <c r="G343" s="310">
        <v>0.15</v>
      </c>
    </row>
    <row r="344" spans="1:7">
      <c r="A344" s="319" t="s">
        <v>292</v>
      </c>
      <c r="B344" s="308" t="s">
        <v>2585</v>
      </c>
      <c r="C344" s="309">
        <v>0.15</v>
      </c>
      <c r="D344" s="309">
        <v>0.15</v>
      </c>
      <c r="E344" s="309">
        <v>0.15</v>
      </c>
      <c r="F344" s="309">
        <v>0.14799999999999999</v>
      </c>
      <c r="G344" s="310">
        <v>0.15</v>
      </c>
    </row>
    <row r="345" spans="1:7">
      <c r="A345" s="319" t="s">
        <v>292</v>
      </c>
      <c r="B345" s="308" t="s">
        <v>2586</v>
      </c>
      <c r="C345" s="309">
        <v>0.15</v>
      </c>
      <c r="D345" s="309">
        <v>0.15</v>
      </c>
      <c r="E345" s="309">
        <v>0.15</v>
      </c>
      <c r="F345" s="309">
        <v>0.13800000000000001</v>
      </c>
      <c r="G345" s="310">
        <v>0.15</v>
      </c>
    </row>
    <row r="346" spans="1:7">
      <c r="A346" s="319" t="s">
        <v>292</v>
      </c>
      <c r="B346" s="308" t="s">
        <v>2587</v>
      </c>
      <c r="C346" s="309">
        <v>0.15</v>
      </c>
      <c r="D346" s="309">
        <v>0.15</v>
      </c>
      <c r="E346" s="309">
        <v>0.15</v>
      </c>
      <c r="F346" s="309">
        <v>0.14399999999999999</v>
      </c>
      <c r="G346" s="310">
        <v>0.15</v>
      </c>
    </row>
    <row r="347" spans="1:7">
      <c r="A347" s="319" t="s">
        <v>292</v>
      </c>
      <c r="B347" s="308" t="s">
        <v>2588</v>
      </c>
      <c r="C347" s="309">
        <v>0.15</v>
      </c>
      <c r="D347" s="309">
        <v>0.15</v>
      </c>
      <c r="E347" s="309">
        <v>0.15</v>
      </c>
      <c r="F347" s="309">
        <v>0.14599999999999999</v>
      </c>
      <c r="G347" s="310">
        <v>0.15</v>
      </c>
    </row>
    <row r="348" spans="1:7">
      <c r="A348" s="319" t="s">
        <v>292</v>
      </c>
      <c r="B348" s="308" t="s">
        <v>2589</v>
      </c>
      <c r="C348" s="309">
        <v>0.15</v>
      </c>
      <c r="D348" s="309">
        <v>0.15</v>
      </c>
      <c r="E348" s="309">
        <v>0.15</v>
      </c>
      <c r="F348" s="309">
        <v>0.14399999999999999</v>
      </c>
      <c r="G348" s="310">
        <v>0.15</v>
      </c>
    </row>
    <row r="349" spans="1:7">
      <c r="A349" s="319" t="s">
        <v>292</v>
      </c>
      <c r="B349" s="308" t="s">
        <v>2590</v>
      </c>
      <c r="C349" s="309">
        <v>0.15</v>
      </c>
      <c r="D349" s="309">
        <v>0.15</v>
      </c>
      <c r="E349" s="309">
        <v>0.15</v>
      </c>
      <c r="F349" s="309">
        <v>0.15</v>
      </c>
      <c r="G349" s="310">
        <v>0.15</v>
      </c>
    </row>
    <row r="350" spans="1:7">
      <c r="A350" s="319" t="s">
        <v>292</v>
      </c>
      <c r="B350" s="308" t="s">
        <v>2591</v>
      </c>
      <c r="C350" s="309">
        <v>0.15</v>
      </c>
      <c r="D350" s="309">
        <v>0.15</v>
      </c>
      <c r="E350" s="309">
        <v>0.15</v>
      </c>
      <c r="F350" s="309">
        <v>0.14699999999999999</v>
      </c>
      <c r="G350" s="310">
        <v>0.15</v>
      </c>
    </row>
    <row r="351" spans="1:7">
      <c r="A351" s="319" t="s">
        <v>292</v>
      </c>
      <c r="B351" s="308" t="s">
        <v>2592</v>
      </c>
      <c r="C351" s="309">
        <v>0.15</v>
      </c>
      <c r="D351" s="309">
        <v>0.15</v>
      </c>
      <c r="E351" s="309">
        <v>0.15</v>
      </c>
      <c r="F351" s="309">
        <v>0.13</v>
      </c>
      <c r="G351" s="310">
        <v>0.15</v>
      </c>
    </row>
    <row r="352" spans="1:7">
      <c r="A352" s="319" t="s">
        <v>292</v>
      </c>
      <c r="B352" s="308" t="s">
        <v>2593</v>
      </c>
      <c r="C352" s="309">
        <v>0.15</v>
      </c>
      <c r="D352" s="309">
        <v>0.15</v>
      </c>
      <c r="E352" s="309">
        <v>0.15</v>
      </c>
      <c r="F352" s="309">
        <v>0.14599999999999999</v>
      </c>
      <c r="G352" s="310">
        <v>0.15</v>
      </c>
    </row>
    <row r="353" spans="1:7">
      <c r="A353" s="319" t="s">
        <v>292</v>
      </c>
      <c r="B353" s="308" t="s">
        <v>2594</v>
      </c>
      <c r="C353" s="309">
        <v>0.15</v>
      </c>
      <c r="D353" s="309">
        <v>0.15</v>
      </c>
      <c r="E353" s="309">
        <v>0.15</v>
      </c>
      <c r="F353" s="309">
        <v>0.14499999999999999</v>
      </c>
      <c r="G353" s="310">
        <v>0.15</v>
      </c>
    </row>
    <row r="354" spans="1:7">
      <c r="A354" s="319" t="s">
        <v>292</v>
      </c>
      <c r="B354" s="308" t="s">
        <v>2595</v>
      </c>
      <c r="C354" s="309">
        <v>0.15</v>
      </c>
      <c r="D354" s="309">
        <v>0.15</v>
      </c>
      <c r="E354" s="309">
        <v>0.15</v>
      </c>
      <c r="F354" s="309">
        <v>0.14099999999999999</v>
      </c>
      <c r="G354" s="310">
        <v>0.15</v>
      </c>
    </row>
    <row r="355" spans="1:7">
      <c r="A355" s="319" t="s">
        <v>292</v>
      </c>
      <c r="B355" s="308" t="s">
        <v>2596</v>
      </c>
      <c r="C355" s="309">
        <v>0.15</v>
      </c>
      <c r="D355" s="309">
        <v>0.15</v>
      </c>
      <c r="E355" s="309">
        <v>0.15</v>
      </c>
      <c r="F355" s="309">
        <v>0.15</v>
      </c>
      <c r="G355" s="310">
        <v>0.15</v>
      </c>
    </row>
    <row r="356" spans="1:7">
      <c r="A356" s="319" t="s">
        <v>292</v>
      </c>
      <c r="B356" s="308" t="s">
        <v>2597</v>
      </c>
      <c r="C356" s="309">
        <v>0.15</v>
      </c>
      <c r="D356" s="309">
        <v>0.15</v>
      </c>
      <c r="E356" s="309">
        <v>0.15</v>
      </c>
      <c r="F356" s="309">
        <v>0.15</v>
      </c>
      <c r="G356" s="310">
        <v>0.15</v>
      </c>
    </row>
    <row r="357" spans="1:7">
      <c r="A357" s="322" t="s">
        <v>292</v>
      </c>
      <c r="B357" s="312" t="s">
        <v>2598</v>
      </c>
      <c r="C357" s="313">
        <v>0.126</v>
      </c>
      <c r="D357" s="313">
        <v>0.127</v>
      </c>
      <c r="E357" s="313">
        <v>0.14299999999999999</v>
      </c>
      <c r="F357" s="313">
        <v>0.125</v>
      </c>
      <c r="G357" s="315">
        <v>0.129</v>
      </c>
    </row>
    <row r="358" spans="1:7">
      <c r="A358" s="318" t="s">
        <v>296</v>
      </c>
      <c r="B358" s="304" t="s">
        <v>2599</v>
      </c>
      <c r="C358" s="305">
        <v>0.15</v>
      </c>
      <c r="D358" s="305">
        <v>0.15</v>
      </c>
      <c r="E358" s="305">
        <v>0.15</v>
      </c>
      <c r="F358" s="305">
        <v>0.15</v>
      </c>
      <c r="G358" s="306">
        <v>0.15</v>
      </c>
    </row>
    <row r="359" spans="1:7">
      <c r="A359" s="319" t="s">
        <v>296</v>
      </c>
      <c r="B359" s="308" t="s">
        <v>2600</v>
      </c>
      <c r="C359" s="309">
        <v>0.1</v>
      </c>
      <c r="D359" s="309">
        <v>0.1</v>
      </c>
      <c r="E359" s="309">
        <v>0.1</v>
      </c>
      <c r="F359" s="309">
        <v>0.1</v>
      </c>
      <c r="G359" s="310">
        <v>0.1</v>
      </c>
    </row>
    <row r="360" spans="1:7">
      <c r="A360" s="319" t="s">
        <v>296</v>
      </c>
      <c r="B360" s="308" t="s">
        <v>2601</v>
      </c>
      <c r="C360" s="309">
        <v>0.15</v>
      </c>
      <c r="D360" s="309">
        <v>0.15</v>
      </c>
      <c r="E360" s="309">
        <v>0.15</v>
      </c>
      <c r="F360" s="309">
        <v>0.14899999999999999</v>
      </c>
      <c r="G360" s="310">
        <v>0.15</v>
      </c>
    </row>
    <row r="361" spans="1:7">
      <c r="A361" s="319" t="s">
        <v>296</v>
      </c>
      <c r="B361" s="308" t="s">
        <v>2602</v>
      </c>
      <c r="C361" s="309">
        <v>0.15</v>
      </c>
      <c r="D361" s="309">
        <v>0.15</v>
      </c>
      <c r="E361" s="309">
        <v>0.15</v>
      </c>
      <c r="F361" s="309">
        <v>0.115</v>
      </c>
      <c r="G361" s="310">
        <v>0.15</v>
      </c>
    </row>
    <row r="362" spans="1:7">
      <c r="A362" s="319" t="s">
        <v>296</v>
      </c>
      <c r="B362" s="308" t="s">
        <v>2603</v>
      </c>
      <c r="C362" s="309">
        <v>0.15</v>
      </c>
      <c r="D362" s="309">
        <v>0.15</v>
      </c>
      <c r="E362" s="309">
        <v>0.15</v>
      </c>
      <c r="F362" s="309">
        <v>0.106</v>
      </c>
      <c r="G362" s="310">
        <v>0.15</v>
      </c>
    </row>
    <row r="363" spans="1:7">
      <c r="A363" s="319" t="s">
        <v>296</v>
      </c>
      <c r="B363" s="308" t="s">
        <v>2604</v>
      </c>
      <c r="C363" s="309">
        <v>0.15</v>
      </c>
      <c r="D363" s="309">
        <v>0.15</v>
      </c>
      <c r="E363" s="309">
        <v>0.15</v>
      </c>
      <c r="F363" s="309">
        <v>0.14699999999999999</v>
      </c>
      <c r="G363" s="310">
        <v>0.15</v>
      </c>
    </row>
    <row r="364" spans="1:7">
      <c r="A364" s="319" t="s">
        <v>296</v>
      </c>
      <c r="B364" s="308" t="s">
        <v>2605</v>
      </c>
      <c r="C364" s="309">
        <v>0.15</v>
      </c>
      <c r="D364" s="309">
        <v>0.15</v>
      </c>
      <c r="E364" s="309">
        <v>0.15</v>
      </c>
      <c r="F364" s="309">
        <v>0.14799999999999999</v>
      </c>
      <c r="G364" s="310">
        <v>0.15</v>
      </c>
    </row>
    <row r="365" spans="1:7">
      <c r="A365" s="319" t="s">
        <v>296</v>
      </c>
      <c r="B365" s="308" t="s">
        <v>2606</v>
      </c>
      <c r="C365" s="309">
        <v>0.15</v>
      </c>
      <c r="D365" s="309">
        <v>0.15</v>
      </c>
      <c r="E365" s="309">
        <v>0.15</v>
      </c>
      <c r="F365" s="309">
        <v>0.15</v>
      </c>
      <c r="G365" s="310">
        <v>0.15</v>
      </c>
    </row>
    <row r="366" spans="1:7">
      <c r="A366" s="319" t="s">
        <v>296</v>
      </c>
      <c r="B366" s="308" t="s">
        <v>2607</v>
      </c>
      <c r="C366" s="309">
        <v>0.15</v>
      </c>
      <c r="D366" s="309">
        <v>0.15</v>
      </c>
      <c r="E366" s="309">
        <v>0.15</v>
      </c>
      <c r="F366" s="309">
        <v>0.15</v>
      </c>
      <c r="G366" s="310">
        <v>0.15</v>
      </c>
    </row>
    <row r="367" spans="1:7">
      <c r="A367" s="319" t="s">
        <v>296</v>
      </c>
      <c r="B367" s="308" t="s">
        <v>2608</v>
      </c>
      <c r="C367" s="309">
        <v>0.15</v>
      </c>
      <c r="D367" s="309">
        <v>0.15</v>
      </c>
      <c r="E367" s="309">
        <v>0.15</v>
      </c>
      <c r="F367" s="309">
        <v>0.14699999999999999</v>
      </c>
      <c r="G367" s="310">
        <v>0.15</v>
      </c>
    </row>
    <row r="368" spans="1:7">
      <c r="A368" s="319" t="s">
        <v>296</v>
      </c>
      <c r="B368" s="308" t="s">
        <v>2609</v>
      </c>
      <c r="C368" s="309">
        <v>0.15</v>
      </c>
      <c r="D368" s="309">
        <v>0.15</v>
      </c>
      <c r="E368" s="309">
        <v>0.15</v>
      </c>
      <c r="F368" s="309">
        <v>0.13600000000000001</v>
      </c>
      <c r="G368" s="310">
        <v>0.15</v>
      </c>
    </row>
    <row r="369" spans="1:7">
      <c r="A369" s="319" t="s">
        <v>296</v>
      </c>
      <c r="B369" s="308" t="s">
        <v>2610</v>
      </c>
      <c r="C369" s="309">
        <v>0.15</v>
      </c>
      <c r="D369" s="309">
        <v>0.15</v>
      </c>
      <c r="E369" s="309">
        <v>0.15</v>
      </c>
      <c r="F369" s="309">
        <v>0.14399999999999999</v>
      </c>
      <c r="G369" s="310">
        <v>0.15</v>
      </c>
    </row>
    <row r="370" spans="1:7">
      <c r="A370" s="319" t="s">
        <v>296</v>
      </c>
      <c r="B370" s="308" t="s">
        <v>2611</v>
      </c>
      <c r="C370" s="309">
        <v>0.15</v>
      </c>
      <c r="D370" s="309">
        <v>0.15</v>
      </c>
      <c r="E370" s="309">
        <v>0.15</v>
      </c>
      <c r="F370" s="309">
        <v>0.14599999999999999</v>
      </c>
      <c r="G370" s="310">
        <v>0.15</v>
      </c>
    </row>
    <row r="371" spans="1:7">
      <c r="A371" s="319" t="s">
        <v>296</v>
      </c>
      <c r="B371" s="308" t="s">
        <v>2612</v>
      </c>
      <c r="C371" s="309">
        <v>0.15</v>
      </c>
      <c r="D371" s="309">
        <v>0.15</v>
      </c>
      <c r="E371" s="309">
        <v>0.15</v>
      </c>
      <c r="F371" s="309">
        <v>0.12</v>
      </c>
      <c r="G371" s="310">
        <v>0.15</v>
      </c>
    </row>
    <row r="372" spans="1:7">
      <c r="A372" s="319" t="s">
        <v>296</v>
      </c>
      <c r="B372" s="308" t="s">
        <v>2613</v>
      </c>
      <c r="C372" s="309">
        <v>0.15</v>
      </c>
      <c r="D372" s="309">
        <v>0.15</v>
      </c>
      <c r="E372" s="309">
        <v>0.15</v>
      </c>
      <c r="F372" s="309">
        <v>0.14299999999999999</v>
      </c>
      <c r="G372" s="310">
        <v>0.15</v>
      </c>
    </row>
    <row r="373" spans="1:7">
      <c r="A373" s="319" t="s">
        <v>296</v>
      </c>
      <c r="B373" s="308" t="s">
        <v>2614</v>
      </c>
      <c r="C373" s="309">
        <v>0.15</v>
      </c>
      <c r="D373" s="309">
        <v>0.15</v>
      </c>
      <c r="E373" s="309">
        <v>0.15</v>
      </c>
      <c r="F373" s="309">
        <v>0.14599999999999999</v>
      </c>
      <c r="G373" s="310">
        <v>0.15</v>
      </c>
    </row>
    <row r="374" spans="1:7">
      <c r="A374" s="319" t="s">
        <v>296</v>
      </c>
      <c r="B374" s="308" t="s">
        <v>2615</v>
      </c>
      <c r="C374" s="309">
        <v>0.15</v>
      </c>
      <c r="D374" s="309">
        <v>0.15</v>
      </c>
      <c r="E374" s="309">
        <v>0.15</v>
      </c>
      <c r="F374" s="309">
        <v>0.14399999999999999</v>
      </c>
      <c r="G374" s="310">
        <v>0.15</v>
      </c>
    </row>
    <row r="375" spans="1:7">
      <c r="A375" s="319" t="s">
        <v>296</v>
      </c>
      <c r="B375" s="308" t="s">
        <v>2616</v>
      </c>
      <c r="C375" s="309">
        <v>0.15</v>
      </c>
      <c r="D375" s="309">
        <v>0.15</v>
      </c>
      <c r="E375" s="309">
        <v>0.15</v>
      </c>
      <c r="F375" s="309">
        <v>0.13</v>
      </c>
      <c r="G375" s="310">
        <v>0.15</v>
      </c>
    </row>
    <row r="376" spans="1:7">
      <c r="A376" s="319" t="s">
        <v>296</v>
      </c>
      <c r="B376" s="308" t="s">
        <v>2617</v>
      </c>
      <c r="C376" s="309">
        <v>0.15</v>
      </c>
      <c r="D376" s="309">
        <v>0.15</v>
      </c>
      <c r="E376" s="309">
        <v>0.15</v>
      </c>
      <c r="F376" s="309">
        <v>0.14199999999999999</v>
      </c>
      <c r="G376" s="310">
        <v>0.15</v>
      </c>
    </row>
    <row r="377" spans="1:7">
      <c r="A377" s="322" t="s">
        <v>296</v>
      </c>
      <c r="B377" s="312" t="s">
        <v>2618</v>
      </c>
      <c r="C377" s="313">
        <v>0.15</v>
      </c>
      <c r="D377" s="313">
        <v>0.15</v>
      </c>
      <c r="E377" s="313">
        <v>0.15</v>
      </c>
      <c r="F377" s="313">
        <v>0.14000000000000001</v>
      </c>
      <c r="G377" s="315">
        <v>0.15</v>
      </c>
    </row>
    <row r="378" spans="1:7">
      <c r="A378" s="318" t="s">
        <v>300</v>
      </c>
      <c r="B378" s="304" t="s">
        <v>2619</v>
      </c>
      <c r="C378" s="305">
        <v>0.15</v>
      </c>
      <c r="D378" s="305">
        <v>0.15</v>
      </c>
      <c r="E378" s="305">
        <v>0.15</v>
      </c>
      <c r="F378" s="305">
        <v>0.107</v>
      </c>
      <c r="G378" s="306">
        <v>0.15</v>
      </c>
    </row>
    <row r="379" spans="1:7">
      <c r="A379" s="319" t="s">
        <v>300</v>
      </c>
      <c r="B379" s="308" t="s">
        <v>2620</v>
      </c>
      <c r="C379" s="309">
        <v>0.15</v>
      </c>
      <c r="D379" s="309">
        <v>0.15</v>
      </c>
      <c r="E379" s="309">
        <v>0.15</v>
      </c>
      <c r="F379" s="309">
        <v>0.115</v>
      </c>
      <c r="G379" s="310">
        <v>0.14899999999999999</v>
      </c>
    </row>
    <row r="380" spans="1:7">
      <c r="A380" s="319" t="s">
        <v>300</v>
      </c>
      <c r="B380" s="308" t="s">
        <v>2621</v>
      </c>
      <c r="C380" s="309">
        <v>0.15</v>
      </c>
      <c r="D380" s="309">
        <v>0.15</v>
      </c>
      <c r="E380" s="309">
        <v>0.15</v>
      </c>
      <c r="F380" s="309">
        <v>0.1</v>
      </c>
      <c r="G380" s="310">
        <v>0.14799999999999999</v>
      </c>
    </row>
    <row r="381" spans="1:7">
      <c r="A381" s="319" t="s">
        <v>300</v>
      </c>
      <c r="B381" s="308" t="s">
        <v>2622</v>
      </c>
      <c r="C381" s="309">
        <v>0.15</v>
      </c>
      <c r="D381" s="309">
        <v>0.15</v>
      </c>
      <c r="E381" s="309">
        <v>0.15</v>
      </c>
      <c r="F381" s="309">
        <v>0.126</v>
      </c>
      <c r="G381" s="310">
        <v>0.15</v>
      </c>
    </row>
    <row r="382" spans="1:7">
      <c r="A382" s="319" t="s">
        <v>300</v>
      </c>
      <c r="B382" s="308" t="s">
        <v>2623</v>
      </c>
      <c r="C382" s="309">
        <v>0.15</v>
      </c>
      <c r="D382" s="309">
        <v>0.15</v>
      </c>
      <c r="E382" s="309">
        <v>0.15</v>
      </c>
      <c r="F382" s="309">
        <v>0.15</v>
      </c>
      <c r="G382" s="310">
        <v>0.15</v>
      </c>
    </row>
    <row r="383" spans="1:7">
      <c r="A383" s="319" t="s">
        <v>300</v>
      </c>
      <c r="B383" s="308" t="s">
        <v>2624</v>
      </c>
      <c r="C383" s="309">
        <v>0.15</v>
      </c>
      <c r="D383" s="309">
        <v>0.15</v>
      </c>
      <c r="E383" s="309">
        <v>0.15</v>
      </c>
      <c r="F383" s="309">
        <v>0.14699999999999999</v>
      </c>
      <c r="G383" s="310">
        <v>0.15</v>
      </c>
    </row>
    <row r="384" spans="1:7">
      <c r="A384" s="329" t="s">
        <v>300</v>
      </c>
      <c r="B384" s="330" t="s">
        <v>2625</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7"/>
  <sheetViews>
    <sheetView workbookViewId="0">
      <selection sqref="A1:XFD1048576"/>
    </sheetView>
  </sheetViews>
  <sheetFormatPr defaultColWidth="13.21875" defaultRowHeight="14.4"/>
  <cols>
    <col min="1" max="16384" width="13.21875" style="291"/>
  </cols>
  <sheetData>
    <row r="1" spans="1:6">
      <c r="A1" s="3520" t="s">
        <v>2626</v>
      </c>
      <c r="B1" s="3520"/>
      <c r="C1" s="3520"/>
      <c r="D1" s="3520"/>
      <c r="E1" s="3520"/>
      <c r="F1" s="3521"/>
    </row>
    <row r="2" spans="1:6">
      <c r="A2" s="292" t="s">
        <v>2627</v>
      </c>
    </row>
    <row r="3" spans="1:6">
      <c r="A3" s="292" t="s">
        <v>2628</v>
      </c>
      <c r="F3" s="293" t="s">
        <v>2629</v>
      </c>
    </row>
    <row r="4" spans="1:6">
      <c r="A4" s="294" t="s">
        <v>404</v>
      </c>
      <c r="B4" s="294" t="s">
        <v>1923</v>
      </c>
      <c r="C4" s="294" t="s">
        <v>562</v>
      </c>
      <c r="D4" s="294" t="s">
        <v>2630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tabColor rgb="FFFF0000"/>
  </sheetPr>
  <dimension ref="A1:AJ512"/>
  <sheetViews>
    <sheetView view="pageBreakPreview" zoomScaleNormal="100" zoomScaleSheetLayoutView="100" zoomScalePageLayoutView="80" workbookViewId="0">
      <selection activeCell="J21" sqref="J21"/>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778</v>
      </c>
      <c r="B1" s="1998"/>
      <c r="C1" s="2116">
        <v>111</v>
      </c>
      <c r="D1" s="1998"/>
      <c r="E1" s="1998"/>
      <c r="F1" s="2117" t="s">
        <v>779</v>
      </c>
      <c r="G1" s="2118"/>
      <c r="H1" s="2117" t="str">
        <f>IF(G1="现房","——","估价对象范围")</f>
        <v>估价对象范围</v>
      </c>
      <c r="I1" s="2247"/>
    </row>
    <row r="2" spans="1:12" ht="21.75" customHeight="1" thickBot="1">
      <c r="A2" s="3362" t="str">
        <f>项目基本情况!S2</f>
        <v>北京市房地产</v>
      </c>
      <c r="B2" s="3363"/>
      <c r="C2" s="3363"/>
      <c r="D2" s="3363"/>
      <c r="E2" s="3363"/>
      <c r="F2" s="3363"/>
      <c r="G2" s="3363"/>
      <c r="H2" s="3363"/>
      <c r="I2" s="3364"/>
    </row>
    <row r="3" spans="1:12" ht="13.2">
      <c r="A3" s="3365" t="s">
        <v>780</v>
      </c>
      <c r="B3" s="3366"/>
      <c r="C3" s="3366"/>
      <c r="D3" s="3366"/>
      <c r="E3" s="3366"/>
      <c r="F3" s="3366"/>
      <c r="G3" s="3366"/>
      <c r="H3" s="3366"/>
      <c r="I3" s="3366"/>
    </row>
    <row r="4" spans="1:12" ht="14.4">
      <c r="A4" s="2119" t="s">
        <v>781</v>
      </c>
      <c r="B4" s="2120" t="s">
        <v>782</v>
      </c>
      <c r="C4" s="2121" t="s">
        <v>2853</v>
      </c>
      <c r="D4" s="2121" t="s">
        <v>2856</v>
      </c>
      <c r="E4" s="3367" t="s">
        <v>783</v>
      </c>
      <c r="F4" s="3368"/>
      <c r="G4" s="3368"/>
      <c r="H4" s="3368"/>
      <c r="I4" s="3369"/>
      <c r="K4" s="1418" t="str">
        <f>IF(ISNUMBER(FIND("比较法",结果表111!C4)),"比较法",IF(ISNUMBER(FIND("成本法",结果表111!C4)),"成本法",IF(ISNUMBER(FIND("假设开发法",结果表111!C4)),"假设开发法",IF(ISNUMBER(FIND("收益法",结果表111!C4)),"收益法","基准地价系数修正法"))))</f>
        <v>比较法</v>
      </c>
      <c r="L4" s="1418" t="str">
        <f>IF(ISNUMBER(FIND("比较法",结果表111!D4)),"比较法",IF(ISNUMBER(FIND("成本法",结果表111!D4)),"成本法",IF(ISNUMBER(FIND("假设开发法",结果表111!D4)),"假设开发法",IF(ISNUMBER(FIND("收益法",结果表111!D4)),"收益法","基准地价系数修正法"))))</f>
        <v>收益法</v>
      </c>
    </row>
    <row r="5" spans="1:12" ht="13.2">
      <c r="A5" s="3289" t="s">
        <v>784</v>
      </c>
      <c r="B5" s="3297">
        <v>25</v>
      </c>
      <c r="C5" s="3379"/>
      <c r="D5" s="3300"/>
      <c r="E5" s="1895" t="s">
        <v>785</v>
      </c>
      <c r="F5" s="2125"/>
      <c r="G5" s="2125"/>
      <c r="H5" s="2125"/>
      <c r="I5" s="2249"/>
    </row>
    <row r="6" spans="1:12" ht="13.2">
      <c r="A6" s="3289"/>
      <c r="B6" s="3297"/>
      <c r="C6" s="3380"/>
      <c r="D6" s="3300"/>
      <c r="E6" s="1895" t="s">
        <v>786</v>
      </c>
      <c r="F6" s="2125"/>
      <c r="G6" s="2125"/>
      <c r="H6" s="2125"/>
      <c r="I6" s="2249"/>
    </row>
    <row r="7" spans="1:12" ht="13.2">
      <c r="A7" s="3289"/>
      <c r="B7" s="3297"/>
      <c r="C7" s="3381"/>
      <c r="D7" s="3300"/>
      <c r="E7" s="1895" t="s">
        <v>787</v>
      </c>
      <c r="F7" s="2125"/>
      <c r="G7" s="2125"/>
      <c r="H7" s="2125"/>
      <c r="I7" s="2249"/>
    </row>
    <row r="8" spans="1:12" ht="13.2">
      <c r="A8" s="3289" t="s">
        <v>788</v>
      </c>
      <c r="B8" s="3297">
        <v>15</v>
      </c>
      <c r="C8" s="3379"/>
      <c r="D8" s="3300"/>
      <c r="E8" s="1895" t="s">
        <v>789</v>
      </c>
      <c r="F8" s="2125"/>
      <c r="G8" s="2125"/>
      <c r="H8" s="2125"/>
      <c r="I8" s="2249"/>
    </row>
    <row r="9" spans="1:12" ht="13.2">
      <c r="A9" s="3289"/>
      <c r="B9" s="3297"/>
      <c r="C9" s="3381"/>
      <c r="D9" s="3300"/>
      <c r="E9" s="1895" t="s">
        <v>790</v>
      </c>
      <c r="F9" s="2125"/>
      <c r="G9" s="2125"/>
      <c r="H9" s="2125"/>
      <c r="I9" s="2249"/>
    </row>
    <row r="10" spans="1:12" ht="13.2">
      <c r="A10" s="3289" t="s">
        <v>791</v>
      </c>
      <c r="B10" s="3297">
        <v>15</v>
      </c>
      <c r="C10" s="3379"/>
      <c r="D10" s="3300"/>
      <c r="E10" s="1895" t="s">
        <v>792</v>
      </c>
      <c r="F10" s="2125"/>
      <c r="G10" s="2125"/>
      <c r="H10" s="2125"/>
      <c r="I10" s="2249"/>
    </row>
    <row r="11" spans="1:12" ht="13.2">
      <c r="A11" s="3289"/>
      <c r="B11" s="3297"/>
      <c r="C11" s="3381"/>
      <c r="D11" s="3300"/>
      <c r="E11" s="1895" t="s">
        <v>793</v>
      </c>
      <c r="F11" s="2125"/>
      <c r="G11" s="2125"/>
      <c r="H11" s="2125"/>
      <c r="I11" s="2249"/>
    </row>
    <row r="12" spans="1:12" ht="13.2">
      <c r="A12" s="3289" t="s">
        <v>794</v>
      </c>
      <c r="B12" s="3297">
        <v>15</v>
      </c>
      <c r="C12" s="3379"/>
      <c r="D12" s="3300"/>
      <c r="E12" s="1895" t="s">
        <v>795</v>
      </c>
      <c r="F12" s="2125"/>
      <c r="G12" s="2125"/>
      <c r="H12" s="2125"/>
      <c r="I12" s="2249"/>
    </row>
    <row r="13" spans="1:12" ht="13.2">
      <c r="A13" s="3289"/>
      <c r="B13" s="3297"/>
      <c r="C13" s="3381"/>
      <c r="D13" s="3300"/>
      <c r="E13" s="1895" t="s">
        <v>796</v>
      </c>
      <c r="F13" s="2125"/>
      <c r="G13" s="2125"/>
      <c r="H13" s="2125"/>
      <c r="I13" s="2249"/>
    </row>
    <row r="14" spans="1:12" ht="13.2">
      <c r="A14" s="3289" t="s">
        <v>797</v>
      </c>
      <c r="B14" s="3297">
        <v>30</v>
      </c>
      <c r="C14" s="3379">
        <v>7</v>
      </c>
      <c r="D14" s="3300">
        <v>3</v>
      </c>
      <c r="E14" s="1895" t="s">
        <v>798</v>
      </c>
      <c r="F14" s="2125"/>
      <c r="G14" s="2125"/>
      <c r="H14" s="2125"/>
      <c r="I14" s="2249"/>
    </row>
    <row r="15" spans="1:12" ht="13.2">
      <c r="A15" s="3289"/>
      <c r="B15" s="3297"/>
      <c r="C15" s="3380"/>
      <c r="D15" s="3300"/>
      <c r="E15" s="1895" t="s">
        <v>799</v>
      </c>
      <c r="F15" s="2125"/>
      <c r="G15" s="2125"/>
      <c r="H15" s="2125"/>
      <c r="I15" s="2249"/>
    </row>
    <row r="16" spans="1:12" ht="13.2">
      <c r="A16" s="3289"/>
      <c r="B16" s="3297"/>
      <c r="C16" s="3381"/>
      <c r="D16" s="3300"/>
      <c r="E16" s="1895" t="s">
        <v>800</v>
      </c>
      <c r="F16" s="2125"/>
      <c r="G16" s="2125"/>
      <c r="H16" s="2125"/>
      <c r="I16" s="2249"/>
    </row>
    <row r="17" spans="1:36" ht="14.4">
      <c r="A17" s="2126" t="s">
        <v>801</v>
      </c>
      <c r="B17" s="2127"/>
      <c r="C17" s="2128">
        <f>SUM(C5:C16)</f>
        <v>7</v>
      </c>
      <c r="D17" s="2128">
        <f>SUM(D5:D16)</f>
        <v>3</v>
      </c>
      <c r="E17" s="1458"/>
      <c r="F17" s="1458"/>
      <c r="G17" s="1458"/>
      <c r="H17" s="1458"/>
      <c r="I17" s="1458"/>
      <c r="K17" s="1855"/>
      <c r="L17" s="1855" t="s">
        <v>802</v>
      </c>
      <c r="M17" s="1855" t="s">
        <v>803</v>
      </c>
    </row>
    <row r="18" spans="1:36" ht="31.95" customHeight="1" thickBot="1">
      <c r="A18" s="2129" t="s">
        <v>804</v>
      </c>
      <c r="B18" s="2130"/>
      <c r="C18" s="2131">
        <f>ROUND(C17/SUM(C17:D17),2)</f>
        <v>0.7</v>
      </c>
      <c r="D18" s="2131">
        <f>1-C18</f>
        <v>0.30000000000000004</v>
      </c>
      <c r="E18" s="3370" t="s">
        <v>805</v>
      </c>
      <c r="F18" s="3371"/>
      <c r="G18" s="3371"/>
      <c r="H18" s="3371"/>
      <c r="I18" s="3371"/>
      <c r="K18" s="1855" t="s">
        <v>469</v>
      </c>
      <c r="L18" s="1855">
        <f>IF(C1="",'数据-汇总表'!E3,SUMIF(项目类型,C1,'数据-汇总表'!E17:E26)+SUMIF(项目类型,C1,'数据-汇总表'!I17:I26))</f>
        <v>374.94</v>
      </c>
      <c r="M18" s="1855">
        <f>IF(C1="",'数据-汇总表'!E3,SUMIF(项目类型,C1,'数据-汇总表'!E17:E26))</f>
        <v>374.94</v>
      </c>
    </row>
    <row r="19" spans="1:36" ht="14.4">
      <c r="A19" s="1129" t="s">
        <v>806</v>
      </c>
      <c r="B19" s="2132" t="s">
        <v>807</v>
      </c>
      <c r="C19" s="2133">
        <f ca="1">SUMIF(INDIRECT("'"&amp;C4&amp;"'"&amp;"!A:A"),结果表111!B19,INDIRECT("'"&amp;C4&amp;"'"&amp;"!B:B"))</f>
        <v>1174.9494999999999</v>
      </c>
      <c r="D19" s="1245">
        <f ca="1">SUMIF(INDIRECT("'"&amp;D4&amp;"'"&amp;"!A:A"),结果表111!B19,INDIRECT("'"&amp;D4&amp;"'"&amp;"!B:B"))</f>
        <v>809.1404</v>
      </c>
      <c r="E19" s="1129" t="s">
        <v>808</v>
      </c>
      <c r="F19" s="2132" t="s">
        <v>807</v>
      </c>
      <c r="G19" s="2134">
        <f ca="1">ROUND(C19*$C$18+D19*$D$18,0)</f>
        <v>1065</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SUMIF(INDIRECT("'"&amp;C4&amp;"'"&amp;"!A:A"),结果表111!B20,INDIRECT("'"&amp;C4&amp;"'"&amp;"!B:B"))</f>
        <v>31337</v>
      </c>
      <c r="D20" s="1602">
        <f ca="1">SUMIF(INDIRECT("'"&amp;D4&amp;"'"&amp;"!A:A"),结果表111!B20,INDIRECT("'"&amp;D4&amp;"'"&amp;"!B:B"))</f>
        <v>21581</v>
      </c>
      <c r="E20" s="2136"/>
      <c r="F20" s="2137" t="s">
        <v>810</v>
      </c>
      <c r="G20" s="2138">
        <f ca="1">ROUND(C20*$C$18+D20*$D$18,0)</f>
        <v>28410</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0.45209595269251168</v>
      </c>
      <c r="E22" s="1458"/>
      <c r="F22" s="1458"/>
      <c r="G22" s="1458"/>
      <c r="H22" s="1458"/>
      <c r="I22" s="1458"/>
    </row>
    <row r="23" spans="1:36" ht="13.8" thickBot="1">
      <c r="A23" s="1998"/>
      <c r="B23" s="1998"/>
      <c r="C23" s="1998"/>
      <c r="D23" s="1998"/>
      <c r="E23" s="1458"/>
      <c r="F23" s="1458"/>
      <c r="G23" s="1458"/>
      <c r="H23" s="1458"/>
      <c r="I23" s="1458"/>
    </row>
    <row r="24" spans="1:36" ht="14.4">
      <c r="A24" s="3290" t="s">
        <v>814</v>
      </c>
      <c r="B24" s="2132" t="s">
        <v>807</v>
      </c>
      <c r="C24" s="2134">
        <f>IF(B30=0,0,D30)</f>
        <v>0</v>
      </c>
      <c r="D24" s="2148"/>
      <c r="E24" s="1458"/>
      <c r="F24" s="1458"/>
      <c r="G24" s="1458"/>
      <c r="H24" s="1458"/>
      <c r="I24" s="1458"/>
    </row>
    <row r="25" spans="1:36" ht="14.4">
      <c r="A25" s="3291"/>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822</v>
      </c>
      <c r="B32" s="2158"/>
      <c r="C32" s="2159">
        <f ca="1">IF(D32="总价",G19-C24,G20-C25)</f>
        <v>28410</v>
      </c>
      <c r="D32" s="2160" t="s">
        <v>823</v>
      </c>
      <c r="E32" s="1458"/>
      <c r="F32" s="1458"/>
      <c r="G32" s="1458"/>
      <c r="H32" s="1458"/>
      <c r="I32" s="1458"/>
    </row>
    <row r="33" spans="1:15" ht="14.4">
      <c r="A33" s="2161" t="s">
        <v>824</v>
      </c>
      <c r="B33" s="1895"/>
      <c r="C33" s="2162" t="s">
        <v>2793</v>
      </c>
      <c r="D33" s="2163" t="s">
        <v>266</v>
      </c>
      <c r="E33" s="2164" t="s">
        <v>825</v>
      </c>
      <c r="F33" s="2165" t="str">
        <f>IF(D32="楼面单价","取值（单价）","取值（总价）")</f>
        <v>取值（单价）</v>
      </c>
      <c r="G33" s="1458"/>
      <c r="H33" s="1458"/>
      <c r="I33" s="1458"/>
    </row>
    <row r="34" spans="1:15" ht="14.4">
      <c r="A34" s="2166"/>
      <c r="B34" s="2167" t="s">
        <v>826</v>
      </c>
      <c r="C34" s="2168">
        <f ca="1">IF(C33="自定义",F34,C32-C35)</f>
        <v>20540</v>
      </c>
      <c r="D34" s="2169">
        <f ca="1">IF(C33="自定义",ROUND(C34/C32,3),IF(C33="收益比率",SUMIF(INDIRECT("'"&amp;D33&amp;"'"&amp;"!b:b"),"土地收益比率",INDIRECT("'"&amp;D33&amp;"'"&amp;"!c:c")),SUMIF(INDIRECT("'"&amp;D33&amp;"'"&amp;"!b:b"),"土地成本比率",INDIRECT("'"&amp;D33&amp;"'"&amp;"!c:c"))))</f>
        <v>0.72299999999999998</v>
      </c>
      <c r="E34" s="2170" t="s">
        <v>827</v>
      </c>
      <c r="F34" s="2171"/>
      <c r="G34" s="1458"/>
      <c r="H34" s="1458"/>
      <c r="I34" s="1458"/>
    </row>
    <row r="35" spans="1:15" ht="15" thickBot="1">
      <c r="A35" s="2172"/>
      <c r="B35" s="2173" t="s">
        <v>828</v>
      </c>
      <c r="C35" s="2174">
        <f ca="1">IF(C33="自定义",F35,ROUND(C32*D35,0))</f>
        <v>7870</v>
      </c>
      <c r="D35" s="2175">
        <f ca="1">IF(C33="自定义",ROUND(C35/C32,3),IF(C33="收益比率",SUMIF(INDIRECT("'"&amp;D33&amp;"'"&amp;"!b:b"),"建筑物收益比率",INDIRECT("'"&amp;D33&amp;"'"&amp;"!c:c")),SUMIF(INDIRECT("'"&amp;D33&amp;"'"&amp;"!b:b"),"建筑物成本比率",INDIRECT("'"&amp;D33&amp;"'"&amp;"!c:c"))))</f>
        <v>0.27700000000000002</v>
      </c>
      <c r="E35" s="2176" t="s">
        <v>829</v>
      </c>
      <c r="F35" s="2177"/>
      <c r="G35" s="1458"/>
      <c r="H35" s="1458"/>
      <c r="I35" s="1458"/>
    </row>
    <row r="36" spans="1:15" ht="15" thickBot="1">
      <c r="A36" s="3292" t="s">
        <v>830</v>
      </c>
      <c r="B36" s="2178" t="s">
        <v>831</v>
      </c>
      <c r="C36" s="2179"/>
      <c r="D36" s="2180"/>
      <c r="E36" s="2181"/>
      <c r="F36" s="2182"/>
      <c r="G36" s="1458"/>
      <c r="H36" s="1458"/>
      <c r="I36" s="1458"/>
    </row>
    <row r="37" spans="1:15" ht="15" thickBot="1">
      <c r="A37" s="3293"/>
      <c r="B37" s="2183" t="s">
        <v>832</v>
      </c>
      <c r="C37" s="2184"/>
      <c r="D37" s="2185"/>
      <c r="E37" s="2185"/>
      <c r="F37" s="2182"/>
      <c r="G37" s="1458"/>
      <c r="H37" s="1458"/>
      <c r="I37" s="1458"/>
    </row>
    <row r="38" spans="1:15" ht="15" thickBot="1">
      <c r="A38" s="3294"/>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thickBot="1">
      <c r="A45" s="3372" t="s">
        <v>841</v>
      </c>
      <c r="B45" s="3373"/>
      <c r="C45" s="3374"/>
      <c r="D45" s="2204">
        <f ca="1">ROUND(H101*F45,4)</f>
        <v>1065</v>
      </c>
      <c r="E45" s="2205" t="s">
        <v>842</v>
      </c>
      <c r="F45" s="2206">
        <v>1</v>
      </c>
      <c r="G45" s="1865" t="s">
        <v>843</v>
      </c>
      <c r="H45" s="1458"/>
      <c r="I45" s="1458"/>
      <c r="J45" s="3361" t="s">
        <v>844</v>
      </c>
      <c r="K45" s="3361"/>
      <c r="L45" s="3361"/>
      <c r="M45" s="3361"/>
      <c r="N45" s="3361"/>
      <c r="O45" s="3361"/>
    </row>
    <row r="46" spans="1:15" ht="14.25" customHeight="1">
      <c r="A46" s="3375" t="s">
        <v>845</v>
      </c>
      <c r="B46" s="3376"/>
      <c r="C46" s="3376"/>
      <c r="D46" s="3376"/>
      <c r="E46" s="3376"/>
      <c r="F46" s="3376"/>
      <c r="G46" s="3377"/>
      <c r="H46" s="2207"/>
      <c r="I46" s="1459"/>
      <c r="J46" s="576">
        <v>1</v>
      </c>
      <c r="K46" s="3351" t="s">
        <v>846</v>
      </c>
      <c r="L46" s="3351"/>
      <c r="M46" s="3378"/>
      <c r="N46" s="3378"/>
      <c r="O46" s="3378"/>
    </row>
    <row r="47" spans="1:15" ht="12" customHeight="1">
      <c r="A47" s="2208" t="s">
        <v>847</v>
      </c>
      <c r="B47" s="2209"/>
      <c r="C47" s="2210"/>
      <c r="D47" s="1904" t="s">
        <v>848</v>
      </c>
      <c r="E47" s="1855" t="s">
        <v>849</v>
      </c>
      <c r="F47" s="2211" t="s">
        <v>850</v>
      </c>
      <c r="G47" s="2212" t="s">
        <v>851</v>
      </c>
      <c r="H47" s="2213"/>
      <c r="I47" s="1459"/>
      <c r="J47" s="576">
        <v>2</v>
      </c>
      <c r="K47" s="3351" t="s">
        <v>852</v>
      </c>
      <c r="L47" s="3351"/>
      <c r="M47" s="3358">
        <f>'数据-取费表'!B2</f>
        <v>45839</v>
      </c>
      <c r="N47" s="3358"/>
      <c r="O47" s="3358"/>
    </row>
    <row r="48" spans="1:15" ht="39.6">
      <c r="A48" s="3359" t="s">
        <v>853</v>
      </c>
      <c r="B48" s="3353"/>
      <c r="C48" s="3353"/>
      <c r="D48" s="2005">
        <f ca="1">IF(H48="情况1",0,IF(H48="情况2",D52,IF(H48="情况3",D53,IF(H48="情况4",D54))))</f>
        <v>55.785699999999999</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51" t="s">
        <v>856</v>
      </c>
      <c r="L48" s="3351"/>
      <c r="M48" s="3360">
        <f ca="1">H101</f>
        <v>1065</v>
      </c>
      <c r="N48" s="3360"/>
      <c r="O48" s="3360"/>
    </row>
    <row r="49" spans="1:35" ht="25.5" customHeight="1">
      <c r="A49" s="2214" t="s">
        <v>857</v>
      </c>
      <c r="B49" s="3327" t="s">
        <v>858</v>
      </c>
      <c r="C49" s="3327"/>
      <c r="D49" s="2218">
        <v>0</v>
      </c>
      <c r="E49" s="1914" t="s">
        <v>859</v>
      </c>
      <c r="F49" s="2219" t="s">
        <v>124</v>
      </c>
      <c r="G49" s="3354"/>
      <c r="H49" s="2220" t="s">
        <v>860</v>
      </c>
      <c r="I49" s="2255"/>
      <c r="J49" s="576">
        <v>4</v>
      </c>
      <c r="K49" s="3351" t="str">
        <f>IF(项目基本情况!E8="房地产抵押价值","房地产抵押价值","抵押担保权已注销时的房地产抵押价值")</f>
        <v>房地产抵押价值</v>
      </c>
      <c r="L49" s="3351"/>
      <c r="M49" s="3360">
        <f ca="1">IF(项目基本情况!E8="房地产抵押价值",H107,H109)</f>
        <v>1065</v>
      </c>
      <c r="N49" s="3360"/>
      <c r="O49" s="3360"/>
    </row>
    <row r="50" spans="1:35" ht="25.5" customHeight="1">
      <c r="A50" s="2221"/>
      <c r="B50" s="3327" t="s">
        <v>861</v>
      </c>
      <c r="C50" s="3327"/>
      <c r="D50" s="2222"/>
      <c r="E50" s="1929"/>
      <c r="F50" s="2219"/>
      <c r="G50" s="3355"/>
      <c r="H50" s="2223" t="s">
        <v>862</v>
      </c>
      <c r="I50" s="2255"/>
      <c r="J50" s="3361" t="s">
        <v>863</v>
      </c>
      <c r="K50" s="3361"/>
      <c r="L50" s="3361"/>
      <c r="M50" s="3361"/>
      <c r="N50" s="3361"/>
      <c r="O50" s="3361"/>
    </row>
    <row r="51" spans="1:35" ht="20.399999999999999" customHeight="1">
      <c r="A51" s="2224"/>
      <c r="B51" s="3327" t="s">
        <v>864</v>
      </c>
      <c r="C51" s="3327"/>
      <c r="D51" s="1904"/>
      <c r="E51" s="1918"/>
      <c r="F51" s="2219"/>
      <c r="G51" s="3356"/>
      <c r="H51" s="2223" t="s">
        <v>865</v>
      </c>
      <c r="I51" s="2255"/>
      <c r="J51" s="2254" t="s">
        <v>866</v>
      </c>
      <c r="K51" s="3351" t="s">
        <v>867</v>
      </c>
      <c r="L51" s="3351"/>
      <c r="M51" s="2254" t="s">
        <v>868</v>
      </c>
      <c r="N51" s="2254" t="s">
        <v>869</v>
      </c>
      <c r="O51" s="2254" t="s">
        <v>870</v>
      </c>
    </row>
    <row r="52" spans="1:35" ht="24" customHeight="1">
      <c r="A52" s="2225" t="s">
        <v>871</v>
      </c>
      <c r="B52" s="3327" t="s">
        <v>872</v>
      </c>
      <c r="C52" s="3327"/>
      <c r="D52" s="1904">
        <f ca="1">ROUND(D45*'数据-取费表'!B41/(1+'数据-取费表'!C42),0)</f>
        <v>56</v>
      </c>
      <c r="E52" s="1908" t="s">
        <v>873</v>
      </c>
      <c r="F52" s="2226">
        <f>'数据-取费表'!B41</f>
        <v>5.5000000000000007E-2</v>
      </c>
      <c r="G52" s="2227"/>
      <c r="H52" s="2019"/>
      <c r="I52" s="2256"/>
      <c r="J52" s="576">
        <v>1</v>
      </c>
      <c r="K52" s="3347" t="s">
        <v>874</v>
      </c>
      <c r="L52" s="3347"/>
      <c r="M52" s="2257">
        <f ca="1">D48</f>
        <v>55.785699999999999</v>
      </c>
      <c r="N52" s="576" t="str">
        <f>E48</f>
        <v>(销售额-原购置价)×税（费）率</v>
      </c>
      <c r="O52" s="2258">
        <f>F48</f>
        <v>5.5000000000000007E-2</v>
      </c>
    </row>
    <row r="53" spans="1:35" ht="12" customHeight="1">
      <c r="A53" s="2225" t="s">
        <v>875</v>
      </c>
      <c r="B53" s="3326" t="s">
        <v>876</v>
      </c>
      <c r="C53" s="3343"/>
      <c r="D53" s="1904">
        <f ca="1">ROUND(D45*'数据-取费表'!B41/(1+'数据-取费表'!C42),0)</f>
        <v>56</v>
      </c>
      <c r="E53" s="1908" t="s">
        <v>873</v>
      </c>
      <c r="F53" s="2226">
        <f>'数据-取费表'!B41</f>
        <v>5.5000000000000007E-2</v>
      </c>
      <c r="G53" s="2227"/>
      <c r="H53" s="2019"/>
      <c r="I53" s="2256"/>
      <c r="J53" s="576">
        <v>2</v>
      </c>
      <c r="K53" s="3347" t="s">
        <v>877</v>
      </c>
      <c r="L53" s="3347"/>
      <c r="M53" s="2257">
        <f t="shared" ref="M53:O54" ca="1" si="0">D55</f>
        <v>0.53249999999999997</v>
      </c>
      <c r="N53" s="576" t="str">
        <f t="shared" si="0"/>
        <v>销售额×税（费）率</v>
      </c>
      <c r="O53" s="2258">
        <f t="shared" si="0"/>
        <v>5.0000000000000001E-4</v>
      </c>
    </row>
    <row r="54" spans="1:35" ht="12" customHeight="1">
      <c r="A54" s="2225" t="s">
        <v>878</v>
      </c>
      <c r="B54" s="3326" t="s">
        <v>879</v>
      </c>
      <c r="C54" s="3343"/>
      <c r="D54" s="1904">
        <f ca="1">C68</f>
        <v>55.785699999999999</v>
      </c>
      <c r="E54" s="1918" t="s">
        <v>880</v>
      </c>
      <c r="F54" s="2226">
        <f>'数据-取费表'!B41</f>
        <v>5.5000000000000007E-2</v>
      </c>
      <c r="G54" s="2227"/>
      <c r="H54" s="2228"/>
      <c r="I54" s="2256"/>
      <c r="J54" s="576">
        <v>3</v>
      </c>
      <c r="K54" s="3347" t="s">
        <v>881</v>
      </c>
      <c r="L54" s="3347"/>
      <c r="M54" s="2257">
        <f t="shared" ca="1" si="0"/>
        <v>603.75360000000001</v>
      </c>
      <c r="N54" s="576" t="str">
        <f t="shared" si="0"/>
        <v>增值额×税（费）率</v>
      </c>
      <c r="O54" s="2259" t="str">
        <f t="shared" si="0"/>
        <v>——</v>
      </c>
    </row>
    <row r="55" spans="1:35" ht="24" customHeight="1">
      <c r="A55" s="3352" t="s">
        <v>882</v>
      </c>
      <c r="B55" s="3353"/>
      <c r="C55" s="3353"/>
      <c r="D55" s="2229">
        <f ca="1">IF(H55="个人住宅",0,ROUND(D45*I55,4))</f>
        <v>0.53249999999999997</v>
      </c>
      <c r="E55" s="1908" t="s">
        <v>883</v>
      </c>
      <c r="F55" s="2226">
        <f>IF(H55="正常",I55,"免征")</f>
        <v>5.0000000000000001E-4</v>
      </c>
      <c r="G55" s="2227"/>
      <c r="H55" s="2217" t="s">
        <v>884</v>
      </c>
      <c r="I55" s="2260">
        <f>'数据-取费表'!B49</f>
        <v>5.0000000000000001E-4</v>
      </c>
      <c r="J55" s="576">
        <f>IF(H59="非个人房产","",4)</f>
        <v>4</v>
      </c>
      <c r="K55" s="3347" t="str">
        <f>IF(H59="非个人房产","——","个人所得税")</f>
        <v>个人所得税</v>
      </c>
      <c r="L55" s="3347"/>
      <c r="M55" s="2261">
        <f ca="1">D59</f>
        <v>10.65</v>
      </c>
      <c r="N55" s="557" t="str">
        <f>E59</f>
        <v>销售额×税（费）率</v>
      </c>
      <c r="O55" s="2262">
        <f>F59</f>
        <v>0.01</v>
      </c>
    </row>
    <row r="56" spans="1:35" ht="25.2">
      <c r="A56" s="3352" t="s">
        <v>885</v>
      </c>
      <c r="B56" s="3353"/>
      <c r="C56" s="3353"/>
      <c r="D56" s="2005">
        <f ca="1">IF(H56="个人住宅",D57,D58)</f>
        <v>603.75360000000001</v>
      </c>
      <c r="E56" s="1908" t="s">
        <v>886</v>
      </c>
      <c r="F56" s="2226" t="str">
        <f>IF(H56="正常",F58,"免征")</f>
        <v>——</v>
      </c>
      <c r="G56" s="2230" t="s">
        <v>887</v>
      </c>
      <c r="H56" s="2231" t="s">
        <v>884</v>
      </c>
      <c r="I56" s="2239"/>
      <c r="J56" s="576" t="str">
        <f>IF(项目基本情况!K6="上海银行",IF(J55="",4,J55+1),"")</f>
        <v/>
      </c>
      <c r="K56" s="3341" t="str">
        <f>IF(项目基本情况!K6="上海银行","其他处置费用","")</f>
        <v/>
      </c>
      <c r="L56" s="3357"/>
      <c r="M56" s="2257" t="str">
        <f>IF(项目基本情况!K6="上海银行",M69,"")</f>
        <v/>
      </c>
      <c r="N56" s="3341" t="str">
        <f>IF(项目基本情况!K6="上海银行","包含处置中涉及的律师、诉讼、拍卖、评估等费用","")</f>
        <v/>
      </c>
      <c r="O56" s="3342"/>
    </row>
    <row r="57" spans="1:35" ht="13.2">
      <c r="A57" s="2225" t="s">
        <v>857</v>
      </c>
      <c r="B57" s="3326" t="s">
        <v>888</v>
      </c>
      <c r="C57" s="3343"/>
      <c r="D57" s="2218">
        <v>0</v>
      </c>
      <c r="E57" s="1914" t="s">
        <v>859</v>
      </c>
      <c r="F57" s="1855"/>
      <c r="G57" s="2227"/>
      <c r="H57" s="2232"/>
      <c r="I57" s="2239"/>
      <c r="J57" s="3347">
        <f>IF(AND(J55="",J56=""),4,IF(项目基本情况!K6="上海银行",结果表111!J56+1,结果表111!J55+1))</f>
        <v>5</v>
      </c>
      <c r="K57" s="3347" t="s">
        <v>889</v>
      </c>
      <c r="L57" s="2264" t="s">
        <v>890</v>
      </c>
      <c r="M57" s="2265"/>
      <c r="N57" s="2266">
        <f ca="1">SUMIF(M52:M56,"&lt;9e307")</f>
        <v>670.72180000000003</v>
      </c>
      <c r="O57" s="2267"/>
      <c r="P57" s="2268">
        <f ca="1">N57/M49</f>
        <v>0.62978572769953056</v>
      </c>
    </row>
    <row r="58" spans="1:35" ht="25.2">
      <c r="A58" s="2225" t="s">
        <v>871</v>
      </c>
      <c r="B58" s="3326" t="s">
        <v>891</v>
      </c>
      <c r="C58" s="3327"/>
      <c r="D58" s="2005">
        <f ca="1">IF(H58="转让取得",C81,C97)</f>
        <v>603.75360000000001</v>
      </c>
      <c r="E58" s="1908" t="s">
        <v>886</v>
      </c>
      <c r="F58" s="1855" t="s">
        <v>124</v>
      </c>
      <c r="G58" s="2227"/>
      <c r="H58" s="2231" t="s">
        <v>892</v>
      </c>
      <c r="I58" s="2239"/>
      <c r="J58" s="3347"/>
      <c r="K58" s="3347"/>
      <c r="L58" s="2264" t="s">
        <v>893</v>
      </c>
      <c r="M58" s="2269"/>
      <c r="N58" s="2270" t="str">
        <f ca="1">NUMBERSTRING(INT(N57*10000),2)&amp;"元整"</f>
        <v>陆佰柒拾万柒仟贰佰壹拾捌元整</v>
      </c>
      <c r="O58" s="2271"/>
    </row>
    <row r="59" spans="1:35" ht="27" thickBot="1">
      <c r="A59" s="3344" t="s">
        <v>894</v>
      </c>
      <c r="B59" s="3345"/>
      <c r="C59" s="3345"/>
      <c r="D59" s="3177">
        <f ca="1">IF(H59="非个人房产","——",IF(H59="个人住宅（满五唯一有凭证）",0,IF(H59="个人其他（无凭证）",ROUND(D45*F59,4),ROUND(C67*F59,4))))</f>
        <v>10.65</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2794</v>
      </c>
      <c r="I59" s="2272" t="s">
        <v>895</v>
      </c>
      <c r="J59" s="3348">
        <f>J57+1</f>
        <v>6</v>
      </c>
      <c r="K59" s="3347" t="s">
        <v>896</v>
      </c>
      <c r="L59" s="576" t="s">
        <v>890</v>
      </c>
      <c r="M59" s="2273"/>
      <c r="N59" s="2274">
        <f ca="1">M49-N57</f>
        <v>394.27819999999997</v>
      </c>
      <c r="O59" s="2275"/>
    </row>
    <row r="60" spans="1:35" ht="12" customHeight="1">
      <c r="A60" s="2237"/>
      <c r="B60" s="1998"/>
      <c r="C60" s="1998"/>
      <c r="D60" s="1998"/>
      <c r="E60" s="2238"/>
      <c r="F60" s="2239"/>
      <c r="G60" s="2239"/>
      <c r="H60" s="1459"/>
      <c r="I60" s="1458"/>
      <c r="J60" s="3349"/>
      <c r="K60" s="3347"/>
      <c r="L60" s="2264" t="s">
        <v>893</v>
      </c>
      <c r="M60" s="2269"/>
      <c r="N60" s="2270" t="str">
        <f ca="1">NUMBERSTRING(INT(N59*10000),2)&amp;"元整"</f>
        <v>叁佰玖拾肆万贰仟柒佰捌拾贰元整</v>
      </c>
      <c r="O60" s="2271"/>
    </row>
    <row r="61" spans="1:35" ht="13.8" thickBot="1">
      <c r="A61" s="3346" t="s">
        <v>897</v>
      </c>
      <c r="B61" s="3346"/>
      <c r="C61" s="3346"/>
      <c r="D61" s="3346"/>
      <c r="E61" s="3346"/>
      <c r="F61" s="2239"/>
      <c r="G61" s="2239"/>
      <c r="H61" s="1459"/>
      <c r="I61" s="1458"/>
      <c r="J61" s="576">
        <f>J59+1</f>
        <v>7</v>
      </c>
      <c r="K61" s="3347" t="s">
        <v>898</v>
      </c>
      <c r="L61" s="3347"/>
      <c r="M61" s="2276"/>
      <c r="N61" s="2488">
        <f ca="1">ROUND(N59*10000/'数据-汇总表'!E3,0)</f>
        <v>4452</v>
      </c>
      <c r="O61" s="2277"/>
    </row>
    <row r="62" spans="1:35" ht="13.2">
      <c r="A62" s="3324" t="s">
        <v>899</v>
      </c>
      <c r="B62" s="3325"/>
      <c r="C62" s="528"/>
      <c r="D62" s="528" t="s">
        <v>900</v>
      </c>
      <c r="E62" s="2240" t="s">
        <v>851</v>
      </c>
      <c r="F62" s="2239"/>
      <c r="G62" s="2239"/>
      <c r="H62" s="1459"/>
      <c r="I62" s="1458"/>
    </row>
    <row r="63" spans="1:35" ht="13.2">
      <c r="A63" s="2241" t="s">
        <v>901</v>
      </c>
      <c r="B63" s="586" t="s">
        <v>902</v>
      </c>
      <c r="C63" s="2242">
        <f ca="1">ROUND((C64+C65)/(1+'数据-取费表'!C42),4)</f>
        <v>1014.2857</v>
      </c>
      <c r="D63" s="586"/>
      <c r="E63" s="2243"/>
      <c r="F63" s="2239"/>
      <c r="G63" s="2239"/>
      <c r="H63" s="1459"/>
      <c r="I63" s="1458"/>
      <c r="J63" s="3350" t="s">
        <v>903</v>
      </c>
      <c r="K63" s="2278" t="s">
        <v>904</v>
      </c>
      <c r="L63" s="2278">
        <f ca="1">IF(M49&gt;10000,M49*0.5%,IF(AND(M49&gt;1000,M49&lt;=10000),M49*1%,IF(AND(M49&gt;100,M49&lt;=1000),M49*3%,IF(AND(M49&gt;10,M49&lt;=100),M49*5%,M49*8%))))</f>
        <v>10.65</v>
      </c>
      <c r="M63" s="1855">
        <f ca="1">ROUND(L63,1)</f>
        <v>10.7</v>
      </c>
      <c r="N63" s="2279"/>
      <c r="Z63" s="2113"/>
      <c r="AI63" s="2114"/>
    </row>
    <row r="64" spans="1:35" ht="14.25" customHeight="1">
      <c r="A64" s="2244" t="s">
        <v>905</v>
      </c>
      <c r="B64" s="509" t="s">
        <v>906</v>
      </c>
      <c r="C64" s="2245">
        <f ca="1">D45</f>
        <v>1065</v>
      </c>
      <c r="D64" s="509" t="s">
        <v>124</v>
      </c>
      <c r="E64" s="2246"/>
      <c r="F64" s="2239"/>
      <c r="G64" s="2239"/>
      <c r="H64" s="1459"/>
      <c r="I64" s="1458"/>
      <c r="J64" s="3350"/>
      <c r="K64" s="2278" t="s">
        <v>907</v>
      </c>
      <c r="L64" s="2278">
        <f ca="1">IF(M49&gt;2000,M49*0.5%,IF(AND(M49&gt;1000,M49&lt;=2000),M49*0.6%,IF(AND(M49&gt;500,M49&lt;=1000),M49*0.7%,IF(AND(M49&gt;200,M49&lt;=500),M49*0.8%,IF(AND(M49&gt;100,M49&lt;=200),M49*0.9%,IF(AND(M49&gt;50,M49&lt;=100),M49*1%,IF(AND(M49&gt;20,M49&lt;=50),M49*1.5%,IF(AND(M49&gt;10,M49&lt;=20),M49*2%,IF(AND(M49&gt;1,M49&lt;=10),M49*2.5%)))))))))</f>
        <v>6.3900000000000006</v>
      </c>
      <c r="M64" s="1855">
        <f t="shared" ref="M64:M65" ca="1" si="1">ROUND(L64,1)</f>
        <v>6.4</v>
      </c>
      <c r="N64" s="2019" t="s">
        <v>908</v>
      </c>
      <c r="Z64" s="2113"/>
      <c r="AI64" s="2114"/>
    </row>
    <row r="65" spans="1:35" ht="14.25" customHeight="1">
      <c r="A65" s="2244" t="s">
        <v>909</v>
      </c>
      <c r="B65" s="509" t="s">
        <v>910</v>
      </c>
      <c r="C65" s="2281"/>
      <c r="D65" s="509"/>
      <c r="E65" s="2246"/>
      <c r="F65" s="2239"/>
      <c r="G65" s="2239"/>
      <c r="H65" s="1459"/>
      <c r="I65" s="1458"/>
      <c r="J65" s="3350"/>
      <c r="K65" s="2278" t="s">
        <v>911</v>
      </c>
      <c r="L65" s="2278">
        <f ca="1">IF(M49&gt;1000,M49*0.1%,IF(AND(M49&gt;500,M49&lt;=1000),M49*0.5%,IF(AND(M49&gt;50,M49&lt;=500),M49*1%,IF(AND(M49&gt;1,M49&lt;=50),M49*1.5%))))</f>
        <v>1.0649999999999999</v>
      </c>
      <c r="M65" s="1855">
        <f t="shared" ca="1" si="1"/>
        <v>1.1000000000000001</v>
      </c>
      <c r="N65" s="2019" t="s">
        <v>908</v>
      </c>
      <c r="Z65" s="2113"/>
      <c r="AI65" s="2114"/>
    </row>
    <row r="66" spans="1:35" ht="14.25" customHeight="1">
      <c r="A66" s="2241" t="s">
        <v>912</v>
      </c>
      <c r="B66" s="2282" t="s">
        <v>913</v>
      </c>
      <c r="C66" s="2283"/>
      <c r="D66" s="2282" t="s">
        <v>124</v>
      </c>
      <c r="E66" s="2284" t="s">
        <v>914</v>
      </c>
      <c r="F66" s="2239"/>
      <c r="G66" s="2239"/>
      <c r="H66" s="1459"/>
      <c r="I66" s="1458"/>
      <c r="J66" s="3350"/>
      <c r="K66" s="2278" t="s">
        <v>915</v>
      </c>
      <c r="L66" s="2278">
        <f ca="1">M49*0.5%</f>
        <v>5.3250000000000002</v>
      </c>
      <c r="M66" s="1855">
        <f ca="1">IF(L66&gt;0.5,0.5,ROUND(L66,0))</f>
        <v>0.5</v>
      </c>
      <c r="N66" s="2019" t="s">
        <v>916</v>
      </c>
      <c r="Z66" s="2113"/>
      <c r="AI66" s="2114"/>
    </row>
    <row r="67" spans="1:35" ht="14.25" customHeight="1">
      <c r="A67" s="2241" t="s">
        <v>917</v>
      </c>
      <c r="B67" s="2282" t="s">
        <v>918</v>
      </c>
      <c r="C67" s="2285">
        <f ca="1">C63-C66</f>
        <v>1014.2857</v>
      </c>
      <c r="D67" s="509" t="s">
        <v>124</v>
      </c>
      <c r="E67" s="2246"/>
      <c r="F67" s="2239"/>
      <c r="G67" s="2239"/>
      <c r="H67" s="1459"/>
      <c r="I67" s="1458"/>
      <c r="J67" s="3350"/>
      <c r="K67" s="2278" t="s">
        <v>919</v>
      </c>
      <c r="L67" s="2278">
        <f ca="1">IF(M49&gt;=10000,(8.25+(M49-10000)*0.01%),IF(AND(M49&gt;=8000,M49&lt;10000),(7.85+(M49-8000)*0.02%),IF(AND(M49&gt;=5000,M49&lt;8000),(6.65+(M49-5000)*0.04%),IF(AND(M49&gt;=2000,M49&lt;5000),(4.25+(PM49-2000)*0.08%),IF(AND(M49&gt;=1000,M49&lt;2000),(2.75+(M49-1000)*0.15%),IF(AND(M49&gt;=100,M49&lt;1000),(0.5+(M49-100)*0.25%),IF(AND(M49&gt;0,M49&lt;100),M49*0.5%)))))))</f>
        <v>2.8475000000000001</v>
      </c>
      <c r="M67" s="1855">
        <f ca="1">ROUND(L67*0.9,1)</f>
        <v>2.6</v>
      </c>
      <c r="N67" s="2279"/>
      <c r="Z67" s="2113"/>
      <c r="AI67" s="2114"/>
    </row>
    <row r="68" spans="1:35" ht="14.25" customHeight="1" thickBot="1">
      <c r="A68" s="2286" t="s">
        <v>920</v>
      </c>
      <c r="B68" s="2287" t="s">
        <v>921</v>
      </c>
      <c r="C68" s="2288">
        <f ca="1">IF(C67&lt;=0,0,ROUND(C67*D68,4))</f>
        <v>55.785699999999999</v>
      </c>
      <c r="D68" s="771">
        <f>'数据-取费表'!B41</f>
        <v>5.5000000000000007E-2</v>
      </c>
      <c r="E68" s="2289"/>
      <c r="F68" s="2239"/>
      <c r="G68" s="2239"/>
      <c r="H68" s="1459"/>
      <c r="I68" s="1458"/>
      <c r="J68" s="3350"/>
      <c r="K68" s="2278" t="s">
        <v>922</v>
      </c>
      <c r="L68" s="2278">
        <f ca="1">IF(M49&gt;10000,M49*0.5%,IF(AND(M49&gt;5000,M49&lt;=10000),M49*1%,IF(AND(M49&gt;1000,M49&lt;=5000),M49*2%,IF(AND(M49&gt;200,M49&lt;=1000),M49*3%,M49*5%))))</f>
        <v>21.3</v>
      </c>
      <c r="M68" s="1855">
        <f ca="1">ROUND(L68,1)</f>
        <v>21.3</v>
      </c>
      <c r="N68" s="2279"/>
      <c r="Z68" s="2113"/>
      <c r="AI68" s="2114"/>
    </row>
    <row r="69" spans="1:35" ht="16.5" customHeight="1">
      <c r="A69" s="2290"/>
      <c r="B69" s="2291"/>
      <c r="C69" s="2292"/>
      <c r="D69" s="693"/>
      <c r="E69" s="2293"/>
      <c r="F69" s="2238"/>
      <c r="G69" s="2238"/>
      <c r="H69" s="2198"/>
      <c r="I69" s="1998"/>
      <c r="J69" s="3350"/>
      <c r="K69" s="2278" t="s">
        <v>923</v>
      </c>
      <c r="L69" s="2278"/>
      <c r="M69" s="1855">
        <f ca="1">ROUND(SUM(M63:M68),0)</f>
        <v>43</v>
      </c>
      <c r="N69" s="2358">
        <f ca="1">M69/M49</f>
        <v>4.0375586854460091E-2</v>
      </c>
      <c r="Z69" s="2113"/>
      <c r="AI69" s="2114"/>
    </row>
    <row r="70" spans="1:35" s="886" customFormat="1" ht="14.4" thickBot="1">
      <c r="A70" s="3322" t="s">
        <v>924</v>
      </c>
      <c r="B70" s="3323"/>
      <c r="C70" s="3323"/>
      <c r="D70" s="3323"/>
      <c r="E70" s="3323"/>
      <c r="F70" s="3323"/>
      <c r="G70" s="3323"/>
      <c r="H70" s="3323"/>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24" t="s">
        <v>899</v>
      </c>
      <c r="B71" s="3325"/>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1014.2857</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5.0713999999999997</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26" t="s">
        <v>935</v>
      </c>
      <c r="F76" s="3327"/>
      <c r="G76" s="3327"/>
      <c r="H76" s="3328"/>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5.0713999999999997</v>
      </c>
      <c r="D78" s="2310">
        <f>'数据-取费表'!B43</f>
        <v>5.000000000000001E-3</v>
      </c>
      <c r="E78" s="3304" t="s">
        <v>941</v>
      </c>
      <c r="F78" s="3305"/>
      <c r="G78" s="3305"/>
      <c r="H78" s="3306"/>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1009.2143</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199.00112394999408</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944</v>
      </c>
      <c r="B81" s="2287" t="s">
        <v>945</v>
      </c>
      <c r="C81" s="2315">
        <f ca="1">ROUND(IF(C79&lt;=0,0,IF(C80&gt;=200%,C79*60%-C73*35%,IF(C80&gt;=100%,C79*50%-C73*15%,IF(C80&gt;=50%,C79*40%-C73*5%,IF(C80&lt;50%,C79*30%,0))))),4)</f>
        <v>603.75360000000001</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22" t="s">
        <v>946</v>
      </c>
      <c r="B83" s="3323"/>
      <c r="C83" s="3323"/>
      <c r="D83" s="3323"/>
      <c r="E83" s="3323"/>
      <c r="F83" s="3323"/>
      <c r="G83" s="3323"/>
      <c r="H83" s="3323"/>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24" t="s">
        <v>899</v>
      </c>
      <c r="B84" s="3325"/>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1014</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36" t="s">
        <v>954</v>
      </c>
      <c r="H90" s="3337"/>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04" t="s">
        <v>958</v>
      </c>
      <c r="F91" s="3305"/>
      <c r="G91" s="3305"/>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04" t="s">
        <v>961</v>
      </c>
      <c r="F92" s="3305"/>
      <c r="G92" s="3305"/>
      <c r="H92" s="3306"/>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5</v>
      </c>
      <c r="D93" s="2310">
        <f>'数据-取费表'!B43</f>
        <v>5.000000000000001E-3</v>
      </c>
      <c r="E93" s="3304" t="s">
        <v>941</v>
      </c>
      <c r="F93" s="3305"/>
      <c r="G93" s="3305"/>
      <c r="H93" s="3306"/>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07" t="s">
        <v>966</v>
      </c>
      <c r="F94" s="3308"/>
      <c r="G94" s="3308"/>
      <c r="H94" s="3309"/>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1009</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201.8</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944</v>
      </c>
      <c r="B97" s="2287" t="s">
        <v>945</v>
      </c>
      <c r="C97" s="2331">
        <f ca="1">ROUND(IF(C95&lt;=0,0,IF(C96&gt;=200%,C95*60%-C86*35%,IF(C96&gt;=100%,C95*50%-C86*15%,IF(C96&gt;=50%,C95*40%-C86*5%,IF(C96&lt;50%,C95*30%,0))))),0)</f>
        <v>604</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80" t="s">
        <v>968</v>
      </c>
      <c r="B100" s="3281"/>
      <c r="C100" s="3281"/>
      <c r="D100" s="3310"/>
      <c r="E100" s="3281" t="s">
        <v>969</v>
      </c>
      <c r="F100" s="3281"/>
      <c r="G100" s="3281"/>
      <c r="H100" s="3310"/>
      <c r="I100" s="1458"/>
    </row>
    <row r="101" spans="1:35" ht="18.75" customHeight="1">
      <c r="A101" s="3311" t="s">
        <v>970</v>
      </c>
      <c r="B101" s="3312"/>
      <c r="C101" s="2334" t="str">
        <f>C4</f>
        <v>比较法-商业2</v>
      </c>
      <c r="D101" s="2335" t="str">
        <f>D4</f>
        <v>收益法2</v>
      </c>
      <c r="E101" s="3335" t="s">
        <v>971</v>
      </c>
      <c r="F101" s="3330"/>
      <c r="G101" s="2337" t="s">
        <v>972</v>
      </c>
      <c r="H101" s="2338">
        <f ca="1">H118</f>
        <v>1065</v>
      </c>
      <c r="I101" s="1458"/>
    </row>
    <row r="102" spans="1:35" ht="18.75" customHeight="1">
      <c r="A102" s="3295" t="s">
        <v>973</v>
      </c>
      <c r="B102" s="2339" t="s">
        <v>972</v>
      </c>
      <c r="C102" s="2334">
        <f ca="1">IF(D32="楼面单价",ROUND(C19,0),C19)</f>
        <v>1175</v>
      </c>
      <c r="D102" s="2335">
        <f ca="1">IF(D32="楼面单价",ROUND(D19,0),D19)</f>
        <v>809</v>
      </c>
      <c r="E102" s="3335"/>
      <c r="F102" s="3330"/>
      <c r="G102" s="2337" t="s">
        <v>99</v>
      </c>
      <c r="H102" s="2227">
        <f ca="1">I118</f>
        <v>28410</v>
      </c>
      <c r="I102" s="1458"/>
    </row>
    <row r="103" spans="1:35" ht="42.75" customHeight="1">
      <c r="A103" s="3295"/>
      <c r="B103" s="2339" t="s">
        <v>99</v>
      </c>
      <c r="C103" s="2340">
        <f ca="1">C20</f>
        <v>31337</v>
      </c>
      <c r="D103" s="2341">
        <f ca="1">D20</f>
        <v>21581</v>
      </c>
      <c r="E103" s="3313" t="s">
        <v>974</v>
      </c>
      <c r="F103" s="3314"/>
      <c r="G103" s="2342" t="s">
        <v>102</v>
      </c>
      <c r="H103" s="2338">
        <f>IF(D36="正常操作",H104+H105+H106,H105+H106)</f>
        <v>0</v>
      </c>
      <c r="I103" s="1458"/>
    </row>
    <row r="104" spans="1:35" ht="18.75" customHeight="1">
      <c r="A104" s="3295" t="s">
        <v>975</v>
      </c>
      <c r="B104" s="2343" t="s">
        <v>972</v>
      </c>
      <c r="C104" s="2344">
        <f ca="1">H118</f>
        <v>1065</v>
      </c>
      <c r="D104" s="2345"/>
      <c r="E104" s="2183" t="s">
        <v>976</v>
      </c>
      <c r="F104" s="2346"/>
      <c r="G104" s="2342" t="s">
        <v>102</v>
      </c>
      <c r="H104" s="2347">
        <f>IF(D36="同一抵押权人同一抵押物续贷",C36&amp;"（续贷，未扣减，详见特别提示）",C36)</f>
        <v>0</v>
      </c>
      <c r="I104" s="1458"/>
    </row>
    <row r="105" spans="1:35" ht="18.75" customHeight="1" thickBot="1">
      <c r="A105" s="3296"/>
      <c r="B105" s="2348" t="s">
        <v>99</v>
      </c>
      <c r="C105" s="2349">
        <f ca="1">I118</f>
        <v>28410</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29" t="str">
        <f>IF(项目基本情况!E8="已注销","——","3.房地产抵押价值")</f>
        <v>3.房地产抵押价值</v>
      </c>
      <c r="F107" s="3330"/>
      <c r="G107" s="2337" t="s">
        <v>972</v>
      </c>
      <c r="H107" s="2338">
        <f ca="1">IF(E107="——","——",H101-H103)</f>
        <v>1065</v>
      </c>
      <c r="I107" s="1458"/>
    </row>
    <row r="108" spans="1:35" ht="18.75" customHeight="1">
      <c r="A108" s="1458"/>
      <c r="B108" s="1458"/>
      <c r="C108" s="1458"/>
      <c r="D108" s="1458"/>
      <c r="E108" s="3329"/>
      <c r="F108" s="3330"/>
      <c r="G108" s="2337" t="s">
        <v>99</v>
      </c>
      <c r="H108" s="2227">
        <f ca="1">IF(H107=H101,H102,ROUND(H107*10000/'数据-汇总表'!E3,0))</f>
        <v>28410</v>
      </c>
      <c r="I108" s="1458"/>
    </row>
    <row r="109" spans="1:35" ht="18.75" customHeight="1">
      <c r="A109" s="1458"/>
      <c r="B109" s="1458"/>
      <c r="C109" s="1458"/>
      <c r="D109" s="1458"/>
      <c r="E109" s="3329" t="str">
        <f>IF(项目基本情况!E8="已注销及未注销","4.抵押担保权已注销时的房地产抵押价值",IF(项目基本情况!E8="已注销","3.抵押担保权已注销时的房地产抵押价值","——"))</f>
        <v>——</v>
      </c>
      <c r="F109" s="3330"/>
      <c r="G109" s="2337" t="s">
        <v>972</v>
      </c>
      <c r="H109" s="2353" t="str">
        <f>IF(E109="——","——",H101-H105-H106)</f>
        <v>——</v>
      </c>
      <c r="I109" s="1458"/>
    </row>
    <row r="110" spans="1:35" ht="18.75" customHeight="1">
      <c r="A110" s="1458"/>
      <c r="B110" s="1458"/>
      <c r="C110" s="1458"/>
      <c r="D110" s="1458"/>
      <c r="E110" s="3329"/>
      <c r="F110" s="3330"/>
      <c r="G110" s="2337" t="s">
        <v>99</v>
      </c>
      <c r="H110" s="2227" t="str">
        <f>IF(H109="——","——",ROUND(H109*10000/'数据-汇总表'!E3,0))</f>
        <v>——</v>
      </c>
      <c r="I110" s="1458"/>
    </row>
    <row r="111" spans="1:35" ht="18.75" customHeight="1">
      <c r="A111" s="1458"/>
      <c r="B111" s="1458"/>
      <c r="C111" s="1458"/>
      <c r="D111" s="1458"/>
      <c r="E111" s="3331" t="str">
        <f>IF(项目基本情况!E9="抵押净值",IF(OR(项目基本情况!E8="已注销",项目基本情况!E8="房地产抵押价值"),"4.抵押净值","5.抵押净值"),"——")</f>
        <v>——</v>
      </c>
      <c r="F111" s="3332"/>
      <c r="G111" s="2337" t="s">
        <v>972</v>
      </c>
      <c r="H111" s="2338" t="str">
        <f>IF(E111="——","——",N59)</f>
        <v>——</v>
      </c>
      <c r="I111" s="1458"/>
    </row>
    <row r="112" spans="1:35" ht="18.75" customHeight="1" thickBot="1">
      <c r="A112" s="1458"/>
      <c r="B112" s="1458"/>
      <c r="C112" s="1458"/>
      <c r="D112" s="1458"/>
      <c r="E112" s="3333"/>
      <c r="F112" s="3334"/>
      <c r="G112" s="2354" t="s">
        <v>99</v>
      </c>
      <c r="H112" s="2355" t="str">
        <f>IF(E111="——","——",N61)</f>
        <v>——</v>
      </c>
      <c r="I112" s="1458"/>
    </row>
    <row r="113" spans="1:27" ht="18.75" customHeight="1">
      <c r="A113" s="1458"/>
      <c r="B113" s="1458"/>
      <c r="C113" s="1458"/>
      <c r="D113" s="1458"/>
      <c r="E113" s="3315" t="s">
        <v>978</v>
      </c>
      <c r="F113" s="3315"/>
      <c r="G113" s="3315"/>
      <c r="H113" s="3315"/>
      <c r="I113" s="1458"/>
    </row>
    <row r="114" spans="1:27" ht="3.75" customHeight="1">
      <c r="A114" s="1998"/>
      <c r="B114" s="1998"/>
      <c r="C114" s="1998"/>
      <c r="D114" s="1998"/>
      <c r="E114" s="2237"/>
      <c r="F114" s="2237"/>
      <c r="G114" s="2237"/>
      <c r="H114" s="2237"/>
      <c r="I114" s="1998"/>
    </row>
    <row r="115" spans="1:27" ht="18.75" customHeight="1">
      <c r="A115" s="3316" t="s">
        <v>980</v>
      </c>
      <c r="B115" s="3317"/>
      <c r="C115" s="3317"/>
      <c r="D115" s="3317"/>
      <c r="E115" s="3317"/>
      <c r="F115" s="3317"/>
      <c r="G115" s="3317"/>
      <c r="H115" s="3317"/>
      <c r="I115" s="3318"/>
    </row>
    <row r="116" spans="1:27" ht="27" customHeight="1">
      <c r="A116" s="3289" t="s">
        <v>981</v>
      </c>
      <c r="B116" s="3298" t="s">
        <v>982</v>
      </c>
      <c r="C116" s="3298" t="s">
        <v>983</v>
      </c>
      <c r="D116" s="3319" t="s">
        <v>984</v>
      </c>
      <c r="E116" s="3320"/>
      <c r="F116" s="3321" t="s">
        <v>985</v>
      </c>
      <c r="G116" s="3321"/>
      <c r="H116" s="3289" t="s">
        <v>986</v>
      </c>
      <c r="I116" s="3289"/>
    </row>
    <row r="117" spans="1:27" ht="18.75" customHeight="1">
      <c r="A117" s="3289"/>
      <c r="B117" s="3299"/>
      <c r="C117" s="3299"/>
      <c r="D117" s="868" t="s">
        <v>987</v>
      </c>
      <c r="E117" s="868" t="s">
        <v>810</v>
      </c>
      <c r="F117" s="868" t="s">
        <v>987</v>
      </c>
      <c r="G117" s="868" t="s">
        <v>810</v>
      </c>
      <c r="H117" s="868" t="s">
        <v>987</v>
      </c>
      <c r="I117" s="868" t="s">
        <v>810</v>
      </c>
    </row>
    <row r="118" spans="1:27" ht="24.75" customHeight="1">
      <c r="A118" s="2356" t="str">
        <f>项目基本情况!S2</f>
        <v>北京市房地产</v>
      </c>
      <c r="B118" s="868">
        <f>M18</f>
        <v>374.94</v>
      </c>
      <c r="C118" s="868">
        <f>M19</f>
        <v>0</v>
      </c>
      <c r="D118" s="868">
        <f ca="1">ROUND(IF(D32="总价",C34,E118*B118/10000),0)</f>
        <v>770</v>
      </c>
      <c r="E118" s="868">
        <f ca="1">ROUND(IF(C33="自定义",IF(D32="楼面单价",C34,D118*10000/B118),I118-G118),0)</f>
        <v>20540</v>
      </c>
      <c r="F118" s="868">
        <f ca="1">ROUND(IF(D32="总价",C35,G118*B118/10000),0)</f>
        <v>295</v>
      </c>
      <c r="G118" s="868">
        <f ca="1">ROUND(IF(D32="楼面单价",C35,F118*10000/B118),0)</f>
        <v>7870</v>
      </c>
      <c r="H118" s="2357">
        <f ca="1">ROUND(IF(D32="总价",C32,I118*B118/10000),0)</f>
        <v>1065</v>
      </c>
      <c r="I118" s="868">
        <f ca="1">ROUND(IF(D32="楼面单价",C32,H118*10000/B118),0)</f>
        <v>28410</v>
      </c>
    </row>
    <row r="119" spans="1:27" ht="18.75" customHeight="1">
      <c r="A119" s="3289" t="s">
        <v>988</v>
      </c>
      <c r="B119" s="3289"/>
      <c r="C119" s="3289"/>
      <c r="D119" s="3301" t="str">
        <f ca="1">NUMBERSTRING(INT(D118*10000),2)&amp;"元整"</f>
        <v>柒佰柒拾万元整</v>
      </c>
      <c r="E119" s="3303"/>
      <c r="F119" s="3301" t="str">
        <f ca="1">NUMBERSTRING(INT(F118*10000),2)&amp;"元整"</f>
        <v>贰佰玖拾伍万元整</v>
      </c>
      <c r="G119" s="3303"/>
      <c r="H119" s="3301" t="str">
        <f ca="1">NUMBERSTRING(INT(H118*10000),2)&amp;"元整"</f>
        <v>壹仟零陆拾伍万元整</v>
      </c>
      <c r="I119" s="3303"/>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01" t="s">
        <v>988</v>
      </c>
      <c r="B121" s="3302"/>
      <c r="C121" s="3303"/>
      <c r="D121" s="3301" t="str">
        <f>IF(D120=0,"零元整",NUMBERSTRING(INT(D120*10000),2)&amp;"元整")</f>
        <v>零元整</v>
      </c>
      <c r="E121" s="3302"/>
      <c r="F121" s="3302"/>
      <c r="G121" s="3302"/>
      <c r="H121" s="3302"/>
      <c r="I121" s="3303"/>
      <c r="AA121" s="1417"/>
    </row>
    <row r="122" spans="1:27" ht="18.75" customHeight="1">
      <c r="A122" s="3332" t="str">
        <f>IF(项目基本情况!B9="房地产市场价值","",MID(E107,3,LEN(E107)-2))</f>
        <v>房地产抵押价值</v>
      </c>
      <c r="B122" s="3332"/>
      <c r="C122" s="3332"/>
      <c r="D122" s="3338">
        <f ca="1">H107</f>
        <v>1065</v>
      </c>
      <c r="E122" s="3339"/>
      <c r="F122" s="3339"/>
      <c r="G122" s="3339"/>
      <c r="H122" s="3339"/>
      <c r="I122" s="3340"/>
      <c r="AA122" s="1417"/>
    </row>
    <row r="123" spans="1:27" ht="18.75" customHeight="1">
      <c r="A123" s="3289" t="s">
        <v>988</v>
      </c>
      <c r="B123" s="3289"/>
      <c r="C123" s="3289"/>
      <c r="D123" s="3301" t="str">
        <f ca="1">NUMBERSTRING(INT(D122*10000),2)&amp;"元整"</f>
        <v>壹仟零陆拾伍万元整</v>
      </c>
      <c r="E123" s="3302"/>
      <c r="F123" s="3302"/>
      <c r="G123" s="3302"/>
      <c r="H123" s="3302"/>
      <c r="I123" s="3303"/>
      <c r="AA123" s="1417"/>
    </row>
    <row r="124" spans="1:27" ht="18.75" customHeight="1">
      <c r="A124" s="3332" t="str">
        <f>IF(项目基本情况!B9="房地产市场价值","",MID(E109,3,LEN(E109)-2))</f>
        <v/>
      </c>
      <c r="B124" s="3332"/>
      <c r="C124" s="3332"/>
      <c r="D124" s="3338" t="str">
        <f>H109</f>
        <v>——</v>
      </c>
      <c r="E124" s="3339"/>
      <c r="F124" s="3339"/>
      <c r="G124" s="3339"/>
      <c r="H124" s="3339"/>
      <c r="I124" s="3340"/>
      <c r="AA124" s="1417"/>
    </row>
    <row r="125" spans="1:27" ht="18.75" customHeight="1">
      <c r="A125" s="3289" t="s">
        <v>988</v>
      </c>
      <c r="B125" s="3289"/>
      <c r="C125" s="3289"/>
      <c r="D125" s="3301" t="e">
        <f>NUMBERSTRING(INT(D124*10000),2)&amp;"元整"</f>
        <v>#VALUE!</v>
      </c>
      <c r="E125" s="3302"/>
      <c r="F125" s="3302"/>
      <c r="G125" s="3302"/>
      <c r="H125" s="3302"/>
      <c r="I125" s="3303"/>
      <c r="AA125" s="1417"/>
    </row>
    <row r="126" spans="1:27" ht="18.75" customHeight="1">
      <c r="A126" s="3332" t="str">
        <f>IF(项目基本情况!B9="房地产市场价值","",MID(E111,3,LEN(E111)-2))</f>
        <v/>
      </c>
      <c r="B126" s="3332"/>
      <c r="C126" s="3332"/>
      <c r="D126" s="3338" t="str">
        <f>H111</f>
        <v>——</v>
      </c>
      <c r="E126" s="3339"/>
      <c r="F126" s="3339"/>
      <c r="G126" s="3339"/>
      <c r="H126" s="3339"/>
      <c r="I126" s="3340"/>
      <c r="AA126" s="1417"/>
    </row>
    <row r="127" spans="1:27" ht="18.75" customHeight="1">
      <c r="A127" s="3289" t="s">
        <v>988</v>
      </c>
      <c r="B127" s="3289"/>
      <c r="C127" s="3289"/>
      <c r="D127" s="3301" t="e">
        <f>NUMBERSTRING(INT(D126*10000),2)&amp;"元整"</f>
        <v>#VALUE!</v>
      </c>
      <c r="E127" s="3302"/>
      <c r="F127" s="3302"/>
      <c r="G127" s="3302"/>
      <c r="H127" s="3302"/>
      <c r="I127" s="3303"/>
      <c r="AA127" s="1417"/>
    </row>
    <row r="128" spans="1:27" ht="21.75" customHeight="1">
      <c r="A128" s="3288" t="s">
        <v>113</v>
      </c>
      <c r="B128" s="3288"/>
      <c r="C128" s="3288"/>
      <c r="D128" s="3288"/>
      <c r="E128" s="3288"/>
      <c r="F128" s="3288"/>
      <c r="G128" s="3288"/>
      <c r="H128" s="3288"/>
      <c r="I128" s="3288"/>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51" priority="3" stopIfTrue="1">
      <formula>$H$88&lt;&gt;"仅含出让金"</formula>
    </cfRule>
  </conditionalFormatting>
  <conditionalFormatting sqref="C91">
    <cfRule type="expression" dxfId="50" priority="2" stopIfTrue="1">
      <formula>$H$91="由企业提供"</formula>
    </cfRule>
  </conditionalFormatting>
  <conditionalFormatting sqref="C5:D7">
    <cfRule type="cellIs" dxfId="49" priority="6" stopIfTrue="1" operator="equal">
      <formula>25</formula>
    </cfRule>
  </conditionalFormatting>
  <conditionalFormatting sqref="C8:D13">
    <cfRule type="cellIs" dxfId="48" priority="5" stopIfTrue="1" operator="equal">
      <formula>15</formula>
    </cfRule>
  </conditionalFormatting>
  <conditionalFormatting sqref="C14:D16">
    <cfRule type="cellIs" dxfId="47" priority="4" stopIfTrue="1" operator="equal">
      <formula>30</formula>
    </cfRule>
  </conditionalFormatting>
  <conditionalFormatting sqref="E36">
    <cfRule type="expression" dxfId="46" priority="1" stopIfTrue="1">
      <formula>$D$36="同一抵押权人同一抵押物续贷"</formula>
    </cfRule>
  </conditionalFormatting>
  <dataValidations count="23">
    <dataValidation type="list" allowBlank="1" showInputMessage="1" showErrorMessage="1" sqref="H55:H56" xr:uid="{00000000-0002-0000-2900-000000000000}">
      <formula1>"个人住宅,正常"</formula1>
    </dataValidation>
    <dataValidation type="list" allowBlank="1" showInputMessage="1" showErrorMessage="1" sqref="C116:C117" xr:uid="{00000000-0002-0000-2900-000001000000}">
      <formula1>"土地面积,分摊土地面积,（分摊）土地面积"</formula1>
    </dataValidation>
    <dataValidation type="list" allowBlank="1" showInputMessage="1" showErrorMessage="1" sqref="B116:B117" xr:uid="{00000000-0002-0000-2900-000002000000}">
      <formula1>"建筑面积,规划建筑面积,（规划）建筑面积"</formula1>
    </dataValidation>
    <dataValidation type="list" allowBlank="1" showInputMessage="1" showErrorMessage="1" sqref="C129" xr:uid="{00000000-0002-0000-2900-000003000000}">
      <formula1>"无,有"</formula1>
    </dataValidation>
    <dataValidation type="list" allowBlank="1" showInputMessage="1" showErrorMessage="1" sqref="F116:G116" xr:uid="{00000000-0002-0000-2900-000004000000}">
      <formula1>"建筑物价值,在建建筑物价值,建筑物/在建建筑物价值"</formula1>
    </dataValidation>
    <dataValidation type="list" allowBlank="1" showInputMessage="1" showErrorMessage="1" sqref="D116:E116" xr:uid="{00000000-0002-0000-2900-000005000000}">
      <formula1>"出让国有建设用地使用权价值,划拨国有建设用地使用权价值"</formula1>
    </dataValidation>
    <dataValidation type="list" allowBlank="1" showInputMessage="1" showErrorMessage="1" sqref="E103" xr:uid="{00000000-0002-0000-2900-000006000000}">
      <formula1>"2.估价师知悉的法定优先受偿款,2.估价师知悉的除抵押担保权以外的法定优先受偿款"</formula1>
    </dataValidation>
    <dataValidation type="list" allowBlank="1" showInputMessage="1" showErrorMessage="1" sqref="D92" xr:uid="{00000000-0002-0000-2900-000007000000}">
      <formula1>"0,5%,10%"</formula1>
    </dataValidation>
    <dataValidation type="list" allowBlank="1" showInputMessage="1" showErrorMessage="1" sqref="H91" xr:uid="{00000000-0002-0000-2900-000008000000}">
      <formula1>"企业提供（在右侧录入）,——"</formula1>
    </dataValidation>
    <dataValidation type="list" allowBlank="1" showInputMessage="1" showErrorMessage="1" sqref="H88" xr:uid="{00000000-0002-0000-2900-000009000000}">
      <formula1>"仅含出让金,出让金+开发费"</formula1>
    </dataValidation>
    <dataValidation type="list" allowBlank="1" showInputMessage="1" showErrorMessage="1" sqref="G77" xr:uid="{00000000-0002-0000-2900-00000A000000}">
      <formula1>"个人住宅,2016年5月1日前购买,2016年5月1日后购买"</formula1>
    </dataValidation>
    <dataValidation type="list" allowBlank="1" showInputMessage="1" showErrorMessage="1" sqref="F75" xr:uid="{00000000-0002-0000-2900-00000B000000}">
      <formula1>"买卖合同,购房发票"</formula1>
    </dataValidation>
    <dataValidation type="list" allowBlank="1" showInputMessage="1" showErrorMessage="1" sqref="H59" xr:uid="{00000000-0002-0000-2900-00000C000000}">
      <formula1>"非个人房产,个人住宅（满五唯一有凭证）,个人其他（有凭证）,个人其他（无凭证）"</formula1>
    </dataValidation>
    <dataValidation type="list" allowBlank="1" showInputMessage="1" showErrorMessage="1" sqref="H58" xr:uid="{00000000-0002-0000-2900-00000D000000}">
      <formula1>"转让取得,自行开发建设"</formula1>
    </dataValidation>
    <dataValidation type="list" allowBlank="1" showInputMessage="1" showErrorMessage="1" sqref="H48" xr:uid="{00000000-0002-0000-2900-00000E000000}">
      <formula1>"情况1,情况2,情况3,情况4"</formula1>
    </dataValidation>
    <dataValidation type="list" allowBlank="1" showInputMessage="1" showErrorMessage="1" sqref="F45" xr:uid="{00000000-0002-0000-2900-00000F000000}">
      <formula1>"100%,70%,56%"</formula1>
    </dataValidation>
    <dataValidation type="list" allowBlank="1" showInputMessage="1" showErrorMessage="1" sqref="D36" xr:uid="{00000000-0002-0000-2900-000010000000}">
      <formula1>"同一抵押权人同一抵押物续贷,注销后放款,正常操作"</formula1>
    </dataValidation>
    <dataValidation type="list" allowBlank="1" showInputMessage="1" showErrorMessage="1" sqref="C33" xr:uid="{00000000-0002-0000-2900-000011000000}">
      <formula1>"成本比率,收益比率,自定义"</formula1>
    </dataValidation>
    <dataValidation type="list" allowBlank="1" showInputMessage="1" showErrorMessage="1" sqref="D32" xr:uid="{00000000-0002-0000-2900-000012000000}">
      <formula1>"总价,楼面单价"</formula1>
    </dataValidation>
    <dataValidation type="list" allowBlank="1" showInputMessage="1" showErrorMessage="1" sqref="C4:D4 D33" xr:uid="{00000000-0002-0000-2900-000013000000}">
      <formula1>估价方法</formula1>
    </dataValidation>
    <dataValidation type="list" allowBlank="1" showInputMessage="1" showErrorMessage="1" sqref="I1" xr:uid="{00000000-0002-0000-2900-000014000000}">
      <formula1>"项目局部,项目全部,——"</formula1>
    </dataValidation>
    <dataValidation type="list" showInputMessage="1" showErrorMessage="1" sqref="G1" xr:uid="{00000000-0002-0000-2900-000015000000}">
      <formula1>"现房,在建,土地,-"</formula1>
    </dataValidation>
    <dataValidation type="list" allowBlank="1" showInputMessage="1" showErrorMessage="1" sqref="C1" xr:uid="{00000000-0002-0000-29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tabColor rgb="FF92D050"/>
    <pageSetUpPr fitToPage="1"/>
  </sheetPr>
  <dimension ref="A1:AC131"/>
  <sheetViews>
    <sheetView view="pageBreakPreview" topLeftCell="A115" zoomScaleNormal="70" zoomScaleSheetLayoutView="100" workbookViewId="0">
      <selection activeCell="E134" sqref="E134"/>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1339</v>
      </c>
      <c r="B1" s="1528" t="s">
        <v>1604</v>
      </c>
      <c r="C1" s="1304" t="s">
        <v>1341</v>
      </c>
      <c r="D1" s="1263">
        <v>111</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1174.9494999999999</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31337</v>
      </c>
      <c r="C3" s="1273" t="s">
        <v>1345</v>
      </c>
      <c r="D3" s="1274">
        <f>IF(D1="",'数据-汇总表'!E3,SUMIF('数据-汇总表'!$C19:$C33,D1,'数据-汇总表'!$E19:$E33))</f>
        <v>374.94</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432" t="s">
        <v>1347</v>
      </c>
      <c r="D4" s="3433"/>
      <c r="E4" s="3434" t="s">
        <v>1348</v>
      </c>
      <c r="F4" s="3435"/>
      <c r="G4" s="3432" t="s">
        <v>1349</v>
      </c>
      <c r="H4" s="3433"/>
      <c r="I4" s="3432" t="s">
        <v>1350</v>
      </c>
      <c r="J4" s="3433"/>
      <c r="K4" s="1064" t="s">
        <v>1351</v>
      </c>
      <c r="L4" s="1065"/>
      <c r="M4" s="1015"/>
      <c r="N4" s="1015"/>
      <c r="O4" s="1015"/>
      <c r="P4" s="3439" t="s">
        <v>1352</v>
      </c>
      <c r="Q4" s="3440"/>
      <c r="R4" s="3443" t="s">
        <v>1348</v>
      </c>
      <c r="S4" s="3444"/>
      <c r="T4" s="3443" t="s">
        <v>1349</v>
      </c>
      <c r="U4" s="3444"/>
      <c r="V4" s="3409" t="s">
        <v>1350</v>
      </c>
      <c r="W4" s="3409"/>
      <c r="X4" s="1113"/>
      <c r="Y4" s="3443" t="s">
        <v>1352</v>
      </c>
      <c r="Z4" s="3444"/>
      <c r="AA4" s="3438" t="s">
        <v>1348</v>
      </c>
      <c r="AB4" s="3409" t="s">
        <v>1349</v>
      </c>
      <c r="AC4" s="3438" t="s">
        <v>1350</v>
      </c>
    </row>
    <row r="5" spans="1:29" ht="13.95" customHeight="1">
      <c r="A5" s="922"/>
      <c r="B5" s="923"/>
      <c r="C5" s="3448" t="s">
        <v>1575</v>
      </c>
      <c r="D5" s="3437"/>
      <c r="E5" s="3449" t="s">
        <v>2847</v>
      </c>
      <c r="F5" s="3450"/>
      <c r="G5" s="3436" t="s">
        <v>2848</v>
      </c>
      <c r="H5" s="3437"/>
      <c r="I5" s="3436" t="s">
        <v>2849</v>
      </c>
      <c r="J5" s="3437"/>
      <c r="K5" s="1064"/>
      <c r="L5" s="1065"/>
      <c r="M5" s="1015"/>
      <c r="N5" s="1015"/>
      <c r="O5" s="1015"/>
      <c r="P5" s="3441"/>
      <c r="Q5" s="3399"/>
      <c r="R5" s="3404"/>
      <c r="S5" s="3405"/>
      <c r="T5" s="3404"/>
      <c r="U5" s="3405"/>
      <c r="V5" s="3409"/>
      <c r="W5" s="3409"/>
      <c r="X5" s="1113"/>
      <c r="Y5" s="3404"/>
      <c r="Z5" s="3405"/>
      <c r="AA5" s="3391"/>
      <c r="AB5" s="3409"/>
      <c r="AC5" s="3391"/>
    </row>
    <row r="6" spans="1:29" ht="15" thickBot="1">
      <c r="A6" s="924"/>
      <c r="B6" s="925"/>
      <c r="C6" s="3427" t="s">
        <v>1354</v>
      </c>
      <c r="D6" s="3428"/>
      <c r="E6" s="3429" t="s">
        <v>2797</v>
      </c>
      <c r="F6" s="3430"/>
      <c r="G6" s="3427" t="s">
        <v>2797</v>
      </c>
      <c r="H6" s="3428"/>
      <c r="I6" s="3427" t="s">
        <v>2797</v>
      </c>
      <c r="J6" s="3428"/>
      <c r="K6" s="1064" t="s">
        <v>1355</v>
      </c>
      <c r="L6" s="1065"/>
      <c r="M6" s="1015"/>
      <c r="N6" s="1015"/>
      <c r="O6" s="1015"/>
      <c r="P6" s="3442"/>
      <c r="Q6" s="3401"/>
      <c r="R6" s="3404"/>
      <c r="S6" s="3405"/>
      <c r="T6" s="3406"/>
      <c r="U6" s="3407"/>
      <c r="V6" s="3409"/>
      <c r="W6" s="3409"/>
      <c r="X6" s="1113"/>
      <c r="Y6" s="3406"/>
      <c r="Z6" s="3407"/>
      <c r="AA6" s="3392"/>
      <c r="AB6" s="3409"/>
      <c r="AC6" s="3392"/>
    </row>
    <row r="7" spans="1:29" s="899" customFormat="1" ht="15" thickBot="1">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5" t="s">
        <v>1357</v>
      </c>
      <c r="Q7" s="3431"/>
      <c r="R7" s="1114" t="s">
        <v>1358</v>
      </c>
      <c r="S7" s="1115">
        <f t="shared" ref="S7:S15" si="0">F7</f>
        <v>100</v>
      </c>
      <c r="T7" s="1114" t="s">
        <v>1358</v>
      </c>
      <c r="U7" s="1115">
        <f t="shared" ref="U7:U15" si="1">H7</f>
        <v>100</v>
      </c>
      <c r="V7" s="1114" t="s">
        <v>1358</v>
      </c>
      <c r="W7" s="1115">
        <f t="shared" ref="W7:W15" si="2">J7</f>
        <v>100</v>
      </c>
      <c r="X7" s="1116"/>
      <c r="Y7" s="3415" t="s">
        <v>1357</v>
      </c>
      <c r="Z7" s="3416"/>
      <c r="AA7" s="1126">
        <f>D7/F7</f>
        <v>1</v>
      </c>
      <c r="AB7" s="1126">
        <f>D7/H7</f>
        <v>1</v>
      </c>
      <c r="AC7" s="1126">
        <f>D7/J7</f>
        <v>1</v>
      </c>
    </row>
    <row r="8" spans="1:29" s="899" customFormat="1" ht="15" thickBot="1">
      <c r="A8" s="927" t="s">
        <v>1359</v>
      </c>
      <c r="B8" s="928"/>
      <c r="C8" s="934" t="s">
        <v>884</v>
      </c>
      <c r="D8" s="930">
        <v>100</v>
      </c>
      <c r="E8" s="934" t="s">
        <v>2799</v>
      </c>
      <c r="F8" s="932">
        <f>SUMIF(61:61,E8,62:62)-SUMIF(61:61,C8,62:62)+100</f>
        <v>102</v>
      </c>
      <c r="G8" s="934" t="s">
        <v>2799</v>
      </c>
      <c r="H8" s="930">
        <f>SUMIF(61:61,G8,62:62)-SUMIF(61:61,C8,62:62)+100</f>
        <v>102</v>
      </c>
      <c r="I8" s="934" t="s">
        <v>2799</v>
      </c>
      <c r="J8" s="930">
        <f>SUMIF(61:61,I8,62:62)-SUMIF(61:61,C8,62:62)+100</f>
        <v>102</v>
      </c>
      <c r="K8" s="1069"/>
      <c r="L8" s="1070"/>
      <c r="M8" s="1071"/>
      <c r="N8" s="1071"/>
      <c r="O8" s="1071"/>
      <c r="P8" s="3415" t="s">
        <v>1361</v>
      </c>
      <c r="Q8" s="3416"/>
      <c r="R8" s="1114" t="s">
        <v>1358</v>
      </c>
      <c r="S8" s="1115">
        <f t="shared" si="0"/>
        <v>102</v>
      </c>
      <c r="T8" s="1114" t="s">
        <v>1358</v>
      </c>
      <c r="U8" s="1115">
        <f t="shared" si="1"/>
        <v>102</v>
      </c>
      <c r="V8" s="1114" t="s">
        <v>1358</v>
      </c>
      <c r="W8" s="1115">
        <f t="shared" si="2"/>
        <v>102</v>
      </c>
      <c r="X8" s="1116"/>
      <c r="Y8" s="3415" t="s">
        <v>1361</v>
      </c>
      <c r="Z8" s="3416"/>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2798</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10" t="s">
        <v>1364</v>
      </c>
      <c r="Q9" s="790" t="str">
        <f t="shared" ref="Q9:Q15" si="6">B9</f>
        <v>用途</v>
      </c>
      <c r="R9" s="1114" t="s">
        <v>1358</v>
      </c>
      <c r="S9" s="1115">
        <f t="shared" si="0"/>
        <v>100</v>
      </c>
      <c r="T9" s="1114" t="s">
        <v>1358</v>
      </c>
      <c r="U9" s="1115">
        <f t="shared" si="1"/>
        <v>100</v>
      </c>
      <c r="V9" s="1114" t="s">
        <v>1358</v>
      </c>
      <c r="W9" s="1115">
        <f t="shared" si="2"/>
        <v>100</v>
      </c>
      <c r="X9" s="1116"/>
      <c r="Y9" s="3297" t="s">
        <v>1365</v>
      </c>
      <c r="Z9" s="1126" t="str">
        <f t="shared" ref="Z9:Z15" si="7">Q9</f>
        <v>用途</v>
      </c>
      <c r="AA9" s="1126">
        <f t="shared" si="3"/>
        <v>1</v>
      </c>
      <c r="AB9" s="1126">
        <f t="shared" si="4"/>
        <v>1</v>
      </c>
      <c r="AC9" s="1126">
        <f t="shared" si="5"/>
        <v>1</v>
      </c>
    </row>
    <row r="10" spans="1:29" s="900" customFormat="1" ht="28.8">
      <c r="A10" s="939"/>
      <c r="B10" s="940" t="s">
        <v>1366</v>
      </c>
      <c r="C10" s="1277" t="s">
        <v>2852</v>
      </c>
      <c r="D10" s="942">
        <v>100</v>
      </c>
      <c r="E10" s="3191" t="s">
        <v>2851</v>
      </c>
      <c r="F10" s="940">
        <f>SUMIF(65:65,E10,66:66)-SUMIF(65:65,C10,66:66)+100</f>
        <v>95</v>
      </c>
      <c r="G10" s="3191" t="s">
        <v>2851</v>
      </c>
      <c r="H10" s="942">
        <f>SUMIF(65:65,G10,66:66)-SUMIF(65:65,C10,66:66)+100</f>
        <v>95</v>
      </c>
      <c r="I10" s="1277" t="s">
        <v>2852</v>
      </c>
      <c r="J10" s="942">
        <f>SUMIF(65:65,I10,66:66)-SUMIF(65:65,C10,66:66)+100</f>
        <v>100</v>
      </c>
      <c r="K10" s="1069"/>
      <c r="L10" s="1075"/>
      <c r="M10" s="1076"/>
      <c r="N10" s="1076"/>
      <c r="O10" s="1076"/>
      <c r="P10" s="3410"/>
      <c r="Q10" s="790" t="str">
        <f t="shared" si="6"/>
        <v>土地使用年限（年）</v>
      </c>
      <c r="R10" s="1114" t="s">
        <v>1358</v>
      </c>
      <c r="S10" s="1115">
        <f t="shared" si="0"/>
        <v>95</v>
      </c>
      <c r="T10" s="1114" t="s">
        <v>1358</v>
      </c>
      <c r="U10" s="1115">
        <f t="shared" si="1"/>
        <v>95</v>
      </c>
      <c r="V10" s="1114" t="s">
        <v>1358</v>
      </c>
      <c r="W10" s="1115">
        <f t="shared" si="2"/>
        <v>100</v>
      </c>
      <c r="X10" s="1116"/>
      <c r="Y10" s="3297"/>
      <c r="Z10" s="1126" t="str">
        <f t="shared" si="7"/>
        <v>土地使用年限（年）</v>
      </c>
      <c r="AA10" s="1126">
        <f t="shared" si="3"/>
        <v>1.0526315789473684</v>
      </c>
      <c r="AB10" s="1126">
        <f t="shared" si="4"/>
        <v>1.0526315789473684</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0"/>
      <c r="Q11" s="790" t="str">
        <f t="shared" si="6"/>
        <v>容积率</v>
      </c>
      <c r="R11" s="1114" t="s">
        <v>1358</v>
      </c>
      <c r="S11" s="1115">
        <f t="shared" si="0"/>
        <v>100</v>
      </c>
      <c r="T11" s="1114" t="s">
        <v>1358</v>
      </c>
      <c r="U11" s="1115">
        <f t="shared" si="1"/>
        <v>100</v>
      </c>
      <c r="V11" s="1114" t="s">
        <v>1358</v>
      </c>
      <c r="W11" s="1115">
        <f t="shared" si="2"/>
        <v>100</v>
      </c>
      <c r="X11" s="1116"/>
      <c r="Y11" s="3297"/>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0"/>
      <c r="Q12" s="790">
        <f t="shared" si="6"/>
        <v>111</v>
      </c>
      <c r="R12" s="1114" t="s">
        <v>1358</v>
      </c>
      <c r="S12" s="1115">
        <f t="shared" si="0"/>
        <v>100</v>
      </c>
      <c r="T12" s="1114" t="s">
        <v>1358</v>
      </c>
      <c r="U12" s="1115">
        <f t="shared" si="1"/>
        <v>100</v>
      </c>
      <c r="V12" s="1114" t="s">
        <v>1358</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0"/>
      <c r="Q13" s="790">
        <f t="shared" si="6"/>
        <v>111</v>
      </c>
      <c r="R13" s="1114" t="s">
        <v>1358</v>
      </c>
      <c r="S13" s="1115">
        <f t="shared" si="0"/>
        <v>100</v>
      </c>
      <c r="T13" s="1114" t="s">
        <v>1358</v>
      </c>
      <c r="U13" s="1115">
        <f t="shared" si="1"/>
        <v>100</v>
      </c>
      <c r="V13" s="1114" t="s">
        <v>1358</v>
      </c>
      <c r="W13" s="1115">
        <f t="shared" si="2"/>
        <v>100</v>
      </c>
      <c r="X13" s="1116"/>
      <c r="Y13" s="3297"/>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0"/>
      <c r="Q14" s="790">
        <f t="shared" si="6"/>
        <v>111</v>
      </c>
      <c r="R14" s="1114" t="s">
        <v>1358</v>
      </c>
      <c r="S14" s="1115">
        <f t="shared" si="0"/>
        <v>100</v>
      </c>
      <c r="T14" s="1114" t="s">
        <v>1358</v>
      </c>
      <c r="U14" s="1115">
        <f t="shared" si="1"/>
        <v>100</v>
      </c>
      <c r="V14" s="1114" t="s">
        <v>1358</v>
      </c>
      <c r="W14" s="1115">
        <f t="shared" si="2"/>
        <v>100</v>
      </c>
      <c r="X14" s="1116"/>
      <c r="Y14" s="3297"/>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18" t="s">
        <v>1370</v>
      </c>
      <c r="Q15" s="621" t="str">
        <f t="shared" si="6"/>
        <v>商业繁华度</v>
      </c>
      <c r="R15" s="1118" t="s">
        <v>1358</v>
      </c>
      <c r="S15" s="1119">
        <f t="shared" si="0"/>
        <v>102</v>
      </c>
      <c r="T15" s="1118" t="s">
        <v>1358</v>
      </c>
      <c r="U15" s="1119">
        <f t="shared" si="1"/>
        <v>102</v>
      </c>
      <c r="V15" s="1118" t="s">
        <v>1358</v>
      </c>
      <c r="W15" s="1119">
        <f t="shared" si="2"/>
        <v>102</v>
      </c>
      <c r="X15" s="1113"/>
      <c r="Y15" s="3423"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19"/>
      <c r="Q16" s="621"/>
      <c r="R16" s="1118"/>
      <c r="S16" s="1119"/>
      <c r="T16" s="1118"/>
      <c r="U16" s="1119"/>
      <c r="V16" s="1118"/>
      <c r="W16" s="1119"/>
      <c r="X16" s="1113"/>
      <c r="Y16" s="3424"/>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9"/>
      <c r="Q17" s="621" t="str">
        <f>B17</f>
        <v>交通便捷度</v>
      </c>
      <c r="R17" s="1118" t="s">
        <v>1358</v>
      </c>
      <c r="S17" s="1119">
        <f>F17</f>
        <v>102</v>
      </c>
      <c r="T17" s="1118" t="s">
        <v>1358</v>
      </c>
      <c r="U17" s="1119">
        <f>H17</f>
        <v>102</v>
      </c>
      <c r="V17" s="1118" t="s">
        <v>1358</v>
      </c>
      <c r="W17" s="1119">
        <f>J17</f>
        <v>102</v>
      </c>
      <c r="X17" s="1113"/>
      <c r="Y17" s="3424"/>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19"/>
      <c r="Q18" s="621"/>
      <c r="R18" s="1118"/>
      <c r="S18" s="1119"/>
      <c r="T18" s="1118"/>
      <c r="U18" s="1119"/>
      <c r="V18" s="1118"/>
      <c r="W18" s="1119"/>
      <c r="X18" s="1113"/>
      <c r="Y18" s="3424"/>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9"/>
      <c r="Q19" s="621" t="str">
        <f>B19</f>
        <v>公共配套设施</v>
      </c>
      <c r="R19" s="1118" t="s">
        <v>1358</v>
      </c>
      <c r="S19" s="1119">
        <f>F19</f>
        <v>100</v>
      </c>
      <c r="T19" s="1118" t="s">
        <v>1358</v>
      </c>
      <c r="U19" s="1119">
        <f>H19</f>
        <v>100</v>
      </c>
      <c r="V19" s="1118" t="s">
        <v>1358</v>
      </c>
      <c r="W19" s="1119">
        <f>J19</f>
        <v>100</v>
      </c>
      <c r="X19" s="1113"/>
      <c r="Y19" s="3424"/>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9"/>
      <c r="Q20" s="621"/>
      <c r="R20" s="1118"/>
      <c r="S20" s="1119"/>
      <c r="T20" s="1118"/>
      <c r="U20" s="1119"/>
      <c r="V20" s="1118"/>
      <c r="W20" s="1119"/>
      <c r="X20" s="1113"/>
      <c r="Y20" s="3424"/>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9"/>
      <c r="Q21" s="621" t="str">
        <f>B21</f>
        <v>基础设施水平</v>
      </c>
      <c r="R21" s="1118" t="s">
        <v>1358</v>
      </c>
      <c r="S21" s="1119">
        <f>F21</f>
        <v>100</v>
      </c>
      <c r="T21" s="1118" t="s">
        <v>1358</v>
      </c>
      <c r="U21" s="1119">
        <f>H21</f>
        <v>100</v>
      </c>
      <c r="V21" s="1118" t="s">
        <v>1358</v>
      </c>
      <c r="W21" s="1119">
        <f>J21</f>
        <v>100</v>
      </c>
      <c r="X21" s="1113"/>
      <c r="Y21" s="3424"/>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9"/>
      <c r="Q22" s="621"/>
      <c r="R22" s="1118"/>
      <c r="S22" s="1119"/>
      <c r="T22" s="1118"/>
      <c r="U22" s="1119"/>
      <c r="V22" s="1118"/>
      <c r="W22" s="1119"/>
      <c r="X22" s="1113"/>
      <c r="Y22" s="3424"/>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9"/>
      <c r="Q23" s="621" t="str">
        <f>B23</f>
        <v>自然及人文环境</v>
      </c>
      <c r="R23" s="1118" t="s">
        <v>1358</v>
      </c>
      <c r="S23" s="1119">
        <f>F23</f>
        <v>100</v>
      </c>
      <c r="T23" s="1118" t="s">
        <v>1358</v>
      </c>
      <c r="U23" s="1119">
        <f>H23</f>
        <v>100</v>
      </c>
      <c r="V23" s="1118" t="s">
        <v>1358</v>
      </c>
      <c r="W23" s="1119">
        <f>J23</f>
        <v>100</v>
      </c>
      <c r="X23" s="1113"/>
      <c r="Y23" s="3424"/>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9"/>
      <c r="Q24" s="621"/>
      <c r="R24" s="1118"/>
      <c r="S24" s="1119"/>
      <c r="T24" s="1118"/>
      <c r="U24" s="1119"/>
      <c r="V24" s="1118"/>
      <c r="W24" s="1119"/>
      <c r="X24" s="1113"/>
      <c r="Y24" s="3424"/>
      <c r="Z24" s="1102"/>
      <c r="AA24" s="1102">
        <v>1</v>
      </c>
      <c r="AB24" s="1102">
        <v>1</v>
      </c>
      <c r="AC24" s="1102">
        <v>1</v>
      </c>
    </row>
    <row r="25" spans="1:29" ht="15">
      <c r="A25" s="943"/>
      <c r="B25" s="940" t="s">
        <v>1606</v>
      </c>
      <c r="C25" s="976" t="s">
        <v>2863</v>
      </c>
      <c r="D25" s="755">
        <v>100</v>
      </c>
      <c r="E25" s="976" t="s">
        <v>2861</v>
      </c>
      <c r="F25" s="1097">
        <f>SUMIF(86:86,E25,87:87)-SUMIF(86:86,C25,87:87)+100</f>
        <v>102</v>
      </c>
      <c r="G25" s="976" t="s">
        <v>2861</v>
      </c>
      <c r="H25" s="755">
        <f>SUMIF(86:86,G25,87:87)-SUMIF(86:86,C25,87:87)+100</f>
        <v>102</v>
      </c>
      <c r="I25" s="976" t="s">
        <v>2861</v>
      </c>
      <c r="J25" s="755">
        <f>SUMIF(86:86,I25,87:87)-SUMIF(86:86,C25,87:87)+100</f>
        <v>102</v>
      </c>
      <c r="K25" s="1088">
        <v>2</v>
      </c>
      <c r="L25" s="1081"/>
      <c r="M25" s="1015"/>
      <c r="N25" s="1015"/>
      <c r="O25" s="1015"/>
      <c r="P25" s="3419"/>
      <c r="Q25" s="621" t="str">
        <f t="shared" ref="Q25:Q46" si="11">B25</f>
        <v>临街状况</v>
      </c>
      <c r="R25" s="1118" t="s">
        <v>1358</v>
      </c>
      <c r="S25" s="1119">
        <f>F25</f>
        <v>102</v>
      </c>
      <c r="T25" s="1118" t="s">
        <v>1358</v>
      </c>
      <c r="U25" s="1119">
        <f>H25</f>
        <v>102</v>
      </c>
      <c r="V25" s="1118" t="s">
        <v>1358</v>
      </c>
      <c r="W25" s="1119">
        <f>J25</f>
        <v>102</v>
      </c>
      <c r="X25" s="1113"/>
      <c r="Y25" s="3424"/>
      <c r="Z25" s="1102" t="str">
        <f>Q25</f>
        <v>临街状况</v>
      </c>
      <c r="AA25" s="1102">
        <f t="shared" si="3"/>
        <v>0.98039215686274506</v>
      </c>
      <c r="AB25" s="1102">
        <f t="shared" si="4"/>
        <v>0.98039215686274506</v>
      </c>
      <c r="AC25" s="1102">
        <f t="shared" si="5"/>
        <v>0.98039215686274506</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19"/>
      <c r="Q26" s="621" t="str">
        <f t="shared" si="11"/>
        <v>平面位置/可视性</v>
      </c>
      <c r="R26" s="1118" t="s">
        <v>1358</v>
      </c>
      <c r="S26" s="1119">
        <f>F26</f>
        <v>100</v>
      </c>
      <c r="T26" s="1118" t="s">
        <v>1358</v>
      </c>
      <c r="U26" s="1119">
        <f>H26</f>
        <v>100</v>
      </c>
      <c r="V26" s="1118" t="s">
        <v>1358</v>
      </c>
      <c r="W26" s="1119">
        <f>J26</f>
        <v>100</v>
      </c>
      <c r="X26" s="1113"/>
      <c r="Y26" s="3424"/>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19"/>
      <c r="Q27" s="790" t="str">
        <f t="shared" si="11"/>
        <v>人流量</v>
      </c>
      <c r="R27" s="1114" t="s">
        <v>1358</v>
      </c>
      <c r="S27" s="1115">
        <f>F27</f>
        <v>100</v>
      </c>
      <c r="T27" s="1114" t="s">
        <v>1358</v>
      </c>
      <c r="U27" s="1115">
        <f>H27</f>
        <v>100</v>
      </c>
      <c r="V27" s="1114" t="s">
        <v>1358</v>
      </c>
      <c r="W27" s="1115">
        <f>J27</f>
        <v>100</v>
      </c>
      <c r="X27" s="1116"/>
      <c r="Y27" s="3424"/>
      <c r="Z27" s="1126" t="str">
        <f>Q27</f>
        <v>人流量</v>
      </c>
      <c r="AA27" s="1102">
        <f t="shared" si="3"/>
        <v>1</v>
      </c>
      <c r="AB27" s="1102">
        <f t="shared" si="4"/>
        <v>1</v>
      </c>
      <c r="AC27" s="1102">
        <f t="shared" si="5"/>
        <v>1</v>
      </c>
    </row>
    <row r="28" spans="1:29" ht="15">
      <c r="A28" s="943"/>
      <c r="B28" s="940" t="s">
        <v>1378</v>
      </c>
      <c r="C28" s="976" t="s">
        <v>2830</v>
      </c>
      <c r="D28" s="755">
        <v>100</v>
      </c>
      <c r="E28" s="976" t="s">
        <v>2830</v>
      </c>
      <c r="F28" s="1097">
        <f>SUMIF(92:92,E28,93:93)-SUMIF(92:92,C28,93:93)+100</f>
        <v>100</v>
      </c>
      <c r="G28" s="976" t="s">
        <v>2830</v>
      </c>
      <c r="H28" s="755">
        <f>SUMIF(92:92,G28,93:93)-SUMIF(92:92,C28,93:93)+100</f>
        <v>100</v>
      </c>
      <c r="I28" s="976" t="s">
        <v>2830</v>
      </c>
      <c r="J28" s="755">
        <f>SUMIF(92:92,I28,93:93)-SUMIF(92:92,C28,93:93)+100</f>
        <v>100</v>
      </c>
      <c r="K28" s="1087"/>
      <c r="L28" s="1081"/>
      <c r="M28" s="1015"/>
      <c r="N28" s="1015"/>
      <c r="O28" s="1015"/>
      <c r="P28" s="3419"/>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24"/>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9"/>
      <c r="Q29" s="621">
        <f t="shared" si="11"/>
        <v>111</v>
      </c>
      <c r="R29" s="1118" t="s">
        <v>1358</v>
      </c>
      <c r="S29" s="1119">
        <f t="shared" si="12"/>
        <v>100</v>
      </c>
      <c r="T29" s="1118" t="s">
        <v>1358</v>
      </c>
      <c r="U29" s="1119">
        <f t="shared" si="13"/>
        <v>100</v>
      </c>
      <c r="V29" s="1118" t="s">
        <v>1358</v>
      </c>
      <c r="W29" s="1119">
        <f t="shared" si="14"/>
        <v>100</v>
      </c>
      <c r="X29" s="1113"/>
      <c r="Y29" s="3424"/>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9"/>
      <c r="Q30" s="621">
        <f t="shared" si="11"/>
        <v>111</v>
      </c>
      <c r="R30" s="1118" t="s">
        <v>1358</v>
      </c>
      <c r="S30" s="1119">
        <f t="shared" si="12"/>
        <v>100</v>
      </c>
      <c r="T30" s="1118" t="s">
        <v>1358</v>
      </c>
      <c r="U30" s="1119">
        <f t="shared" si="13"/>
        <v>100</v>
      </c>
      <c r="V30" s="1118" t="s">
        <v>1358</v>
      </c>
      <c r="W30" s="1119">
        <f t="shared" si="14"/>
        <v>100</v>
      </c>
      <c r="X30" s="1113"/>
      <c r="Y30" s="3424"/>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9"/>
      <c r="Q31" s="621">
        <f t="shared" si="11"/>
        <v>111</v>
      </c>
      <c r="R31" s="1118" t="s">
        <v>1358</v>
      </c>
      <c r="S31" s="1119">
        <f t="shared" si="12"/>
        <v>100</v>
      </c>
      <c r="T31" s="1118" t="s">
        <v>1358</v>
      </c>
      <c r="U31" s="1119">
        <f t="shared" si="13"/>
        <v>100</v>
      </c>
      <c r="V31" s="1118" t="s">
        <v>1358</v>
      </c>
      <c r="W31" s="1119">
        <f t="shared" si="14"/>
        <v>100</v>
      </c>
      <c r="X31" s="1113"/>
      <c r="Y31" s="3424"/>
      <c r="Z31" s="1102">
        <f t="shared" si="15"/>
        <v>111</v>
      </c>
      <c r="AA31" s="1102">
        <f t="shared" si="3"/>
        <v>1</v>
      </c>
      <c r="AB31" s="1102">
        <f t="shared" si="4"/>
        <v>1</v>
      </c>
      <c r="AC31" s="1102">
        <f t="shared" si="5"/>
        <v>1</v>
      </c>
    </row>
    <row r="32" spans="1:29" ht="15">
      <c r="A32" s="956" t="s">
        <v>1381</v>
      </c>
      <c r="B32" s="936" t="s">
        <v>1609</v>
      </c>
      <c r="C32" s="1283" t="s">
        <v>2839</v>
      </c>
      <c r="D32" s="920">
        <v>100</v>
      </c>
      <c r="E32" s="1283" t="s">
        <v>2839</v>
      </c>
      <c r="F32" s="1097">
        <f>SUMIF(100:100,E32,101:101)-SUMIF(100:100,C32,101:101)+100</f>
        <v>100</v>
      </c>
      <c r="G32" s="1283" t="s">
        <v>2839</v>
      </c>
      <c r="H32" s="755">
        <f>SUMIF(100:100,G32,101:101)-SUMIF(100:100,C32,101:101)+100</f>
        <v>100</v>
      </c>
      <c r="I32" s="1283" t="s">
        <v>2839</v>
      </c>
      <c r="J32" s="920">
        <f>SUMIF(100:100,I32,101:101)-SUMIF(100:100,C32,101:101)+100</f>
        <v>100</v>
      </c>
      <c r="K32" s="1088">
        <v>3</v>
      </c>
      <c r="L32" s="1081"/>
      <c r="M32" s="1015"/>
      <c r="N32" s="1015"/>
      <c r="O32" s="1015"/>
      <c r="P32" s="3420" t="s">
        <v>1384</v>
      </c>
      <c r="Q32" s="621" t="str">
        <f t="shared" si="11"/>
        <v>商业类型</v>
      </c>
      <c r="R32" s="1118" t="s">
        <v>1358</v>
      </c>
      <c r="S32" s="1119">
        <f t="shared" si="12"/>
        <v>100</v>
      </c>
      <c r="T32" s="1118" t="s">
        <v>1358</v>
      </c>
      <c r="U32" s="1119">
        <f t="shared" si="13"/>
        <v>100</v>
      </c>
      <c r="V32" s="1118" t="s">
        <v>1358</v>
      </c>
      <c r="W32" s="1119">
        <f t="shared" si="14"/>
        <v>100</v>
      </c>
      <c r="X32" s="1113"/>
      <c r="Y32" s="3425" t="s">
        <v>1384</v>
      </c>
      <c r="Z32" s="1102" t="str">
        <f t="shared" si="15"/>
        <v>商业类型</v>
      </c>
      <c r="AA32" s="1102">
        <f t="shared" si="3"/>
        <v>1</v>
      </c>
      <c r="AB32" s="1102">
        <f t="shared" si="4"/>
        <v>1</v>
      </c>
      <c r="AC32" s="1102">
        <f t="shared" si="5"/>
        <v>1</v>
      </c>
    </row>
    <row r="33" spans="1:29" s="901" customFormat="1" ht="15">
      <c r="A33" s="996"/>
      <c r="B33" s="940" t="s">
        <v>1385</v>
      </c>
      <c r="C33" s="945">
        <f>'数据-基础表'!I14</f>
        <v>374.94</v>
      </c>
      <c r="D33" s="942">
        <v>100</v>
      </c>
      <c r="E33" s="945">
        <v>93.81</v>
      </c>
      <c r="F33" s="940">
        <f>LOOKUP(E33,103:103,104:104)-LOOKUP(C33,103:103,104:104)+100</f>
        <v>102</v>
      </c>
      <c r="G33" s="944">
        <v>126.85</v>
      </c>
      <c r="H33" s="942">
        <f>LOOKUP(G33,103:103,104:104)-LOOKUP(C33,103:103,104:104)+100</f>
        <v>102</v>
      </c>
      <c r="I33" s="944">
        <v>105.19</v>
      </c>
      <c r="J33" s="942">
        <f>LOOKUP(I33,103:103,104:104)-LOOKUP(C33,103:103,104:104)+100</f>
        <v>102</v>
      </c>
      <c r="K33" s="1087"/>
      <c r="L33" s="1079"/>
      <c r="M33" s="1089"/>
      <c r="N33" s="1089"/>
      <c r="O33" s="1089"/>
      <c r="P33" s="3421"/>
      <c r="Q33" s="1308" t="str">
        <f t="shared" si="11"/>
        <v>项目建筑规模</v>
      </c>
      <c r="R33" s="1120" t="s">
        <v>1358</v>
      </c>
      <c r="S33" s="1121">
        <f t="shared" si="12"/>
        <v>102</v>
      </c>
      <c r="T33" s="1120" t="s">
        <v>1358</v>
      </c>
      <c r="U33" s="1121">
        <f t="shared" si="13"/>
        <v>102</v>
      </c>
      <c r="V33" s="1120" t="s">
        <v>1358</v>
      </c>
      <c r="W33" s="1121">
        <f t="shared" si="14"/>
        <v>102</v>
      </c>
      <c r="X33" s="1122"/>
      <c r="Y33" s="3425"/>
      <c r="Z33" s="1127" t="str">
        <f t="shared" si="15"/>
        <v>项目建筑规模</v>
      </c>
      <c r="AA33" s="1102">
        <f t="shared" si="3"/>
        <v>0.98039215686274506</v>
      </c>
      <c r="AB33" s="1102">
        <f t="shared" si="4"/>
        <v>0.98039215686274506</v>
      </c>
      <c r="AC33" s="1102">
        <f t="shared" si="5"/>
        <v>0.98039215686274506</v>
      </c>
    </row>
    <row r="34" spans="1:29" ht="15">
      <c r="A34" s="991"/>
      <c r="B34" s="940" t="s">
        <v>1386</v>
      </c>
      <c r="C34" s="1287" t="s">
        <v>2840</v>
      </c>
      <c r="D34" s="755">
        <v>100</v>
      </c>
      <c r="E34" s="1287" t="s">
        <v>2840</v>
      </c>
      <c r="F34" s="1097">
        <f>SUMIF(105:105,E34,106:106)-SUMIF(105:105,C34,106:106)+100</f>
        <v>100</v>
      </c>
      <c r="G34" s="1287" t="s">
        <v>2840</v>
      </c>
      <c r="H34" s="755">
        <f>SUMIF(105:105,G34,106:106)-SUMIF(105:105,C34,106:106)+100</f>
        <v>100</v>
      </c>
      <c r="I34" s="1287" t="s">
        <v>2840</v>
      </c>
      <c r="J34" s="755">
        <f>SUMIF(105:105,I34,106:106)-SUMIF(105:105,C34,106:106)+100</f>
        <v>100</v>
      </c>
      <c r="K34" s="1088">
        <v>2</v>
      </c>
      <c r="L34" s="1081"/>
      <c r="M34" s="1015"/>
      <c r="N34" s="1015"/>
      <c r="O34" s="1015"/>
      <c r="P34" s="3421"/>
      <c r="Q34" s="621" t="str">
        <f t="shared" si="11"/>
        <v>建筑结构</v>
      </c>
      <c r="R34" s="1118" t="s">
        <v>1358</v>
      </c>
      <c r="S34" s="1119">
        <f t="shared" si="12"/>
        <v>100</v>
      </c>
      <c r="T34" s="1118" t="s">
        <v>1358</v>
      </c>
      <c r="U34" s="1119">
        <f t="shared" si="13"/>
        <v>100</v>
      </c>
      <c r="V34" s="1118" t="s">
        <v>1358</v>
      </c>
      <c r="W34" s="1119">
        <f t="shared" si="14"/>
        <v>100</v>
      </c>
      <c r="X34" s="1113"/>
      <c r="Y34" s="3425"/>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21"/>
      <c r="Q35" s="621" t="str">
        <f t="shared" si="11"/>
        <v>公共部分装修</v>
      </c>
      <c r="R35" s="1118" t="s">
        <v>1358</v>
      </c>
      <c r="S35" s="1119">
        <f t="shared" si="12"/>
        <v>100</v>
      </c>
      <c r="T35" s="1118" t="s">
        <v>1358</v>
      </c>
      <c r="U35" s="1119">
        <f t="shared" si="13"/>
        <v>100</v>
      </c>
      <c r="V35" s="1118" t="s">
        <v>1358</v>
      </c>
      <c r="W35" s="1119">
        <f t="shared" si="14"/>
        <v>100</v>
      </c>
      <c r="X35" s="1113"/>
      <c r="Y35" s="3425"/>
      <c r="Z35" s="1102" t="str">
        <f t="shared" si="15"/>
        <v>公共部分装修</v>
      </c>
      <c r="AA35" s="1102">
        <f t="shared" si="3"/>
        <v>1</v>
      </c>
      <c r="AB35" s="1102">
        <f t="shared" si="4"/>
        <v>1</v>
      </c>
      <c r="AC35" s="1102">
        <f t="shared" si="5"/>
        <v>1</v>
      </c>
    </row>
    <row r="36" spans="1:29" ht="15">
      <c r="A36" s="991"/>
      <c r="B36" s="940" t="s">
        <v>648</v>
      </c>
      <c r="C36" s="1284">
        <f>'比较法-商业'!C36</f>
        <v>0.83</v>
      </c>
      <c r="D36" s="755">
        <v>100</v>
      </c>
      <c r="E36" s="1284">
        <f>'比较法-商业'!E36</f>
        <v>0.68333333333333335</v>
      </c>
      <c r="F36" s="1097">
        <f>LOOKUP(E36,110:110,111:111)-LOOKUP(C36,110:110,111:111)+100</f>
        <v>96</v>
      </c>
      <c r="G36" s="1284">
        <f>'比较法-商业'!G36</f>
        <v>0.66666666666666674</v>
      </c>
      <c r="H36" s="1097">
        <f>LOOKUP(G36,110:110,111:111)-LOOKUP(C36,110:110,111:111)+100</f>
        <v>96</v>
      </c>
      <c r="I36" s="1284">
        <f>'比较法-商业'!I36</f>
        <v>0.78333333333333333</v>
      </c>
      <c r="J36" s="755">
        <f>LOOKUP(I36,110:110,111:111)-LOOKUP(C36,110:110,111:111)+100</f>
        <v>98</v>
      </c>
      <c r="K36" s="1088">
        <v>2</v>
      </c>
      <c r="L36" s="1081"/>
      <c r="M36" s="1015"/>
      <c r="N36" s="1015"/>
      <c r="O36" s="1015"/>
      <c r="P36" s="3421"/>
      <c r="Q36" s="621" t="str">
        <f t="shared" si="11"/>
        <v>成新度</v>
      </c>
      <c r="R36" s="1118" t="s">
        <v>1358</v>
      </c>
      <c r="S36" s="1119">
        <f t="shared" si="12"/>
        <v>96</v>
      </c>
      <c r="T36" s="1118" t="s">
        <v>1358</v>
      </c>
      <c r="U36" s="1119">
        <f t="shared" si="13"/>
        <v>96</v>
      </c>
      <c r="V36" s="1118" t="s">
        <v>1358</v>
      </c>
      <c r="W36" s="1119">
        <f t="shared" si="14"/>
        <v>98</v>
      </c>
      <c r="X36" s="1113"/>
      <c r="Y36" s="3425"/>
      <c r="Z36" s="1102" t="str">
        <f t="shared" si="15"/>
        <v>成新度</v>
      </c>
      <c r="AA36" s="1102">
        <f t="shared" si="3"/>
        <v>1.0416666666666667</v>
      </c>
      <c r="AB36" s="1102">
        <f t="shared" si="4"/>
        <v>1.0416666666666667</v>
      </c>
      <c r="AC36" s="1102">
        <f t="shared" si="5"/>
        <v>1.0204081632653061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21"/>
      <c r="Q37" s="790" t="str">
        <f t="shared" si="11"/>
        <v>市政基础设施</v>
      </c>
      <c r="R37" s="1114" t="s">
        <v>1358</v>
      </c>
      <c r="S37" s="1115">
        <f t="shared" si="12"/>
        <v>100</v>
      </c>
      <c r="T37" s="1114" t="s">
        <v>1358</v>
      </c>
      <c r="U37" s="1115">
        <f t="shared" si="13"/>
        <v>100</v>
      </c>
      <c r="V37" s="1114" t="s">
        <v>1358</v>
      </c>
      <c r="W37" s="1115">
        <f t="shared" si="14"/>
        <v>100</v>
      </c>
      <c r="X37" s="1116"/>
      <c r="Y37" s="3425"/>
      <c r="Z37" s="1126" t="str">
        <f t="shared" si="15"/>
        <v>市政基础设施</v>
      </c>
      <c r="AA37" s="1126">
        <f t="shared" si="3"/>
        <v>1</v>
      </c>
      <c r="AB37" s="1126">
        <f t="shared" si="4"/>
        <v>1</v>
      </c>
      <c r="AC37" s="1126">
        <f t="shared" si="5"/>
        <v>1</v>
      </c>
    </row>
    <row r="38" spans="1:29" ht="15">
      <c r="A38" s="991"/>
      <c r="B38" s="940" t="s">
        <v>1610</v>
      </c>
      <c r="C38" s="992" t="s">
        <v>2841</v>
      </c>
      <c r="D38" s="755">
        <v>100</v>
      </c>
      <c r="E38" s="992" t="s">
        <v>2841</v>
      </c>
      <c r="F38" s="1097">
        <f>SUMIF(114:114,E38,115:115)-SUMIF(114:114,C38,115:115)+100</f>
        <v>100</v>
      </c>
      <c r="G38" s="992" t="s">
        <v>2841</v>
      </c>
      <c r="H38" s="755">
        <f>SUMIF(114:114,G38,115:115)-SUMIF(114:114,C38,115:115)+100</f>
        <v>100</v>
      </c>
      <c r="I38" s="992" t="s">
        <v>2841</v>
      </c>
      <c r="J38" s="755">
        <f>SUMIF(114:114,I38,115:115)-SUMIF(114:114,C38,115:115)+100</f>
        <v>100</v>
      </c>
      <c r="K38" s="1088">
        <v>2</v>
      </c>
      <c r="L38" s="1081"/>
      <c r="M38" s="1015"/>
      <c r="N38" s="1015"/>
      <c r="O38" s="1015"/>
      <c r="P38" s="3421" t="s">
        <v>1384</v>
      </c>
      <c r="Q38" s="621" t="str">
        <f t="shared" si="11"/>
        <v>业态</v>
      </c>
      <c r="R38" s="1118" t="s">
        <v>1358</v>
      </c>
      <c r="S38" s="1119">
        <f t="shared" si="12"/>
        <v>100</v>
      </c>
      <c r="T38" s="1118" t="s">
        <v>1358</v>
      </c>
      <c r="U38" s="1119">
        <f t="shared" si="13"/>
        <v>100</v>
      </c>
      <c r="V38" s="1118" t="s">
        <v>1358</v>
      </c>
      <c r="W38" s="1119">
        <f t="shared" si="14"/>
        <v>100</v>
      </c>
      <c r="X38" s="1113"/>
      <c r="Y38" s="3425"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21"/>
      <c r="Q39" s="621" t="str">
        <f t="shared" si="11"/>
        <v>层高</v>
      </c>
      <c r="R39" s="1118" t="s">
        <v>1358</v>
      </c>
      <c r="S39" s="1119">
        <f t="shared" si="12"/>
        <v>100</v>
      </c>
      <c r="T39" s="1118" t="s">
        <v>1358</v>
      </c>
      <c r="U39" s="1119">
        <f t="shared" si="13"/>
        <v>100</v>
      </c>
      <c r="V39" s="1118" t="s">
        <v>1358</v>
      </c>
      <c r="W39" s="1119">
        <f t="shared" si="14"/>
        <v>100</v>
      </c>
      <c r="X39" s="1113"/>
      <c r="Y39" s="3425"/>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21"/>
      <c r="Q40" s="621" t="str">
        <f t="shared" si="11"/>
        <v>单套建筑面积</v>
      </c>
      <c r="R40" s="1118" t="s">
        <v>1358</v>
      </c>
      <c r="S40" s="1119">
        <f t="shared" si="12"/>
        <v>100</v>
      </c>
      <c r="T40" s="1118" t="s">
        <v>1358</v>
      </c>
      <c r="U40" s="1119">
        <f t="shared" si="13"/>
        <v>100</v>
      </c>
      <c r="V40" s="1118" t="s">
        <v>1358</v>
      </c>
      <c r="W40" s="1119">
        <f t="shared" si="14"/>
        <v>100</v>
      </c>
      <c r="X40" s="1113"/>
      <c r="Y40" s="3425"/>
      <c r="Z40" s="1102" t="str">
        <f t="shared" si="15"/>
        <v>单套建筑面积</v>
      </c>
      <c r="AA40" s="1102">
        <f t="shared" si="3"/>
        <v>1</v>
      </c>
      <c r="AB40" s="1102">
        <f t="shared" si="4"/>
        <v>1</v>
      </c>
      <c r="AC40" s="1102">
        <f t="shared" si="5"/>
        <v>1</v>
      </c>
    </row>
    <row r="41" spans="1:29" s="901" customFormat="1" ht="15">
      <c r="A41" s="996"/>
      <c r="B41" s="1097" t="s">
        <v>1611</v>
      </c>
      <c r="C41" s="976" t="s">
        <v>2842</v>
      </c>
      <c r="D41" s="755">
        <v>100</v>
      </c>
      <c r="E41" s="976" t="s">
        <v>2842</v>
      </c>
      <c r="F41" s="1097">
        <f>SUMIF(120:120,E41,121:121)-SUMIF(120:120,C41,121:121)+100</f>
        <v>100</v>
      </c>
      <c r="G41" s="976" t="s">
        <v>2842</v>
      </c>
      <c r="H41" s="755">
        <f>SUMIF(120:120,G41,121:121)-SUMIF(120:120,C41,121:121)+100</f>
        <v>100</v>
      </c>
      <c r="I41" s="976" t="s">
        <v>2842</v>
      </c>
      <c r="J41" s="755">
        <f>SUMIF(120:120,I41,121:121)-SUMIF(120:120,C41,121:121)+100</f>
        <v>100</v>
      </c>
      <c r="K41" s="1088">
        <v>2</v>
      </c>
      <c r="L41" s="1079"/>
      <c r="M41" s="1089"/>
      <c r="N41" s="1089"/>
      <c r="O41" s="1089"/>
      <c r="P41" s="3421"/>
      <c r="Q41" s="1308" t="str">
        <f t="shared" si="11"/>
        <v>进深比</v>
      </c>
      <c r="R41" s="1120" t="s">
        <v>1358</v>
      </c>
      <c r="S41" s="1121">
        <f t="shared" si="12"/>
        <v>100</v>
      </c>
      <c r="T41" s="1120" t="s">
        <v>1358</v>
      </c>
      <c r="U41" s="1121">
        <f t="shared" si="13"/>
        <v>100</v>
      </c>
      <c r="V41" s="1120" t="s">
        <v>1358</v>
      </c>
      <c r="W41" s="1121">
        <f t="shared" si="14"/>
        <v>100</v>
      </c>
      <c r="X41" s="1122"/>
      <c r="Y41" s="3425"/>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21"/>
      <c r="Q42" s="621" t="str">
        <f t="shared" si="11"/>
        <v>内部装修</v>
      </c>
      <c r="R42" s="1118" t="s">
        <v>1358</v>
      </c>
      <c r="S42" s="1119">
        <f t="shared" si="12"/>
        <v>100</v>
      </c>
      <c r="T42" s="1118" t="s">
        <v>1358</v>
      </c>
      <c r="U42" s="1119">
        <f t="shared" si="13"/>
        <v>98</v>
      </c>
      <c r="V42" s="1118" t="s">
        <v>1358</v>
      </c>
      <c r="W42" s="1119">
        <f t="shared" si="14"/>
        <v>100</v>
      </c>
      <c r="X42" s="1113"/>
      <c r="Y42" s="3425"/>
      <c r="Z42" s="1102" t="str">
        <f t="shared" si="15"/>
        <v>内部装修</v>
      </c>
      <c r="AA42" s="1102">
        <f t="shared" si="3"/>
        <v>1</v>
      </c>
      <c r="AB42" s="1102">
        <f t="shared" si="4"/>
        <v>1.0204081632653061</v>
      </c>
      <c r="AC42" s="1102">
        <f t="shared" si="5"/>
        <v>1</v>
      </c>
    </row>
    <row r="43" spans="1:29" ht="29.4" thickBot="1">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21"/>
      <c r="Q43" s="621" t="str">
        <f t="shared" si="11"/>
        <v>内部装修维护情况</v>
      </c>
      <c r="R43" s="1118" t="s">
        <v>1358</v>
      </c>
      <c r="S43" s="1119">
        <f t="shared" si="12"/>
        <v>100</v>
      </c>
      <c r="T43" s="1118" t="s">
        <v>1358</v>
      </c>
      <c r="U43" s="1119">
        <f t="shared" si="13"/>
        <v>100</v>
      </c>
      <c r="V43" s="1118" t="s">
        <v>1358</v>
      </c>
      <c r="W43" s="1119">
        <f t="shared" si="14"/>
        <v>100</v>
      </c>
      <c r="X43" s="1113"/>
      <c r="Y43" s="3425"/>
      <c r="Z43" s="1102" t="str">
        <f t="shared" si="15"/>
        <v>内部装修维护情况</v>
      </c>
      <c r="AA43" s="1102">
        <f t="shared" si="3"/>
        <v>1</v>
      </c>
      <c r="AB43" s="1102">
        <f t="shared" si="4"/>
        <v>1</v>
      </c>
      <c r="AC43" s="1102">
        <f t="shared" si="5"/>
        <v>1</v>
      </c>
    </row>
    <row r="44" spans="1:29" s="899" customFormat="1" ht="15.6" thickTop="1">
      <c r="A44" s="993"/>
      <c r="B44" s="3195" t="s">
        <v>2869</v>
      </c>
      <c r="C44" s="1278" t="s">
        <v>2870</v>
      </c>
      <c r="D44" s="942">
        <v>100</v>
      </c>
      <c r="E44" s="1156" t="s">
        <v>2872</v>
      </c>
      <c r="F44" s="940">
        <f>SUMIF(126:126,E44,127:127)-SUMIF(126:126,C44,127:127)+100</f>
        <v>106</v>
      </c>
      <c r="G44" s="1156" t="s">
        <v>2872</v>
      </c>
      <c r="H44" s="942">
        <f>SUMIF(126:126,G44,127:127)-SUMIF(126:126,C44,127:127)+100</f>
        <v>106</v>
      </c>
      <c r="I44" s="1156" t="s">
        <v>2872</v>
      </c>
      <c r="J44" s="942">
        <f>SUMIF(126:126,I44,127:127)-SUMIF(126:126,C44,127:127)+100</f>
        <v>106</v>
      </c>
      <c r="K44" s="1087"/>
      <c r="L44" s="1070"/>
      <c r="M44" s="1071"/>
      <c r="N44" s="1071"/>
      <c r="O44" s="1071"/>
      <c r="P44" s="3421"/>
      <c r="Q44" s="790" t="str">
        <f t="shared" si="11"/>
        <v>套内占比</v>
      </c>
      <c r="R44" s="1114" t="s">
        <v>1358</v>
      </c>
      <c r="S44" s="1115">
        <f t="shared" si="12"/>
        <v>106</v>
      </c>
      <c r="T44" s="1114" t="s">
        <v>1358</v>
      </c>
      <c r="U44" s="1115">
        <f t="shared" si="13"/>
        <v>106</v>
      </c>
      <c r="V44" s="1114" t="s">
        <v>1358</v>
      </c>
      <c r="W44" s="1115">
        <f t="shared" si="14"/>
        <v>106</v>
      </c>
      <c r="X44" s="1116"/>
      <c r="Y44" s="3425"/>
      <c r="Z44" s="1126" t="str">
        <f t="shared" si="15"/>
        <v>套内占比</v>
      </c>
      <c r="AA44" s="1126">
        <f t="shared" si="3"/>
        <v>0.94339622641509435</v>
      </c>
      <c r="AB44" s="1126">
        <f t="shared" si="4"/>
        <v>0.94339622641509435</v>
      </c>
      <c r="AC44" s="1126">
        <f t="shared" si="5"/>
        <v>0.94339622641509435</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21"/>
      <c r="Q45" s="621">
        <f t="shared" si="11"/>
        <v>111</v>
      </c>
      <c r="R45" s="1118" t="s">
        <v>1358</v>
      </c>
      <c r="S45" s="1119">
        <f t="shared" si="12"/>
        <v>100</v>
      </c>
      <c r="T45" s="1118" t="s">
        <v>1358</v>
      </c>
      <c r="U45" s="1119">
        <f t="shared" si="13"/>
        <v>100</v>
      </c>
      <c r="V45" s="1118" t="s">
        <v>1358</v>
      </c>
      <c r="W45" s="1119">
        <f t="shared" si="14"/>
        <v>100</v>
      </c>
      <c r="X45" s="1113"/>
      <c r="Y45" s="3425"/>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22"/>
      <c r="Q46" s="621">
        <f t="shared" si="11"/>
        <v>111</v>
      </c>
      <c r="R46" s="1118" t="s">
        <v>1358</v>
      </c>
      <c r="S46" s="1119">
        <f t="shared" si="12"/>
        <v>100</v>
      </c>
      <c r="T46" s="1118" t="s">
        <v>1358</v>
      </c>
      <c r="U46" s="1119">
        <f t="shared" si="13"/>
        <v>100</v>
      </c>
      <c r="V46" s="1118" t="s">
        <v>1358</v>
      </c>
      <c r="W46" s="1119">
        <f t="shared" si="14"/>
        <v>100</v>
      </c>
      <c r="X46" s="1113"/>
      <c r="Y46" s="3426"/>
      <c r="Z46" s="1102">
        <f t="shared" si="15"/>
        <v>111</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411" t="str">
        <f>A47</f>
        <v>成交单价（元/平方米）</v>
      </c>
      <c r="Q47" s="3411"/>
      <c r="R47" s="3409">
        <f>E47</f>
        <v>33579</v>
      </c>
      <c r="S47" s="3409"/>
      <c r="T47" s="3409">
        <f>G47</f>
        <v>35081</v>
      </c>
      <c r="U47" s="3409"/>
      <c r="V47" s="3409">
        <f>I47</f>
        <v>33274</v>
      </c>
      <c r="W47" s="3409"/>
      <c r="X47" s="1055"/>
      <c r="Y47" s="1128"/>
      <c r="Z47" s="1055"/>
      <c r="AA47" s="1055"/>
      <c r="AB47" s="1055"/>
      <c r="AC47" s="1055"/>
    </row>
    <row r="48" spans="1:29" ht="15" thickBot="1">
      <c r="A48" s="1006" t="s">
        <v>1401</v>
      </c>
      <c r="B48" s="1293"/>
      <c r="C48" s="1294">
        <f>R49</f>
        <v>31337</v>
      </c>
      <c r="D48" s="1009" t="s">
        <v>1402</v>
      </c>
      <c r="E48" s="1295">
        <f>R48</f>
        <v>31461</v>
      </c>
      <c r="F48" s="1010"/>
      <c r="G48" s="1294">
        <f>T48</f>
        <v>33539</v>
      </c>
      <c r="H48" s="1010"/>
      <c r="I48" s="1295">
        <f>V48</f>
        <v>29012</v>
      </c>
      <c r="J48" s="1010"/>
      <c r="K48" s="1095">
        <f>F48+H48+J48</f>
        <v>0</v>
      </c>
      <c r="L48" s="1094"/>
      <c r="M48" s="1015"/>
      <c r="N48" s="1015"/>
      <c r="O48" s="1015"/>
      <c r="P48" s="3411" t="str">
        <f>A48</f>
        <v>比较价值（元/平方米）</v>
      </c>
      <c r="Q48" s="3411"/>
      <c r="R48" s="3409">
        <f>IF(F1="售价",ROUND(PRODUCT(R47,AA7:AA46),0),ROUND(PRODUCT(R47,AA7:AA46),1))</f>
        <v>31461</v>
      </c>
      <c r="S48" s="3409"/>
      <c r="T48" s="3409">
        <f>IF(F1="售价",ROUND(PRODUCT(T47,AB7:AB46),0),ROUND(PRODUCT(T47,AB7:AB46),1))</f>
        <v>33539</v>
      </c>
      <c r="U48" s="3409"/>
      <c r="V48" s="3409">
        <f>IF(F1="售价",ROUND(PRODUCT(V47,AC7:AC46),0),ROUND(PRODUCT(V47,AC7:AC46),1))</f>
        <v>29012</v>
      </c>
      <c r="W48" s="3409"/>
      <c r="X48" s="1055"/>
      <c r="Y48" s="1055"/>
      <c r="Z48" s="1055"/>
      <c r="AA48" s="1055"/>
      <c r="AB48" s="1055"/>
      <c r="AC48" s="1055"/>
    </row>
    <row r="49" spans="1:29" ht="15" thickBot="1">
      <c r="A49" s="1012" t="s">
        <v>1403</v>
      </c>
      <c r="B49" s="1013"/>
      <c r="C49" s="925">
        <f>R49</f>
        <v>31337</v>
      </c>
      <c r="D49" s="925"/>
      <c r="E49" s="925"/>
      <c r="F49" s="925"/>
      <c r="G49" s="925"/>
      <c r="H49" s="925"/>
      <c r="I49" s="925"/>
      <c r="J49" s="925"/>
      <c r="K49" s="1096"/>
      <c r="L49" s="1094"/>
      <c r="M49" s="1015"/>
      <c r="N49" s="1015"/>
      <c r="O49" s="1015"/>
      <c r="P49" s="3445" t="str">
        <f>A49</f>
        <v>估价对象XX用房的比较价值（楼面单价，元/平方米）</v>
      </c>
      <c r="Q49" s="3446"/>
      <c r="R49" s="3447">
        <f>IF(F1="售价",ROUND(IF(D48="简单平均",AVERAGE(R48:V48),R48*F48+T48*H48+V48*J48),0),ROUND(IF(D48="简单平均",AVERAGE(R48:V48),R48*F48+T48*H48+V48*J48),1))</f>
        <v>31337</v>
      </c>
      <c r="S49" s="3447"/>
      <c r="T49" s="3447"/>
      <c r="U49" s="3447"/>
      <c r="V49" s="3447"/>
      <c r="W49" s="3447"/>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6.7321445599313412E-2</v>
      </c>
      <c r="F52" s="1019" t="str">
        <f>IF(OR(E52&gt;=0.3,E52&lt;=-0.3),"超过30%","")</f>
        <v/>
      </c>
      <c r="G52" s="1018">
        <f>IF(G47&lt;G48,G48/G47-1,G47/G48-1)</f>
        <v>4.5976326068159379E-2</v>
      </c>
      <c r="H52" s="1019" t="str">
        <f>IF(OR(G52&gt;=0.3,G52&lt;=-0.3),"超过30%","")</f>
        <v/>
      </c>
      <c r="I52" s="1018">
        <f>IF(I47&lt;I48,I48/I47-1,I47/I48-1)</f>
        <v>0.14690472907762309</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6.6050030196115772E-2</v>
      </c>
      <c r="F53" s="1019" t="str">
        <f>IF(OR(E53&gt;=0.2,E53&lt;=-0.2),"超过20%","")</f>
        <v/>
      </c>
      <c r="G53" s="1018">
        <f>IF(G48&lt;I48,I48/G48-1,G48/I48-1)</f>
        <v>0.15603888046325665</v>
      </c>
      <c r="H53" s="1019" t="str">
        <f>IF(OR(G53&gt;=0.2,G53&lt;=-0.2),"超过20%","")</f>
        <v/>
      </c>
      <c r="I53" s="1018">
        <f>IF(I48&lt;E48,E48/I48-1,I48/E48-1)</f>
        <v>8.4413346201571704E-2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2799</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1366</v>
      </c>
      <c r="C65" s="1170" t="s">
        <v>2852</v>
      </c>
      <c r="D65" s="3192" t="s">
        <v>2851</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1606</v>
      </c>
      <c r="C86" s="2106" t="s">
        <v>2862</v>
      </c>
      <c r="D86" s="2106" t="s">
        <v>2864</v>
      </c>
      <c r="E86" s="2106" t="s">
        <v>2800</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2801</v>
      </c>
      <c r="D88" s="2106" t="s">
        <v>2802</v>
      </c>
      <c r="E88" s="2106" t="s">
        <v>2803</v>
      </c>
      <c r="F88" s="3180" t="s">
        <v>2804</v>
      </c>
      <c r="G88" s="2106" t="s">
        <v>2805</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2806</v>
      </c>
      <c r="D90" s="2106" t="s">
        <v>2807</v>
      </c>
      <c r="E90" s="2106" t="s">
        <v>2803</v>
      </c>
      <c r="F90" s="2106" t="s">
        <v>2808</v>
      </c>
      <c r="G90" s="2106" t="s">
        <v>2809</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2828</v>
      </c>
      <c r="P91" s="3181"/>
      <c r="Q91" s="1123"/>
      <c r="R91" s="1015"/>
      <c r="S91" s="1015"/>
      <c r="T91" s="1015"/>
      <c r="U91" s="1015"/>
      <c r="V91" s="1089"/>
      <c r="W91" s="1089"/>
      <c r="X91" s="1089"/>
      <c r="Y91" s="1089"/>
      <c r="Z91" s="1089"/>
      <c r="AA91" s="1089"/>
      <c r="AB91" s="1089"/>
      <c r="AC91" s="1089"/>
    </row>
    <row r="92" spans="1:29" ht="15" thickTop="1">
      <c r="A92" s="943"/>
      <c r="B92" s="1148" t="str">
        <f>B28</f>
        <v>楼层</v>
      </c>
      <c r="C92" s="2106" t="s">
        <v>2846</v>
      </c>
      <c r="D92" s="1156"/>
      <c r="E92" s="1156"/>
      <c r="F92" s="1156"/>
      <c r="G92" s="1156"/>
      <c r="H92" s="1156"/>
      <c r="I92" s="1156"/>
      <c r="J92" s="1156"/>
      <c r="K92" s="1156"/>
      <c r="L92" s="1313"/>
      <c r="M92" s="1314"/>
      <c r="N92" s="3109" t="s">
        <v>2829</v>
      </c>
      <c r="O92" s="3181">
        <v>0.5</v>
      </c>
      <c r="P92" s="3181"/>
      <c r="R92" s="3182">
        <v>1</v>
      </c>
      <c r="S92" s="3183"/>
      <c r="T92" s="3184">
        <f>('数据-汇总表'!F19-T96)/4</f>
        <v>58.307499999999997</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1" t="s">
        <v>2830</v>
      </c>
      <c r="O93" s="3181">
        <v>1</v>
      </c>
      <c r="P93" s="3181"/>
      <c r="R93" s="3182">
        <v>2</v>
      </c>
      <c r="S93" s="3183"/>
      <c r="T93" s="3184">
        <f>T92</f>
        <v>58.307499999999997</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1" t="s">
        <v>2831</v>
      </c>
      <c r="O94" s="3181">
        <v>0.7</v>
      </c>
      <c r="P94" s="3181"/>
      <c r="R94" s="3182">
        <v>3</v>
      </c>
      <c r="S94" s="3183"/>
      <c r="T94" s="3184">
        <f>T92</f>
        <v>58.307499999999997</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1" t="s">
        <v>2832</v>
      </c>
      <c r="O95" s="3181">
        <v>0.6</v>
      </c>
      <c r="P95" s="3181"/>
      <c r="R95" s="3182">
        <v>4</v>
      </c>
      <c r="S95" s="3183"/>
      <c r="T95" s="3184">
        <f>T92</f>
        <v>58.307499999999997</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9" t="s">
        <v>2833</v>
      </c>
      <c r="O96" s="3181">
        <v>0.5</v>
      </c>
      <c r="P96" s="3181"/>
      <c r="Q96" s="901"/>
      <c r="R96" s="3182" t="s">
        <v>2838</v>
      </c>
      <c r="S96" s="3183"/>
      <c r="T96" s="3184">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1" t="s">
        <v>2834</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1" t="s">
        <v>2835</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9" t="s">
        <v>2836</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1381</v>
      </c>
      <c r="B100" s="1145" t="s">
        <v>1609</v>
      </c>
      <c r="C100" s="2107" t="s">
        <v>2810</v>
      </c>
      <c r="D100" s="2107" t="s">
        <v>2811</v>
      </c>
      <c r="E100" s="1091"/>
      <c r="F100" s="1091"/>
      <c r="G100" s="1091"/>
      <c r="H100" s="1091"/>
      <c r="I100" s="1091"/>
      <c r="J100" s="1091"/>
      <c r="K100" s="1184"/>
      <c r="L100" s="1185"/>
      <c r="M100" s="1186"/>
      <c r="N100" s="3109" t="s">
        <v>2837</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1385</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2812</v>
      </c>
      <c r="D105" s="2106" t="s">
        <v>2813</v>
      </c>
      <c r="E105" s="2108" t="s">
        <v>2814</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2815</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2816</v>
      </c>
      <c r="D112" s="2106" t="s">
        <v>2817</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1610</v>
      </c>
      <c r="C114" s="2106" t="s">
        <v>2818</v>
      </c>
      <c r="D114" s="2106" t="s">
        <v>2819</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1394</v>
      </c>
      <c r="C116" s="2106" t="s">
        <v>2820</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2821</v>
      </c>
      <c r="D120" s="2108" t="s">
        <v>2822</v>
      </c>
      <c r="E120" s="2108" t="s">
        <v>2803</v>
      </c>
      <c r="F120" s="2108" t="s">
        <v>2823</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1397</v>
      </c>
      <c r="C122" s="2106" t="s">
        <v>2824</v>
      </c>
      <c r="D122" s="2106" t="s">
        <v>2825</v>
      </c>
      <c r="E122" s="2106" t="s">
        <v>2826</v>
      </c>
      <c r="F122" s="2108" t="s">
        <v>2827</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9.4"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套内占比</v>
      </c>
      <c r="C126" s="1156" t="s">
        <v>2872</v>
      </c>
      <c r="D126" s="1156" t="s">
        <v>2871</v>
      </c>
      <c r="E126" s="1278" t="s">
        <v>2870</v>
      </c>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106</v>
      </c>
      <c r="D127" s="1147">
        <v>103</v>
      </c>
      <c r="E127" s="1147">
        <v>100</v>
      </c>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45" priority="14" stopIfTrue="1">
      <formula>$F$52="超过30%"</formula>
    </cfRule>
  </conditionalFormatting>
  <conditionalFormatting sqref="E53">
    <cfRule type="expression" dxfId="44" priority="13" stopIfTrue="1">
      <formula>$F$53="超过20%"</formula>
    </cfRule>
  </conditionalFormatting>
  <conditionalFormatting sqref="E54">
    <cfRule type="expression" dxfId="43" priority="12"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5" stopIfTrue="1" operator="containsText" text="超过">
      <formula>NOT(ISERROR(SEARCH("超过",F52)))</formula>
    </cfRule>
  </conditionalFormatting>
  <conditionalFormatting sqref="G52">
    <cfRule type="expression" dxfId="39" priority="10" stopIfTrue="1">
      <formula>$H$52="超过30%"</formula>
    </cfRule>
  </conditionalFormatting>
  <conditionalFormatting sqref="G53">
    <cfRule type="expression" dxfId="38" priority="9" stopIfTrue="1">
      <formula>$H$53="超过20%"</formula>
    </cfRule>
  </conditionalFormatting>
  <conditionalFormatting sqref="G54">
    <cfRule type="expression" dxfId="37" priority="11"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5">
    <dataValidation type="list" allowBlank="1" showInputMessage="1" showErrorMessage="1" sqref="D48" xr:uid="{00000000-0002-0000-2A00-000000000000}">
      <formula1>"简单平均,加权平均"</formula1>
    </dataValidation>
    <dataValidation type="list" allowBlank="1" showInputMessage="1" showErrorMessage="1" sqref="C43 E43 G43 I43" xr:uid="{00000000-0002-0000-2A00-000001000000}">
      <formula1>内部装修维护情况</formula1>
    </dataValidation>
    <dataValidation type="list" allowBlank="1" showInputMessage="1" showErrorMessage="1" sqref="C42 E42 G42 I42" xr:uid="{00000000-0002-0000-2A00-000002000000}">
      <formula1>商业内部装修</formula1>
    </dataValidation>
    <dataValidation type="list" allowBlank="1" showInputMessage="1" showErrorMessage="1" sqref="C41 E41 G41 I41" xr:uid="{00000000-0002-0000-2A00-000003000000}">
      <formula1>商业进深比</formula1>
    </dataValidation>
    <dataValidation type="list" allowBlank="1" showInputMessage="1" showErrorMessage="1" sqref="C39 E39 G39 I39" xr:uid="{00000000-0002-0000-2A00-000004000000}">
      <formula1>商业层高</formula1>
    </dataValidation>
    <dataValidation type="list" allowBlank="1" showInputMessage="1" showErrorMessage="1" sqref="C38 E38 G38 I38" xr:uid="{00000000-0002-0000-2A00-000005000000}">
      <formula1>商业业态</formula1>
    </dataValidation>
    <dataValidation type="list" allowBlank="1" showInputMessage="1" showErrorMessage="1" sqref="C37 E37 G37 I37" xr:uid="{00000000-0002-0000-2A00-000006000000}">
      <formula1>商业基础设施水平</formula1>
    </dataValidation>
    <dataValidation type="list" allowBlank="1" showInputMessage="1" showErrorMessage="1" sqref="C35 E35 G35 I35" xr:uid="{00000000-0002-0000-2A00-000007000000}">
      <formula1>商业公共部分装修</formula1>
    </dataValidation>
    <dataValidation type="list" allowBlank="1" showInputMessage="1" showErrorMessage="1" sqref="C34 E34 G34 I34" xr:uid="{00000000-0002-0000-2A00-000008000000}">
      <formula1>商业建筑结构</formula1>
    </dataValidation>
    <dataValidation type="list" allowBlank="1" showInputMessage="1" showErrorMessage="1" sqref="C32 E32 G32 I32" xr:uid="{00000000-0002-0000-2A00-000009000000}">
      <formula1>商业类型</formula1>
    </dataValidation>
    <dataValidation type="list" allowBlank="1" showInputMessage="1" showErrorMessage="1" sqref="C28 E28 G28 I28" xr:uid="{00000000-0002-0000-2A00-00000A000000}">
      <formula1>商业楼层</formula1>
    </dataValidation>
    <dataValidation type="list" allowBlank="1" showInputMessage="1" showErrorMessage="1" sqref="C27 E27 G27 I27" xr:uid="{00000000-0002-0000-2A00-00000B000000}">
      <formula1>商业人流量</formula1>
    </dataValidation>
    <dataValidation type="list" allowBlank="1" showInputMessage="1" showErrorMessage="1" sqref="C25 E25 G25 I25" xr:uid="{00000000-0002-0000-2A00-00000C000000}">
      <formula1>商业临街状况</formula1>
    </dataValidation>
    <dataValidation type="list" allowBlank="1" showInputMessage="1" showErrorMessage="1" sqref="C24 E24 G24 I24" xr:uid="{00000000-0002-0000-2A00-00000D000000}">
      <formula1>环境</formula1>
    </dataValidation>
    <dataValidation type="list" allowBlank="1" showInputMessage="1" showErrorMessage="1" sqref="C22 E22 G22 I22" xr:uid="{00000000-0002-0000-2A00-00000E000000}">
      <formula1>基础设施水平</formula1>
    </dataValidation>
    <dataValidation type="list" allowBlank="1" showInputMessage="1" showErrorMessage="1" sqref="C20 E20 G20 I20" xr:uid="{00000000-0002-0000-2A00-00000F000000}">
      <formula1>公共配套设施</formula1>
    </dataValidation>
    <dataValidation type="list" allowBlank="1" showInputMessage="1" showErrorMessage="1" sqref="C18 E18 G18 I18" xr:uid="{00000000-0002-0000-2A00-000010000000}">
      <formula1>交通便捷度</formula1>
    </dataValidation>
    <dataValidation type="list" allowBlank="1" showInputMessage="1" showErrorMessage="1" sqref="C16 E16 G16 I16" xr:uid="{00000000-0002-0000-2A00-000011000000}">
      <formula1>商业繁华度</formula1>
    </dataValidation>
    <dataValidation type="list" allowBlank="1" showInputMessage="1" showErrorMessage="1" sqref="E9 G9 I9" xr:uid="{00000000-0002-0000-2A00-000012000000}">
      <formula1>商业用途</formula1>
    </dataValidation>
    <dataValidation type="list" allowBlank="1" showInputMessage="1" showErrorMessage="1" sqref="C8 E8 G8 I8" xr:uid="{00000000-0002-0000-2A00-000013000000}">
      <formula1>商业交易情况</formula1>
    </dataValidation>
    <dataValidation type="list" allowBlank="1" showInputMessage="1" showErrorMessage="1" sqref="F2" xr:uid="{00000000-0002-0000-2A00-000014000000}">
      <formula1>估价方法</formula1>
    </dataValidation>
    <dataValidation type="list" allowBlank="1" showInputMessage="1" showErrorMessage="1" sqref="C2" xr:uid="{00000000-0002-0000-2A00-000015000000}">
      <formula1>"需扣减承租人权益,——"</formula1>
    </dataValidation>
    <dataValidation type="list" allowBlank="1" showInputMessage="1" showErrorMessage="1" sqref="F1" xr:uid="{00000000-0002-0000-2A00-000016000000}">
      <formula1>"售价,租金"</formula1>
    </dataValidation>
    <dataValidation type="list" allowBlank="1" showInputMessage="1" showErrorMessage="1" sqref="E1" xr:uid="{00000000-0002-0000-2A00-000017000000}">
      <formula1>"项目模式,单套模式"</formula1>
    </dataValidation>
    <dataValidation type="list" allowBlank="1" showInputMessage="1" showErrorMessage="1" sqref="D1" xr:uid="{00000000-0002-0000-2A00-000018000000}">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tabColor rgb="FF92D050"/>
  </sheetPr>
  <dimension ref="A1:AK83"/>
  <sheetViews>
    <sheetView view="pageBreakPreview" zoomScale="70" zoomScaleNormal="70" workbookViewId="0">
      <selection activeCell="F9" sqref="F9"/>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111</v>
      </c>
      <c r="D1" s="1827" t="s">
        <v>124</v>
      </c>
      <c r="E1" s="1828" t="s">
        <v>1147</v>
      </c>
      <c r="F1" s="1829">
        <f ca="1">J53</f>
        <v>27.79</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809.1404</v>
      </c>
      <c r="C2" s="1833" t="s">
        <v>1149</v>
      </c>
      <c r="D2" s="1834">
        <f ca="1">C40+J29+L46</f>
        <v>8091404</v>
      </c>
      <c r="E2" s="1835" t="s">
        <v>1438</v>
      </c>
      <c r="F2" s="1836"/>
      <c r="G2" s="1837"/>
      <c r="H2" s="1838"/>
      <c r="I2" s="1838"/>
      <c r="J2" s="1838"/>
      <c r="K2" s="1993"/>
      <c r="L2" s="1838"/>
      <c r="M2" s="1838"/>
    </row>
    <row r="3" spans="1:37" ht="18" customHeight="1" thickBot="1">
      <c r="A3" s="1839" t="s">
        <v>1150</v>
      </c>
      <c r="B3" s="1840">
        <f ca="1">IF(ISERROR(D2/F43),0,ROUND(D2/F43,0))</f>
        <v>21581</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561114</v>
      </c>
      <c r="D5" s="1849" t="s">
        <v>1159</v>
      </c>
      <c r="E5" s="1850"/>
      <c r="F5" s="1851"/>
      <c r="G5" s="714"/>
      <c r="H5" s="1846">
        <v>1</v>
      </c>
      <c r="I5" s="1847" t="s">
        <v>1158</v>
      </c>
      <c r="J5" s="1848">
        <f ca="1">J6+J10+J12</f>
        <v>0</v>
      </c>
      <c r="K5" s="1849" t="s">
        <v>1159</v>
      </c>
      <c r="L5" s="1850"/>
      <c r="M5" s="1851"/>
    </row>
    <row r="6" spans="1:37" ht="18" customHeight="1">
      <c r="A6" s="1852" t="s">
        <v>905</v>
      </c>
      <c r="B6" s="3387" t="s">
        <v>1160</v>
      </c>
      <c r="C6" s="1853">
        <f ca="1">ROUND(F6*F8*F7*(1-F9),0)</f>
        <v>560413</v>
      </c>
      <c r="D6" s="1854" t="s">
        <v>1439</v>
      </c>
      <c r="E6" s="1855" t="s">
        <v>1162</v>
      </c>
      <c r="F6" s="1856">
        <f ca="1">INDIRECT("'数据-取费表'!u"&amp;$G$1)</f>
        <v>4.55</v>
      </c>
      <c r="G6" s="714"/>
      <c r="H6" s="1852" t="s">
        <v>905</v>
      </c>
      <c r="I6" s="3387" t="s">
        <v>1160</v>
      </c>
      <c r="J6" s="1926">
        <f ca="1">ROUND(M6*M8*M7*(1-M9),0)</f>
        <v>0</v>
      </c>
      <c r="K6" s="1996" t="s">
        <v>1440</v>
      </c>
      <c r="L6" s="1855" t="s">
        <v>1162</v>
      </c>
      <c r="M6" s="1856">
        <f ca="1">INDIRECT("'数据-取费表'!z"&amp;$G$1)</f>
        <v>0</v>
      </c>
    </row>
    <row r="7" spans="1:37" ht="18" customHeight="1">
      <c r="A7" s="1857"/>
      <c r="B7" s="3388"/>
      <c r="C7" s="1858"/>
      <c r="D7" s="1859"/>
      <c r="E7" s="1860" t="s">
        <v>1164</v>
      </c>
      <c r="F7" s="1856">
        <f ca="1">IF(INDIRECT("'数据-取费表'!ah"&amp;$G$1)="",INDIRECT("'数据-取费表'!k"&amp;$G$1),INDIRECT("'数据-取费表'!ah"&amp;$G$1))</f>
        <v>374.94</v>
      </c>
      <c r="G7" s="714"/>
      <c r="H7" s="1861"/>
      <c r="I7" s="3388"/>
      <c r="J7" s="1862"/>
      <c r="K7" s="1859"/>
      <c r="L7" s="1855" t="s">
        <v>1164</v>
      </c>
      <c r="M7" s="1856">
        <f ca="1">F7</f>
        <v>374.94</v>
      </c>
    </row>
    <row r="8" spans="1:37" ht="18" customHeight="1">
      <c r="A8" s="1861"/>
      <c r="B8" s="3388"/>
      <c r="C8" s="1862"/>
      <c r="D8" s="1859"/>
      <c r="E8" s="1855" t="s">
        <v>1165</v>
      </c>
      <c r="F8" s="1856">
        <f ca="1">INDIRECT("'数据-取费表'!ai"&amp;$G$1)</f>
        <v>365</v>
      </c>
      <c r="G8" s="714"/>
      <c r="H8" s="1861"/>
      <c r="I8" s="3388"/>
      <c r="J8" s="1862"/>
      <c r="K8" s="1859"/>
      <c r="L8" s="1855" t="s">
        <v>1165</v>
      </c>
      <c r="M8" s="1856">
        <f ca="1">INDIRECT("'数据-取费表'!ai"&amp;$G$1)</f>
        <v>365</v>
      </c>
    </row>
    <row r="9" spans="1:37" ht="18" customHeight="1">
      <c r="A9" s="1861"/>
      <c r="B9" s="3389"/>
      <c r="C9" s="1862"/>
      <c r="D9" s="1859"/>
      <c r="E9" s="1855" t="s">
        <v>1166</v>
      </c>
      <c r="F9" s="1863">
        <f ca="1">INDIRECT("'数据-取费表'!w"&amp;$G$1)</f>
        <v>0.1</v>
      </c>
      <c r="G9" s="714"/>
      <c r="H9" s="1861"/>
      <c r="I9" s="3389"/>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701</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1816052</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1499760</v>
      </c>
      <c r="D14" s="1886" t="s">
        <v>1177</v>
      </c>
      <c r="E14" s="1887"/>
      <c r="F14" s="1888"/>
      <c r="G14" s="714"/>
      <c r="H14" s="1884" t="s">
        <v>905</v>
      </c>
      <c r="I14" s="1855" t="s">
        <v>1178</v>
      </c>
      <c r="J14" s="1469">
        <f ca="1">C29</f>
        <v>2188014</v>
      </c>
      <c r="K14" s="2005"/>
      <c r="L14" s="2006"/>
      <c r="M14" s="2007"/>
    </row>
    <row r="15" spans="1:37" s="1823" customFormat="1" ht="18" customHeight="1" thickBot="1">
      <c r="A15" s="1884" t="s">
        <v>933</v>
      </c>
      <c r="B15" s="1855" t="s">
        <v>1107</v>
      </c>
      <c r="C15" s="1469">
        <f ca="1">ROUND(C14*F15,0)</f>
        <v>74988</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4376</v>
      </c>
      <c r="K16" s="1904" t="s">
        <v>1183</v>
      </c>
      <c r="L16" s="1905"/>
      <c r="M16" s="1851"/>
    </row>
    <row r="17" spans="1:37" s="1823" customFormat="1" ht="18" customHeight="1">
      <c r="A17" s="1884" t="s">
        <v>1184</v>
      </c>
      <c r="B17" s="1855" t="s">
        <v>1185</v>
      </c>
      <c r="C17" s="1469">
        <f ca="1">ROUND(F17*(F43+INDIRECT("'数据-取费表'!S"&amp;$G$1)),0)</f>
        <v>74988</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29995</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1679731</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33595</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4376</v>
      </c>
      <c r="K22" s="1908" t="s">
        <v>1209</v>
      </c>
      <c r="L22" s="1855" t="s">
        <v>1180</v>
      </c>
      <c r="M22" s="1920">
        <f ca="1">INDIRECT("'数据-取费表'!Ak"&amp;$G$1)</f>
        <v>2E-3</v>
      </c>
    </row>
    <row r="23" spans="1:37" s="1823" customFormat="1" ht="18" customHeight="1">
      <c r="A23" s="1884" t="s">
        <v>928</v>
      </c>
      <c r="B23" s="1855" t="s">
        <v>1210</v>
      </c>
      <c r="C23" s="1469">
        <f ca="1">IF('数据-取费表'!B22&lt;=1,ROUND(C19*F24*F23/2,0)+ROUND(C20*F24*F23/2,0),ROUND(C19*(POWER((1+F24),F23/2)-1),0)+ROUND(C20*(POWER((1+F24),F23/2)-1),0))</f>
        <v>51400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-4376</v>
      </c>
      <c r="K25" s="1923" t="s">
        <v>1221</v>
      </c>
      <c r="L25" s="1924"/>
      <c r="M25" s="1925"/>
    </row>
    <row r="26" spans="1:37" ht="18" customHeight="1">
      <c r="A26" s="1884" t="s">
        <v>928</v>
      </c>
      <c r="B26" s="1855" t="s">
        <v>1222</v>
      </c>
      <c r="C26" s="1469">
        <f ca="1">ROUND((C19+C20)*F26,0)</f>
        <v>256999</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2188014</v>
      </c>
      <c r="D29" s="1901"/>
      <c r="E29" s="1877"/>
      <c r="F29" s="1902"/>
      <c r="G29" s="1891"/>
      <c r="H29" s="1903" t="s">
        <v>1237</v>
      </c>
      <c r="I29" s="1932" t="s">
        <v>1238</v>
      </c>
      <c r="J29" s="1933">
        <f ca="1">ROUND(J26/(1+F40)^F41,0)</f>
        <v>0</v>
      </c>
      <c r="K29" s="1934" t="s">
        <v>1239</v>
      </c>
      <c r="L29" s="1935"/>
      <c r="M29" s="1936">
        <f ca="1">INDIRECT("'数据-取费表'!k"&amp;$G$1)</f>
        <v>374.94</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102400</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93402</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IF(项目基本情况!B11="自然人","——",ROUND(C6*F32/(1+'数据-取费表'!C42),0))</f>
        <v>29355</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IF(项目基本情况!B11="自然人","——",IF(D33="按租金收入计税",ROUND(C6*F33/(1+'数据-取费表'!C42),0),IF(D33="按房产原值计税",ROUND(C29*F33*0.7,0),INDIRECT("'数据-取费表'!Aj"&amp;$G$1))))</f>
        <v>64047</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IF(项目基本情况!B11="自然人","——",ROUND(F34*F35,0))</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4376</v>
      </c>
      <c r="D36" s="1908" t="s">
        <v>1241</v>
      </c>
      <c r="E36" s="1855" t="s">
        <v>1180</v>
      </c>
      <c r="F36" s="1920">
        <f ca="1">INDIRECT("'数据-取费表'!Ak"&amp;$G$1)</f>
        <v>2E-3</v>
      </c>
      <c r="G36" s="714"/>
      <c r="H36" s="1912"/>
      <c r="I36" s="2012"/>
      <c r="J36" s="2013"/>
      <c r="K36" s="2019"/>
      <c r="L36" s="1912"/>
      <c r="M36" s="1912"/>
    </row>
    <row r="37" spans="1:18" ht="18" customHeight="1">
      <c r="A37" s="1884" t="s">
        <v>956</v>
      </c>
      <c r="B37" s="1855" t="s">
        <v>1212</v>
      </c>
      <c r="C37" s="1469">
        <f ca="1">ROUND(C13*F37,0)</f>
        <v>1816</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2806</v>
      </c>
      <c r="D38" s="1901" t="s">
        <v>1216</v>
      </c>
      <c r="E38" s="1877" t="s">
        <v>1180</v>
      </c>
      <c r="F38" s="1878">
        <f ca="1">INDIRECT("'数据-取费表'!Am"&amp;$G$1)</f>
        <v>5.0000000000000001E-3</v>
      </c>
      <c r="G38" s="714"/>
      <c r="H38" s="1912"/>
      <c r="I38" s="2012"/>
      <c r="J38" s="2013"/>
      <c r="K38" s="2014"/>
      <c r="L38" s="1912"/>
      <c r="M38" s="1912"/>
    </row>
    <row r="39" spans="1:18" ht="24.6" customHeight="1" thickTop="1">
      <c r="A39" s="1879" t="s">
        <v>1219</v>
      </c>
      <c r="B39" s="1922" t="s">
        <v>1220</v>
      </c>
      <c r="C39" s="1881">
        <f ca="1">C5-C30</f>
        <v>458714</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7974112</v>
      </c>
      <c r="D40" s="1914" t="s">
        <v>1227</v>
      </c>
      <c r="E40" s="1855" t="s">
        <v>1228</v>
      </c>
      <c r="F40" s="1863">
        <f ca="1">INDIRECT("'数据-取费表'!I"&amp;$G$1)</f>
        <v>5.5E-2</v>
      </c>
      <c r="G40" s="714"/>
      <c r="H40" s="1927">
        <f ca="1">C39/C5</f>
        <v>0.81750589006868479</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thickBot="1">
      <c r="A43" s="1903" t="s">
        <v>1237</v>
      </c>
      <c r="B43" s="1932" t="s">
        <v>1243</v>
      </c>
      <c r="C43" s="1933">
        <f ca="1">ROUND(C40/F43,0)</f>
        <v>21268</v>
      </c>
      <c r="D43" s="1934" t="s">
        <v>1244</v>
      </c>
      <c r="E43" s="1935" t="s">
        <v>1245</v>
      </c>
      <c r="F43" s="1936">
        <f ca="1">INDIRECT("'数据-取费表'!k"&amp;$G$1)</f>
        <v>374.94</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-806.1268</v>
      </c>
      <c r="D45" s="1941" t="s">
        <v>1446</v>
      </c>
      <c r="E45" s="1937"/>
      <c r="F45" s="1937"/>
      <c r="O45" s="2021" t="s">
        <v>1246</v>
      </c>
      <c r="P45" s="1927"/>
      <c r="Q45" s="1927"/>
      <c r="R45" s="1927"/>
    </row>
    <row r="46" spans="1:18" s="714" customFormat="1" ht="13.8" thickBot="1">
      <c r="A46" s="1942" t="s">
        <v>1247</v>
      </c>
      <c r="C46" s="1943">
        <f ca="1">ROUND(C45,0)</f>
        <v>-806</v>
      </c>
      <c r="D46" s="1944" t="str">
        <f>C2</f>
        <v>万元</v>
      </c>
      <c r="I46" s="2022" t="s">
        <v>1248</v>
      </c>
      <c r="J46" s="2023"/>
      <c r="K46" s="2024"/>
      <c r="L46" s="2025">
        <f ca="1">IF(M47="住宅",0,IF(L48&gt;J51,L60,J60))</f>
        <v>117292</v>
      </c>
      <c r="O46" s="2026" t="s">
        <v>1249</v>
      </c>
      <c r="P46" s="2027" t="s">
        <v>1250</v>
      </c>
      <c r="Q46" s="2069" t="s">
        <v>1251</v>
      </c>
      <c r="R46" s="2069" t="s">
        <v>1252</v>
      </c>
    </row>
    <row r="47" spans="1:18" s="714" customFormat="1" ht="13.8"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7974112</v>
      </c>
      <c r="R47" s="2070" t="s">
        <v>1256</v>
      </c>
    </row>
    <row r="48" spans="1:18" s="714" customFormat="1" ht="40.200000000000003"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117292</v>
      </c>
      <c r="R48" s="2070" t="s">
        <v>1261</v>
      </c>
    </row>
    <row r="49" spans="1:18" s="714" customFormat="1" ht="13.8"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2188014</v>
      </c>
      <c r="R49" s="2070" t="s">
        <v>1256</v>
      </c>
    </row>
    <row r="50" spans="1:18" s="714" customFormat="1" ht="13.8" thickBot="1">
      <c r="A50" s="1960"/>
      <c r="B50" s="1431"/>
      <c r="C50" s="1961"/>
      <c r="D50" s="1962"/>
      <c r="E50" s="1963" t="s">
        <v>1164</v>
      </c>
      <c r="F50" s="1964">
        <f ca="1">F7</f>
        <v>374.94</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8"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6053489</v>
      </c>
      <c r="M51" s="2047"/>
      <c r="O51" s="2041" t="s">
        <v>1275</v>
      </c>
      <c r="P51" s="2034" t="s">
        <v>1276</v>
      </c>
      <c r="Q51" s="2071">
        <f>J52</f>
        <v>7.4999999999999997E-2</v>
      </c>
      <c r="R51" s="2070"/>
    </row>
    <row r="52" spans="1:18" s="714" customFormat="1" ht="13.8" thickBo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85" t="s">
        <v>1284</v>
      </c>
      <c r="L53" s="3386"/>
      <c r="O53" s="2033" t="s">
        <v>1109</v>
      </c>
      <c r="P53" s="2034" t="s">
        <v>1285</v>
      </c>
      <c r="Q53" s="2070">
        <f ca="1">Q47+Q48</f>
        <v>8091404</v>
      </c>
      <c r="R53" s="2070" t="s">
        <v>1286</v>
      </c>
    </row>
    <row r="54" spans="1:18" s="714" customFormat="1" ht="13.8"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8" thickBo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1816052</v>
      </c>
      <c r="D56" s="1974"/>
      <c r="E56" s="1975"/>
      <c r="F56" s="1971"/>
      <c r="I56" s="2058" t="s">
        <v>1290</v>
      </c>
      <c r="J56" s="2059" t="s">
        <v>1450</v>
      </c>
      <c r="K56" s="2035" t="s">
        <v>1291</v>
      </c>
      <c r="L56" s="2038" t="str">
        <f ca="1">IF(L48&lt;J51,"——",L48-J51)</f>
        <v>——</v>
      </c>
      <c r="O56" s="2033" t="s">
        <v>1012</v>
      </c>
      <c r="P56" s="2034" t="s">
        <v>1255</v>
      </c>
      <c r="Q56" s="2070">
        <f ca="1">C40+J29</f>
        <v>7974112</v>
      </c>
      <c r="R56" s="2070" t="s">
        <v>1256</v>
      </c>
    </row>
    <row r="57" spans="1:18" s="714" customFormat="1" ht="24.6" thickBot="1">
      <c r="A57" s="1976"/>
      <c r="B57" s="1977" t="s">
        <v>1236</v>
      </c>
      <c r="C57" s="388">
        <f ca="1">C29</f>
        <v>2188014</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6" thickBot="1">
      <c r="A58" s="1981" t="s">
        <v>1181</v>
      </c>
      <c r="B58" s="1973" t="s">
        <v>1182</v>
      </c>
      <c r="C58" s="1468">
        <f ca="1">ROUND(C59+C64+C65+C66,0)</f>
        <v>6192</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6" thickBot="1">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f ca="1">IF(OR(M47="住宅",J51&lt;L48,J56="是"),"——",ROUND(C29*J58,0))</f>
        <v>875206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2" thickBot="1">
      <c r="A60" s="1884" t="s">
        <v>928</v>
      </c>
      <c r="B60" s="1977" t="s">
        <v>1192</v>
      </c>
      <c r="C60" s="1469">
        <f ca="1">IF(项目基本情况!B11="自然人","——",ROUND(C48*F60/(1+'数据-取费表'!C42),0))</f>
        <v>0</v>
      </c>
      <c r="D60" s="1985" t="s">
        <v>1193</v>
      </c>
      <c r="E60" s="1977" t="s">
        <v>1180</v>
      </c>
      <c r="F60" s="1899">
        <f t="shared" ref="F60:F66" si="0">F32</f>
        <v>5.5000000000000007E-2</v>
      </c>
      <c r="I60" s="2063" t="s">
        <v>1301</v>
      </c>
      <c r="J60" s="2064">
        <f ca="1">IF(OR(M47="住宅",J51&lt;L48,J56="是"),"0",ROUND(J59/(1+J52)^J53,0))</f>
        <v>117292</v>
      </c>
      <c r="K60" s="2065" t="s">
        <v>1302</v>
      </c>
      <c r="L60" s="2064">
        <f ca="1">IF(OR(M47="住宅",L48&lt;J51),0,ROUND(L57*(L58/L59-1),0))</f>
        <v>0</v>
      </c>
      <c r="O60" s="2041" t="s">
        <v>1275</v>
      </c>
      <c r="P60" s="2034" t="s">
        <v>1303</v>
      </c>
      <c r="Q60" s="2070" t="e">
        <f ca="1">L58</f>
        <v>#DIV/0!</v>
      </c>
      <c r="R60" s="2070" t="s">
        <v>1304</v>
      </c>
    </row>
    <row r="61" spans="1:18" s="714" customFormat="1" ht="13.8" thickBot="1">
      <c r="A61" s="1884" t="s">
        <v>933</v>
      </c>
      <c r="B61" s="1977" t="s">
        <v>1196</v>
      </c>
      <c r="C61" s="1469">
        <f ca="1">IF(项目基本情况!B11="自然人","——",IF(D61="按租金收入计税",ROUND(C49*F61/(1+'数据-取费表'!C42),0),IF(D61="按房产原值计税",ROUND(C57*F61*0.7,0),INDIRECT("'数据-取费表'!Aj"&amp;$G$1))))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8" thickBot="1">
      <c r="A62" s="1884" t="s">
        <v>936</v>
      </c>
      <c r="B62" s="1986" t="s">
        <v>1200</v>
      </c>
      <c r="C62" s="1913">
        <f ca="1">IF(项目基本情况!B11="自然人","——",ROUND(F62*F63,0))</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7974112</v>
      </c>
      <c r="R62" s="2070" t="s">
        <v>1286</v>
      </c>
    </row>
    <row r="63" spans="1:18" s="714" customFormat="1" ht="13.8"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8" thickBot="1">
      <c r="A64" s="1884" t="s">
        <v>909</v>
      </c>
      <c r="B64" s="1977" t="s">
        <v>1208</v>
      </c>
      <c r="C64" s="1469">
        <f ca="1">ROUND(C57*F64,0)</f>
        <v>4376</v>
      </c>
      <c r="D64" s="1985" t="s">
        <v>1241</v>
      </c>
      <c r="E64" s="1977" t="s">
        <v>1180</v>
      </c>
      <c r="F64" s="1920">
        <f t="shared" ca="1" si="0"/>
        <v>2E-3</v>
      </c>
      <c r="I64" s="2066" t="s">
        <v>1313</v>
      </c>
      <c r="J64" s="1032">
        <v>50</v>
      </c>
      <c r="K64" s="1032">
        <v>35</v>
      </c>
      <c r="L64" s="1032">
        <v>60</v>
      </c>
      <c r="M64" s="2067">
        <v>0</v>
      </c>
      <c r="O64" s="2026" t="s">
        <v>1249</v>
      </c>
      <c r="P64" s="2027" t="s">
        <v>1250</v>
      </c>
      <c r="Q64" s="2069" t="s">
        <v>1251</v>
      </c>
      <c r="R64" s="2069" t="s">
        <v>1252</v>
      </c>
    </row>
    <row r="65" spans="1:18" s="714" customFormat="1" ht="13.8" thickBot="1">
      <c r="A65" s="1884" t="s">
        <v>956</v>
      </c>
      <c r="B65" s="1977" t="s">
        <v>1212</v>
      </c>
      <c r="C65" s="1469">
        <f ca="1">ROUND(C56*F65,0)</f>
        <v>1816</v>
      </c>
      <c r="D65" s="1985" t="s">
        <v>1213</v>
      </c>
      <c r="E65" s="1977" t="s">
        <v>1180</v>
      </c>
      <c r="F65" s="1921">
        <f t="shared" ca="1" si="0"/>
        <v>1E-3</v>
      </c>
      <c r="I65" s="2066" t="s">
        <v>1314</v>
      </c>
      <c r="J65" s="1032">
        <v>40</v>
      </c>
      <c r="K65" s="1032">
        <v>30</v>
      </c>
      <c r="L65" s="1032">
        <v>50</v>
      </c>
      <c r="M65" s="2068">
        <v>0.02</v>
      </c>
      <c r="O65" s="2033" t="s">
        <v>1012</v>
      </c>
      <c r="P65" s="2034" t="s">
        <v>1255</v>
      </c>
      <c r="Q65" s="2070">
        <f ca="1">C40+J29</f>
        <v>7974112</v>
      </c>
      <c r="R65" s="2070" t="s">
        <v>1256</v>
      </c>
    </row>
    <row r="66" spans="1:18" s="714" customFormat="1" ht="16.2" thickBot="1">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24.6" thickBot="1">
      <c r="A67" s="1972" t="s">
        <v>1219</v>
      </c>
      <c r="B67" s="2072" t="s">
        <v>1220</v>
      </c>
      <c r="C67" s="1468">
        <f ca="1">C48-C58</f>
        <v>-6192</v>
      </c>
      <c r="D67" s="1984" t="s">
        <v>1221</v>
      </c>
      <c r="E67" s="2073"/>
      <c r="F67" s="2074"/>
      <c r="O67" s="2041" t="s">
        <v>1267</v>
      </c>
      <c r="P67" s="2034" t="s">
        <v>1298</v>
      </c>
      <c r="Q67" s="2094">
        <f ca="1">L51</f>
        <v>6053489</v>
      </c>
      <c r="R67" s="2070" t="s">
        <v>1315</v>
      </c>
    </row>
    <row r="68" spans="1:18" s="714" customFormat="1" ht="16.2" thickBot="1">
      <c r="A68" s="2075" t="s">
        <v>1225</v>
      </c>
      <c r="B68" s="2076" t="s">
        <v>1242</v>
      </c>
      <c r="C68" s="1926">
        <f ca="1">ROUND(C67*(1-((1+F70)/(1+F68))^F69)/(F68-F70),0)</f>
        <v>-87156</v>
      </c>
      <c r="D68" s="1987" t="s">
        <v>1227</v>
      </c>
      <c r="E68" s="1977" t="s">
        <v>1228</v>
      </c>
      <c r="F68" s="1863">
        <f ca="1">F40</f>
        <v>5.5E-2</v>
      </c>
      <c r="O68" s="2041" t="s">
        <v>1271</v>
      </c>
      <c r="P68" s="2093" t="s">
        <v>1316</v>
      </c>
      <c r="Q68" s="2070">
        <f ca="1">ROUND(Q69-Q70*Q71,0)</f>
        <v>331590</v>
      </c>
      <c r="R68" s="2070" t="s">
        <v>1317</v>
      </c>
    </row>
    <row r="69" spans="1:18" s="714" customFormat="1" ht="13.8" thickBot="1">
      <c r="A69" s="2077"/>
      <c r="B69" s="2078"/>
      <c r="C69" s="1862"/>
      <c r="D69" s="2079" t="s">
        <v>1231</v>
      </c>
      <c r="E69" s="1977" t="s">
        <v>1232</v>
      </c>
      <c r="F69" s="1930">
        <f ca="1">F41</f>
        <v>27.79</v>
      </c>
      <c r="O69" s="2041" t="s">
        <v>1318</v>
      </c>
      <c r="P69" s="2093" t="s">
        <v>1319</v>
      </c>
      <c r="Q69" s="2070">
        <f ca="1">C39</f>
        <v>458714</v>
      </c>
      <c r="R69" s="2070" t="s">
        <v>1256</v>
      </c>
    </row>
    <row r="70" spans="1:18" s="714" customFormat="1" ht="13.8" thickBot="1">
      <c r="A70" s="2080"/>
      <c r="B70" s="2081"/>
      <c r="C70" s="1881"/>
      <c r="D70" s="1989"/>
      <c r="E70" s="1977" t="s">
        <v>1235</v>
      </c>
      <c r="F70" s="1967"/>
      <c r="O70" s="2041" t="s">
        <v>1320</v>
      </c>
      <c r="P70" s="2093" t="s">
        <v>1321</v>
      </c>
      <c r="Q70" s="2070">
        <f ca="1">C13</f>
        <v>1816052</v>
      </c>
      <c r="R70" s="2070" t="s">
        <v>1256</v>
      </c>
    </row>
    <row r="71" spans="1:18" s="714" customFormat="1" ht="13.8" thickBot="1">
      <c r="A71" s="2082" t="s">
        <v>1237</v>
      </c>
      <c r="B71" s="2083" t="s">
        <v>1243</v>
      </c>
      <c r="C71" s="1933">
        <f ca="1">ROUND(C68/F71,0)</f>
        <v>-232</v>
      </c>
      <c r="D71" s="2084" t="s">
        <v>1244</v>
      </c>
      <c r="E71" s="2085" t="s">
        <v>1245</v>
      </c>
      <c r="F71" s="1936">
        <f ca="1">F43</f>
        <v>374.94</v>
      </c>
      <c r="O71" s="2041" t="s">
        <v>1322</v>
      </c>
      <c r="P71" s="2093" t="s">
        <v>1323</v>
      </c>
      <c r="Q71" s="2071">
        <f ca="1">C76</f>
        <v>7.0000000000000007E-2</v>
      </c>
      <c r="R71" s="2070"/>
    </row>
    <row r="72" spans="1:18" s="714" customFormat="1" ht="13.8" thickBot="1">
      <c r="B72" s="1499"/>
      <c r="C72" s="1499"/>
      <c r="O72" s="2041" t="s">
        <v>1275</v>
      </c>
      <c r="P72" s="2034" t="s">
        <v>1300</v>
      </c>
      <c r="Q72" s="2071">
        <f>L52</f>
        <v>0</v>
      </c>
      <c r="R72" s="2070"/>
    </row>
    <row r="73" spans="1:18" ht="16.2" thickBot="1">
      <c r="A73" s="714"/>
      <c r="B73" s="1499"/>
      <c r="C73" s="1499"/>
      <c r="D73" s="714"/>
      <c r="E73" s="714"/>
      <c r="F73" s="714"/>
      <c r="O73" s="2041" t="s">
        <v>1279</v>
      </c>
      <c r="P73" s="2034" t="s">
        <v>1303</v>
      </c>
      <c r="Q73" s="2070" t="e">
        <f ca="1">L58</f>
        <v>#DIV/0!</v>
      </c>
      <c r="R73" s="2070" t="s">
        <v>1304</v>
      </c>
    </row>
    <row r="74" spans="1:18" ht="13.8"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8" thickBot="1">
      <c r="A75" s="714"/>
      <c r="B75" s="2087" t="s">
        <v>1326</v>
      </c>
      <c r="C75" s="2088">
        <f ca="1">ROUND(C13*C76,0)</f>
        <v>127124</v>
      </c>
      <c r="D75" s="714"/>
      <c r="E75" s="714"/>
      <c r="F75" s="714"/>
      <c r="K75" s="2020"/>
      <c r="L75" s="714"/>
      <c r="O75" s="2033" t="s">
        <v>1109</v>
      </c>
      <c r="P75" s="2034" t="s">
        <v>1285</v>
      </c>
      <c r="Q75" s="2070">
        <f ca="1">Q65+Q66</f>
        <v>7974112</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0.72299999999999998</v>
      </c>
    </row>
    <row r="80" spans="1:18">
      <c r="B80" s="2087" t="s">
        <v>1331</v>
      </c>
      <c r="C80" s="421">
        <f ca="1">ROUND(C75/C39,3)</f>
        <v>0.27700000000000002</v>
      </c>
    </row>
    <row r="81" spans="2:3">
      <c r="B81" s="418" t="s">
        <v>1332</v>
      </c>
      <c r="C81" s="388"/>
    </row>
    <row r="82" spans="2:3">
      <c r="B82" s="420" t="s">
        <v>1091</v>
      </c>
      <c r="C82" s="422">
        <f ca="1">1-C83</f>
        <v>0.77200000000000002</v>
      </c>
    </row>
    <row r="83" spans="2:3">
      <c r="B83" s="420" t="s">
        <v>1092</v>
      </c>
      <c r="C83" s="421">
        <f ca="1">ROUND(C13/C40,3)</f>
        <v>0.22800000000000001</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30" priority="3">
      <formula>$F$10="自定义"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J11">
    <cfRule type="expression" dxfId="27" priority="2">
      <formula>$M$10="自定义"</formula>
    </cfRule>
  </conditionalFormatting>
  <conditionalFormatting sqref="K55 K60">
    <cfRule type="expression" dxfId="26" priority="4">
      <formula>$L$48&gt;$J$51</formula>
    </cfRule>
  </conditionalFormatting>
  <dataValidations count="9">
    <dataValidation type="list" allowBlank="1" showInputMessage="1" showErrorMessage="1" sqref="J56" xr:uid="{00000000-0002-0000-2B00-000000000000}">
      <formula1>估价范围判定</formula1>
    </dataValidation>
    <dataValidation type="list" allowBlank="1" showInputMessage="1" showErrorMessage="1" sqref="L55" xr:uid="{00000000-0002-0000-2B00-000001000000}">
      <formula1>"比较法,基准地价,收益还原"</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K19" xr:uid="{00000000-0002-0000-2B00-000005000000}">
      <formula1>"按租金收入计税,按房产原值计税"</formula1>
    </dataValidation>
    <dataValidation type="list" allowBlank="1" showInputMessage="1" showErrorMessage="1" sqref="F10 M10 F53" xr:uid="{00000000-0002-0000-2B00-000006000000}">
      <formula1>"押一,押二,押三,自定义"</formula1>
    </dataValidation>
    <dataValidation type="list" allowBlank="1" showInputMessage="1" showErrorMessage="1" sqref="D1" xr:uid="{00000000-0002-0000-2B00-000007000000}">
      <formula1>"在建（套用方法）,土地（套用方法）,——"</formula1>
    </dataValidation>
    <dataValidation type="list" allowBlank="1" showInputMessage="1" showErrorMessage="1" sqref="C1" xr:uid="{00000000-0002-0000-2B00-000008000000}">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9">
    <tabColor rgb="FFFF0000"/>
  </sheetPr>
  <dimension ref="A1:AJ512"/>
  <sheetViews>
    <sheetView view="pageBreakPreview" topLeftCell="A7" zoomScaleNormal="100" zoomScaleSheetLayoutView="100" zoomScalePageLayoutView="80" workbookViewId="0">
      <selection activeCell="I12" sqref="I12"/>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778</v>
      </c>
      <c r="B1" s="1998"/>
      <c r="C1" s="2116">
        <v>112</v>
      </c>
      <c r="D1" s="1998"/>
      <c r="E1" s="1998"/>
      <c r="F1" s="2117" t="s">
        <v>779</v>
      </c>
      <c r="G1" s="2118"/>
      <c r="H1" s="2117" t="str">
        <f>IF(G1="现房","——","估价对象范围")</f>
        <v>估价对象范围</v>
      </c>
      <c r="I1" s="2247"/>
    </row>
    <row r="2" spans="1:12" ht="21.75" customHeight="1" thickBot="1">
      <c r="A2" s="3362" t="str">
        <f>项目基本情况!S2</f>
        <v>北京市房地产</v>
      </c>
      <c r="B2" s="3363"/>
      <c r="C2" s="3363"/>
      <c r="D2" s="3363"/>
      <c r="E2" s="3363"/>
      <c r="F2" s="3363"/>
      <c r="G2" s="3363"/>
      <c r="H2" s="3363"/>
      <c r="I2" s="3364"/>
    </row>
    <row r="3" spans="1:12" ht="13.2">
      <c r="A3" s="3365" t="s">
        <v>780</v>
      </c>
      <c r="B3" s="3366"/>
      <c r="C3" s="3366"/>
      <c r="D3" s="3366"/>
      <c r="E3" s="3366"/>
      <c r="F3" s="3366"/>
      <c r="G3" s="3366"/>
      <c r="H3" s="3366"/>
      <c r="I3" s="3366"/>
    </row>
    <row r="4" spans="1:12" ht="14.4">
      <c r="A4" s="2119" t="s">
        <v>781</v>
      </c>
      <c r="B4" s="2120" t="s">
        <v>782</v>
      </c>
      <c r="C4" s="2121" t="s">
        <v>2866</v>
      </c>
      <c r="D4" s="2121" t="s">
        <v>2858</v>
      </c>
      <c r="E4" s="3367" t="s">
        <v>783</v>
      </c>
      <c r="F4" s="3368"/>
      <c r="G4" s="3368"/>
      <c r="H4" s="3368"/>
      <c r="I4" s="3369"/>
      <c r="K4" s="1418" t="str">
        <f>IF(ISNUMBER(FIND("比较法",结果表112!C4)),"比较法",IF(ISNUMBER(FIND("成本法",结果表112!C4)),"成本法",IF(ISNUMBER(FIND("假设开发法",结果表112!C4)),"假设开发法",IF(ISNUMBER(FIND("收益法",结果表112!C4)),"收益法","基准地价系数修正法"))))</f>
        <v>比较法</v>
      </c>
      <c r="L4" s="1418" t="str">
        <f>IF(ISNUMBER(FIND("比较法",结果表112!D4)),"比较法",IF(ISNUMBER(FIND("成本法",结果表112!D4)),"成本法",IF(ISNUMBER(FIND("假设开发法",结果表112!D4)),"假设开发法",IF(ISNUMBER(FIND("收益法",结果表112!D4)),"收益法","基准地价系数修正法"))))</f>
        <v>收益法</v>
      </c>
    </row>
    <row r="5" spans="1:12" ht="13.2">
      <c r="A5" s="3289" t="s">
        <v>784</v>
      </c>
      <c r="B5" s="3297">
        <v>25</v>
      </c>
      <c r="C5" s="3379"/>
      <c r="D5" s="3300"/>
      <c r="E5" s="1895" t="s">
        <v>785</v>
      </c>
      <c r="F5" s="2125"/>
      <c r="G5" s="2125"/>
      <c r="H5" s="2125"/>
      <c r="I5" s="2249"/>
    </row>
    <row r="6" spans="1:12" ht="13.2">
      <c r="A6" s="3289"/>
      <c r="B6" s="3297"/>
      <c r="C6" s="3380"/>
      <c r="D6" s="3300"/>
      <c r="E6" s="1895" t="s">
        <v>786</v>
      </c>
      <c r="F6" s="2125"/>
      <c r="G6" s="2125"/>
      <c r="H6" s="2125"/>
      <c r="I6" s="2249"/>
    </row>
    <row r="7" spans="1:12" ht="13.2">
      <c r="A7" s="3289"/>
      <c r="B7" s="3297"/>
      <c r="C7" s="3381"/>
      <c r="D7" s="3300"/>
      <c r="E7" s="1895" t="s">
        <v>787</v>
      </c>
      <c r="F7" s="2125"/>
      <c r="G7" s="2125"/>
      <c r="H7" s="2125"/>
      <c r="I7" s="2249"/>
    </row>
    <row r="8" spans="1:12" ht="13.2">
      <c r="A8" s="3289" t="s">
        <v>788</v>
      </c>
      <c r="B8" s="3297">
        <v>15</v>
      </c>
      <c r="C8" s="3379"/>
      <c r="D8" s="3300"/>
      <c r="E8" s="1895" t="s">
        <v>789</v>
      </c>
      <c r="F8" s="2125"/>
      <c r="G8" s="2125"/>
      <c r="H8" s="2125"/>
      <c r="I8" s="2249"/>
    </row>
    <row r="9" spans="1:12" ht="13.2">
      <c r="A9" s="3289"/>
      <c r="B9" s="3297"/>
      <c r="C9" s="3381"/>
      <c r="D9" s="3300"/>
      <c r="E9" s="1895" t="s">
        <v>790</v>
      </c>
      <c r="F9" s="2125"/>
      <c r="G9" s="2125"/>
      <c r="H9" s="2125"/>
      <c r="I9" s="2249"/>
    </row>
    <row r="10" spans="1:12" ht="13.2">
      <c r="A10" s="3289" t="s">
        <v>791</v>
      </c>
      <c r="B10" s="3297">
        <v>15</v>
      </c>
      <c r="C10" s="3379"/>
      <c r="D10" s="3300"/>
      <c r="E10" s="1895" t="s">
        <v>792</v>
      </c>
      <c r="F10" s="2125"/>
      <c r="G10" s="2125"/>
      <c r="H10" s="2125"/>
      <c r="I10" s="2249"/>
    </row>
    <row r="11" spans="1:12" ht="13.2">
      <c r="A11" s="3289"/>
      <c r="B11" s="3297"/>
      <c r="C11" s="3381"/>
      <c r="D11" s="3300"/>
      <c r="E11" s="1895" t="s">
        <v>793</v>
      </c>
      <c r="F11" s="2125"/>
      <c r="G11" s="2125"/>
      <c r="H11" s="2125"/>
      <c r="I11" s="2249"/>
    </row>
    <row r="12" spans="1:12" ht="13.2">
      <c r="A12" s="3289" t="s">
        <v>794</v>
      </c>
      <c r="B12" s="3297">
        <v>15</v>
      </c>
      <c r="C12" s="3379"/>
      <c r="D12" s="3300"/>
      <c r="E12" s="1895" t="s">
        <v>795</v>
      </c>
      <c r="F12" s="2125"/>
      <c r="G12" s="2125"/>
      <c r="H12" s="2125"/>
      <c r="I12" s="2249"/>
    </row>
    <row r="13" spans="1:12" ht="13.2">
      <c r="A13" s="3289"/>
      <c r="B13" s="3297"/>
      <c r="C13" s="3381"/>
      <c r="D13" s="3300"/>
      <c r="E13" s="1895" t="s">
        <v>796</v>
      </c>
      <c r="F13" s="2125"/>
      <c r="G13" s="2125"/>
      <c r="H13" s="2125"/>
      <c r="I13" s="2249"/>
    </row>
    <row r="14" spans="1:12" ht="13.2">
      <c r="A14" s="3289" t="s">
        <v>797</v>
      </c>
      <c r="B14" s="3297">
        <v>30</v>
      </c>
      <c r="C14" s="3379">
        <v>7</v>
      </c>
      <c r="D14" s="3300">
        <v>3</v>
      </c>
      <c r="E14" s="1895" t="s">
        <v>798</v>
      </c>
      <c r="F14" s="2125"/>
      <c r="G14" s="2125"/>
      <c r="H14" s="2125"/>
      <c r="I14" s="2249"/>
    </row>
    <row r="15" spans="1:12" ht="13.2">
      <c r="A15" s="3289"/>
      <c r="B15" s="3297"/>
      <c r="C15" s="3380"/>
      <c r="D15" s="3300"/>
      <c r="E15" s="1895" t="s">
        <v>799</v>
      </c>
      <c r="F15" s="2125"/>
      <c r="G15" s="2125"/>
      <c r="H15" s="2125"/>
      <c r="I15" s="2249"/>
    </row>
    <row r="16" spans="1:12" ht="13.2">
      <c r="A16" s="3289"/>
      <c r="B16" s="3297"/>
      <c r="C16" s="3381"/>
      <c r="D16" s="3300"/>
      <c r="E16" s="1895" t="s">
        <v>800</v>
      </c>
      <c r="F16" s="2125"/>
      <c r="G16" s="2125"/>
      <c r="H16" s="2125"/>
      <c r="I16" s="2249"/>
    </row>
    <row r="17" spans="1:36" ht="14.4">
      <c r="A17" s="2126" t="s">
        <v>801</v>
      </c>
      <c r="B17" s="2127"/>
      <c r="C17" s="2128">
        <f>SUM(C5:C16)</f>
        <v>7</v>
      </c>
      <c r="D17" s="2128">
        <f>SUM(D5:D16)</f>
        <v>3</v>
      </c>
      <c r="E17" s="1458"/>
      <c r="F17" s="1458"/>
      <c r="G17" s="1458"/>
      <c r="H17" s="1458"/>
      <c r="I17" s="1458"/>
      <c r="K17" s="1855"/>
      <c r="L17" s="1855" t="s">
        <v>802</v>
      </c>
      <c r="M17" s="1855" t="s">
        <v>803</v>
      </c>
    </row>
    <row r="18" spans="1:36" ht="31.95" customHeight="1" thickBot="1">
      <c r="A18" s="2129" t="s">
        <v>804</v>
      </c>
      <c r="B18" s="2130"/>
      <c r="C18" s="2131">
        <f>ROUND(C17/SUM(C17:D17),2)</f>
        <v>0.7</v>
      </c>
      <c r="D18" s="2131">
        <f>1-C18</f>
        <v>0.30000000000000004</v>
      </c>
      <c r="E18" s="3370" t="s">
        <v>805</v>
      </c>
      <c r="F18" s="3371"/>
      <c r="G18" s="3371"/>
      <c r="H18" s="3371"/>
      <c r="I18" s="3371"/>
      <c r="K18" s="1855" t="s">
        <v>469</v>
      </c>
      <c r="L18" s="1855">
        <f>IF(C1="",'数据-汇总表'!E3,SUMIF(项目类型,C1,'数据-汇总表'!E17:E26)+SUMIF(项目类型,C1,'数据-汇总表'!I17:I26))</f>
        <v>155.37</v>
      </c>
      <c r="M18" s="1855">
        <f>IF(C1="",'数据-汇总表'!E3,SUMIF(项目类型,C1,'数据-汇总表'!E17:E26))</f>
        <v>155.37</v>
      </c>
    </row>
    <row r="19" spans="1:36" ht="14.4">
      <c r="A19" s="1129" t="s">
        <v>806</v>
      </c>
      <c r="B19" s="2132" t="s">
        <v>807</v>
      </c>
      <c r="C19" s="2133">
        <f ca="1">SUMIF(INDIRECT("'"&amp;C4&amp;"'"&amp;"!A:A"),结果表112!B19,INDIRECT("'"&amp;C4&amp;"'"&amp;"!B:B"))</f>
        <v>477.52969999999999</v>
      </c>
      <c r="D19" s="1245">
        <f ca="1">SUMIF(INDIRECT("'"&amp;D4&amp;"'"&amp;"!A:A"),结果表112!B19,INDIRECT("'"&amp;D4&amp;"'"&amp;"!B:B"))</f>
        <v>335.29700000000003</v>
      </c>
      <c r="E19" s="1129" t="s">
        <v>808</v>
      </c>
      <c r="F19" s="2132" t="s">
        <v>807</v>
      </c>
      <c r="G19" s="2134">
        <f ca="1">ROUND(C19*$C$18+D19*$D$18,0)</f>
        <v>435</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SUMIF(INDIRECT("'"&amp;C4&amp;"'"&amp;"!A:A"),结果表112!B20,INDIRECT("'"&amp;C4&amp;"'"&amp;"!B:B"))</f>
        <v>30735</v>
      </c>
      <c r="D20" s="1602">
        <f ca="1">SUMIF(INDIRECT("'"&amp;D4&amp;"'"&amp;"!A:A"),结果表112!B20,INDIRECT("'"&amp;D4&amp;"'"&amp;"!B:B"))</f>
        <v>21581</v>
      </c>
      <c r="E20" s="2136"/>
      <c r="F20" s="2137" t="s">
        <v>810</v>
      </c>
      <c r="G20" s="2138">
        <f ca="1">ROUND(C20*$C$18+D20*$D$18,0)</f>
        <v>27989</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0.42419914284947358</v>
      </c>
      <c r="E22" s="1458"/>
      <c r="F22" s="1458"/>
      <c r="G22" s="1458"/>
      <c r="H22" s="1458"/>
      <c r="I22" s="1458"/>
    </row>
    <row r="23" spans="1:36" ht="13.8" thickBot="1">
      <c r="A23" s="1998"/>
      <c r="B23" s="1998"/>
      <c r="C23" s="1998"/>
      <c r="D23" s="1998"/>
      <c r="E23" s="1458"/>
      <c r="F23" s="1458"/>
      <c r="G23" s="1458"/>
      <c r="H23" s="1458"/>
      <c r="I23" s="1458"/>
    </row>
    <row r="24" spans="1:36" ht="14.4">
      <c r="A24" s="3290" t="s">
        <v>814</v>
      </c>
      <c r="B24" s="2132" t="s">
        <v>807</v>
      </c>
      <c r="C24" s="2134">
        <f>IF(B30=0,0,D30)</f>
        <v>0</v>
      </c>
      <c r="D24" s="2148"/>
      <c r="E24" s="1458"/>
      <c r="F24" s="1458"/>
      <c r="G24" s="1458"/>
      <c r="H24" s="1458"/>
      <c r="I24" s="1458"/>
      <c r="K24" s="1522" t="s">
        <v>2875</v>
      </c>
      <c r="L24" s="1522" t="s">
        <v>2874</v>
      </c>
      <c r="M24" s="1522" t="s">
        <v>2873</v>
      </c>
    </row>
    <row r="25" spans="1:36" ht="14.4">
      <c r="A25" s="3291"/>
      <c r="B25" s="2137" t="s">
        <v>810</v>
      </c>
      <c r="C25" s="2149">
        <f>IF(B30=0,0,C30)</f>
        <v>0</v>
      </c>
      <c r="D25" s="2150"/>
      <c r="E25" s="1458"/>
      <c r="F25" s="1458"/>
      <c r="G25" s="1458"/>
      <c r="H25" s="1458"/>
      <c r="I25" s="1458"/>
      <c r="K25" s="3196">
        <v>110</v>
      </c>
      <c r="L25" s="3196">
        <f ca="1">结果表110!G20</f>
        <v>28410</v>
      </c>
      <c r="M25" s="3196">
        <f ca="1">结果表110!G19</f>
        <v>1009</v>
      </c>
      <c r="N25" s="1417">
        <v>1008</v>
      </c>
    </row>
    <row r="26" spans="1:36" ht="13.5" customHeight="1">
      <c r="A26" s="2151" t="s">
        <v>815</v>
      </c>
      <c r="B26" s="2152" t="s">
        <v>816</v>
      </c>
      <c r="C26" s="2152" t="s">
        <v>817</v>
      </c>
      <c r="D26" s="2153" t="s">
        <v>818</v>
      </c>
      <c r="E26" s="1458"/>
      <c r="F26" s="1458"/>
      <c r="G26" s="1458"/>
      <c r="H26" s="1458"/>
      <c r="I26" s="1458"/>
      <c r="K26" s="3196">
        <v>111</v>
      </c>
      <c r="L26" s="3196">
        <f ca="1">结果表111!G20</f>
        <v>28410</v>
      </c>
      <c r="M26" s="3196">
        <f ca="1">结果表111!G19</f>
        <v>1065</v>
      </c>
      <c r="N26" s="1417">
        <v>1064</v>
      </c>
    </row>
    <row r="27" spans="1:36" ht="13.8">
      <c r="A27" s="2151"/>
      <c r="B27" s="2152">
        <v>0</v>
      </c>
      <c r="C27" s="2152">
        <v>0</v>
      </c>
      <c r="D27" s="2153">
        <f>ROUND(C27*B27/10000,0)</f>
        <v>0</v>
      </c>
      <c r="E27" s="1458"/>
      <c r="F27" s="1458"/>
      <c r="G27" s="1458"/>
      <c r="H27" s="1458"/>
      <c r="I27" s="1458"/>
      <c r="K27" s="3196">
        <v>112</v>
      </c>
      <c r="L27" s="3196">
        <f ca="1">G20</f>
        <v>27989</v>
      </c>
      <c r="M27" s="3196">
        <f ca="1">G19</f>
        <v>435</v>
      </c>
      <c r="N27" s="1417">
        <v>435</v>
      </c>
    </row>
    <row r="28" spans="1:36" ht="13.8">
      <c r="A28" s="2151"/>
      <c r="B28" s="2152"/>
      <c r="C28" s="2152"/>
      <c r="D28" s="2153"/>
      <c r="E28" s="1458"/>
      <c r="F28" s="1458"/>
      <c r="G28" s="1458"/>
      <c r="H28" s="1458"/>
      <c r="I28" s="1458"/>
      <c r="K28" s="3197" t="s">
        <v>2876</v>
      </c>
      <c r="L28" s="3196" t="s">
        <v>2877</v>
      </c>
      <c r="M28" s="3196">
        <f ca="1">SUM(M25:M27)</f>
        <v>2509</v>
      </c>
    </row>
    <row r="29" spans="1:36" ht="13.8">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822</v>
      </c>
      <c r="B32" s="2158"/>
      <c r="C32" s="2159">
        <f ca="1">IF(D32="总价",G19-C24,G20-C25)</f>
        <v>27989</v>
      </c>
      <c r="D32" s="2160" t="s">
        <v>823</v>
      </c>
      <c r="E32" s="1458"/>
      <c r="F32" s="1458"/>
      <c r="G32" s="1458"/>
      <c r="H32" s="1458"/>
      <c r="I32" s="1458"/>
    </row>
    <row r="33" spans="1:15" ht="14.4">
      <c r="A33" s="2161" t="s">
        <v>824</v>
      </c>
      <c r="B33" s="1895"/>
      <c r="C33" s="2162" t="s">
        <v>2793</v>
      </c>
      <c r="D33" s="2163" t="s">
        <v>266</v>
      </c>
      <c r="E33" s="2164" t="s">
        <v>825</v>
      </c>
      <c r="F33" s="2165" t="str">
        <f>IF(D32="楼面单价","取值（单价）","取值（总价）")</f>
        <v>取值（单价）</v>
      </c>
      <c r="G33" s="1458"/>
      <c r="H33" s="1458"/>
      <c r="I33" s="1458"/>
    </row>
    <row r="34" spans="1:15" ht="14.4">
      <c r="A34" s="2166"/>
      <c r="B34" s="2167" t="s">
        <v>826</v>
      </c>
      <c r="C34" s="2168">
        <f ca="1">IF(C33="自定义",F34,C32-C35)</f>
        <v>20236</v>
      </c>
      <c r="D34" s="2169">
        <f ca="1">IF(C33="自定义",ROUND(C34/C32,3),IF(C33="收益比率",SUMIF(INDIRECT("'"&amp;D33&amp;"'"&amp;"!b:b"),"土地收益比率",INDIRECT("'"&amp;D33&amp;"'"&amp;"!c:c")),SUMIF(INDIRECT("'"&amp;D33&amp;"'"&amp;"!b:b"),"土地成本比率",INDIRECT("'"&amp;D33&amp;"'"&amp;"!c:c"))))</f>
        <v>0.72299999999999998</v>
      </c>
      <c r="E34" s="2170" t="s">
        <v>827</v>
      </c>
      <c r="F34" s="2171"/>
      <c r="G34" s="1458"/>
      <c r="H34" s="1458"/>
      <c r="I34" s="1458"/>
    </row>
    <row r="35" spans="1:15" ht="15" thickBot="1">
      <c r="A35" s="2172"/>
      <c r="B35" s="2173" t="s">
        <v>828</v>
      </c>
      <c r="C35" s="2174">
        <f ca="1">IF(C33="自定义",F35,ROUND(C32*D35,0))</f>
        <v>7753</v>
      </c>
      <c r="D35" s="2175">
        <f ca="1">IF(C33="自定义",ROUND(C35/C32,3),IF(C33="收益比率",SUMIF(INDIRECT("'"&amp;D33&amp;"'"&amp;"!b:b"),"建筑物收益比率",INDIRECT("'"&amp;D33&amp;"'"&amp;"!c:c")),SUMIF(INDIRECT("'"&amp;D33&amp;"'"&amp;"!b:b"),"建筑物成本比率",INDIRECT("'"&amp;D33&amp;"'"&amp;"!c:c"))))</f>
        <v>0.27700000000000002</v>
      </c>
      <c r="E35" s="2176" t="s">
        <v>829</v>
      </c>
      <c r="F35" s="2177"/>
      <c r="G35" s="1458"/>
      <c r="H35" s="1458"/>
      <c r="I35" s="1458"/>
    </row>
    <row r="36" spans="1:15" ht="15" thickBot="1">
      <c r="A36" s="3292" t="s">
        <v>830</v>
      </c>
      <c r="B36" s="2178" t="s">
        <v>831</v>
      </c>
      <c r="C36" s="2179"/>
      <c r="D36" s="2180"/>
      <c r="E36" s="2181"/>
      <c r="F36" s="2182"/>
      <c r="G36" s="1458"/>
      <c r="H36" s="1458"/>
      <c r="I36" s="1458"/>
    </row>
    <row r="37" spans="1:15" ht="15" thickBot="1">
      <c r="A37" s="3293"/>
      <c r="B37" s="2183" t="s">
        <v>832</v>
      </c>
      <c r="C37" s="2184"/>
      <c r="D37" s="2185"/>
      <c r="E37" s="2185"/>
      <c r="F37" s="2182"/>
      <c r="G37" s="1458"/>
      <c r="H37" s="1458"/>
      <c r="I37" s="1458"/>
    </row>
    <row r="38" spans="1:15" ht="15" thickBot="1">
      <c r="A38" s="3294"/>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thickBot="1">
      <c r="A45" s="3372" t="s">
        <v>841</v>
      </c>
      <c r="B45" s="3373"/>
      <c r="C45" s="3374"/>
      <c r="D45" s="2204">
        <f ca="1">ROUND(H101*F45,4)</f>
        <v>435</v>
      </c>
      <c r="E45" s="2205" t="s">
        <v>842</v>
      </c>
      <c r="F45" s="2206">
        <v>1</v>
      </c>
      <c r="G45" s="1865" t="s">
        <v>843</v>
      </c>
      <c r="H45" s="1458"/>
      <c r="I45" s="1458"/>
      <c r="J45" s="3361" t="s">
        <v>844</v>
      </c>
      <c r="K45" s="3361"/>
      <c r="L45" s="3361"/>
      <c r="M45" s="3361"/>
      <c r="N45" s="3361"/>
      <c r="O45" s="3361"/>
    </row>
    <row r="46" spans="1:15" ht="14.25" customHeight="1">
      <c r="A46" s="3375" t="s">
        <v>845</v>
      </c>
      <c r="B46" s="3376"/>
      <c r="C46" s="3376"/>
      <c r="D46" s="3376"/>
      <c r="E46" s="3376"/>
      <c r="F46" s="3376"/>
      <c r="G46" s="3377"/>
      <c r="H46" s="2207"/>
      <c r="I46" s="1459"/>
      <c r="J46" s="576">
        <v>1</v>
      </c>
      <c r="K46" s="3351" t="s">
        <v>846</v>
      </c>
      <c r="L46" s="3351"/>
      <c r="M46" s="3378"/>
      <c r="N46" s="3378"/>
      <c r="O46" s="3378"/>
    </row>
    <row r="47" spans="1:15" ht="12" customHeight="1">
      <c r="A47" s="2208" t="s">
        <v>847</v>
      </c>
      <c r="B47" s="2209"/>
      <c r="C47" s="2210"/>
      <c r="D47" s="1904" t="s">
        <v>848</v>
      </c>
      <c r="E47" s="1855" t="s">
        <v>849</v>
      </c>
      <c r="F47" s="2211" t="s">
        <v>850</v>
      </c>
      <c r="G47" s="2212" t="s">
        <v>851</v>
      </c>
      <c r="H47" s="2213"/>
      <c r="I47" s="1459"/>
      <c r="J47" s="576">
        <v>2</v>
      </c>
      <c r="K47" s="3351" t="s">
        <v>852</v>
      </c>
      <c r="L47" s="3351"/>
      <c r="M47" s="3358">
        <f>'数据-取费表'!B2</f>
        <v>45839</v>
      </c>
      <c r="N47" s="3358"/>
      <c r="O47" s="3358"/>
    </row>
    <row r="48" spans="1:15" ht="39.6">
      <c r="A48" s="3359" t="s">
        <v>853</v>
      </c>
      <c r="B48" s="3353"/>
      <c r="C48" s="3353"/>
      <c r="D48" s="2005">
        <f ca="1">IF(H48="情况1",0,IF(H48="情况2",D52,IF(H48="情况3",D53,IF(H48="情况4",D54))))</f>
        <v>22.785699999999999</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51" t="s">
        <v>856</v>
      </c>
      <c r="L48" s="3351"/>
      <c r="M48" s="3360">
        <f ca="1">H101</f>
        <v>435</v>
      </c>
      <c r="N48" s="3360"/>
      <c r="O48" s="3360"/>
    </row>
    <row r="49" spans="1:35" ht="25.5" customHeight="1">
      <c r="A49" s="2214" t="s">
        <v>857</v>
      </c>
      <c r="B49" s="3327" t="s">
        <v>858</v>
      </c>
      <c r="C49" s="3327"/>
      <c r="D49" s="2218">
        <v>0</v>
      </c>
      <c r="E49" s="1914" t="s">
        <v>859</v>
      </c>
      <c r="F49" s="2219" t="s">
        <v>124</v>
      </c>
      <c r="G49" s="3354"/>
      <c r="H49" s="2220" t="s">
        <v>860</v>
      </c>
      <c r="I49" s="2255"/>
      <c r="J49" s="576">
        <v>4</v>
      </c>
      <c r="K49" s="3351" t="str">
        <f>IF(项目基本情况!E8="房地产抵押价值","房地产抵押价值","抵押担保权已注销时的房地产抵押价值")</f>
        <v>房地产抵押价值</v>
      </c>
      <c r="L49" s="3351"/>
      <c r="M49" s="3360">
        <f ca="1">IF(项目基本情况!E8="房地产抵押价值",H107,H109)</f>
        <v>435</v>
      </c>
      <c r="N49" s="3360"/>
      <c r="O49" s="3360"/>
    </row>
    <row r="50" spans="1:35" ht="25.5" customHeight="1">
      <c r="A50" s="2221"/>
      <c r="B50" s="3327" t="s">
        <v>861</v>
      </c>
      <c r="C50" s="3327"/>
      <c r="D50" s="2222"/>
      <c r="E50" s="1929"/>
      <c r="F50" s="2219"/>
      <c r="G50" s="3355"/>
      <c r="H50" s="2223" t="s">
        <v>862</v>
      </c>
      <c r="I50" s="2255"/>
      <c r="J50" s="3361" t="s">
        <v>863</v>
      </c>
      <c r="K50" s="3361"/>
      <c r="L50" s="3361"/>
      <c r="M50" s="3361"/>
      <c r="N50" s="3361"/>
      <c r="O50" s="3361"/>
    </row>
    <row r="51" spans="1:35" ht="20.399999999999999" customHeight="1">
      <c r="A51" s="2224"/>
      <c r="B51" s="3327" t="s">
        <v>864</v>
      </c>
      <c r="C51" s="3327"/>
      <c r="D51" s="1904"/>
      <c r="E51" s="1918"/>
      <c r="F51" s="2219"/>
      <c r="G51" s="3356"/>
      <c r="H51" s="2223" t="s">
        <v>865</v>
      </c>
      <c r="I51" s="2255"/>
      <c r="J51" s="2254" t="s">
        <v>866</v>
      </c>
      <c r="K51" s="3351" t="s">
        <v>867</v>
      </c>
      <c r="L51" s="3351"/>
      <c r="M51" s="2254" t="s">
        <v>868</v>
      </c>
      <c r="N51" s="2254" t="s">
        <v>869</v>
      </c>
      <c r="O51" s="2254" t="s">
        <v>870</v>
      </c>
    </row>
    <row r="52" spans="1:35" ht="24" customHeight="1">
      <c r="A52" s="2225" t="s">
        <v>871</v>
      </c>
      <c r="B52" s="3327" t="s">
        <v>872</v>
      </c>
      <c r="C52" s="3327"/>
      <c r="D52" s="1904">
        <f ca="1">ROUND(D45*'数据-取费表'!B41/(1+'数据-取费表'!C42),0)</f>
        <v>23</v>
      </c>
      <c r="E52" s="1908" t="s">
        <v>873</v>
      </c>
      <c r="F52" s="2226">
        <f>'数据-取费表'!B41</f>
        <v>5.5000000000000007E-2</v>
      </c>
      <c r="G52" s="2227"/>
      <c r="H52" s="2019"/>
      <c r="I52" s="2256"/>
      <c r="J52" s="576">
        <v>1</v>
      </c>
      <c r="K52" s="3347" t="s">
        <v>874</v>
      </c>
      <c r="L52" s="3347"/>
      <c r="M52" s="2257">
        <f ca="1">D48</f>
        <v>22.785699999999999</v>
      </c>
      <c r="N52" s="576" t="str">
        <f>E48</f>
        <v>(销售额-原购置价)×税（费）率</v>
      </c>
      <c r="O52" s="2258">
        <f>F48</f>
        <v>5.5000000000000007E-2</v>
      </c>
    </row>
    <row r="53" spans="1:35" ht="12" customHeight="1">
      <c r="A53" s="2225" t="s">
        <v>875</v>
      </c>
      <c r="B53" s="3326" t="s">
        <v>876</v>
      </c>
      <c r="C53" s="3343"/>
      <c r="D53" s="1904">
        <f ca="1">ROUND(D45*'数据-取费表'!B41/(1+'数据-取费表'!C42),0)</f>
        <v>23</v>
      </c>
      <c r="E53" s="1908" t="s">
        <v>873</v>
      </c>
      <c r="F53" s="2226">
        <f>'数据-取费表'!B41</f>
        <v>5.5000000000000007E-2</v>
      </c>
      <c r="G53" s="2227"/>
      <c r="H53" s="2019"/>
      <c r="I53" s="2256"/>
      <c r="J53" s="576">
        <v>2</v>
      </c>
      <c r="K53" s="3347" t="s">
        <v>877</v>
      </c>
      <c r="L53" s="3347"/>
      <c r="M53" s="2257">
        <f t="shared" ref="M53:O54" ca="1" si="0">D55</f>
        <v>0.2175</v>
      </c>
      <c r="N53" s="576" t="str">
        <f t="shared" si="0"/>
        <v>销售额×税（费）率</v>
      </c>
      <c r="O53" s="2258">
        <f t="shared" si="0"/>
        <v>5.0000000000000001E-4</v>
      </c>
    </row>
    <row r="54" spans="1:35" ht="12" customHeight="1">
      <c r="A54" s="2225" t="s">
        <v>878</v>
      </c>
      <c r="B54" s="3326" t="s">
        <v>879</v>
      </c>
      <c r="C54" s="3343"/>
      <c r="D54" s="1904">
        <f ca="1">C68</f>
        <v>22.785699999999999</v>
      </c>
      <c r="E54" s="1918" t="s">
        <v>880</v>
      </c>
      <c r="F54" s="2226">
        <f>'数据-取费表'!B41</f>
        <v>5.5000000000000007E-2</v>
      </c>
      <c r="G54" s="2227"/>
      <c r="H54" s="2228"/>
      <c r="I54" s="2256"/>
      <c r="J54" s="576">
        <v>3</v>
      </c>
      <c r="K54" s="3347" t="s">
        <v>881</v>
      </c>
      <c r="L54" s="3347"/>
      <c r="M54" s="2257">
        <f t="shared" ca="1" si="0"/>
        <v>246.6036</v>
      </c>
      <c r="N54" s="576" t="str">
        <f t="shared" si="0"/>
        <v>增值额×税（费）率</v>
      </c>
      <c r="O54" s="2259" t="str">
        <f t="shared" si="0"/>
        <v>——</v>
      </c>
    </row>
    <row r="55" spans="1:35" ht="24" customHeight="1">
      <c r="A55" s="3352" t="s">
        <v>882</v>
      </c>
      <c r="B55" s="3353"/>
      <c r="C55" s="3353"/>
      <c r="D55" s="2229">
        <f ca="1">IF(H55="个人住宅",0,ROUND(D45*I55,4))</f>
        <v>0.2175</v>
      </c>
      <c r="E55" s="1908" t="s">
        <v>883</v>
      </c>
      <c r="F55" s="2226">
        <f>IF(H55="正常",I55,"免征")</f>
        <v>5.0000000000000001E-4</v>
      </c>
      <c r="G55" s="2227"/>
      <c r="H55" s="2217" t="s">
        <v>884</v>
      </c>
      <c r="I55" s="2260">
        <f>'数据-取费表'!B49</f>
        <v>5.0000000000000001E-4</v>
      </c>
      <c r="J55" s="576">
        <f>IF(H59="非个人房产","",4)</f>
        <v>4</v>
      </c>
      <c r="K55" s="3347" t="str">
        <f>IF(H59="非个人房产","——","个人所得税")</f>
        <v>个人所得税</v>
      </c>
      <c r="L55" s="3347"/>
      <c r="M55" s="2261">
        <f ca="1">D59</f>
        <v>4.3499999999999996</v>
      </c>
      <c r="N55" s="557" t="str">
        <f>E59</f>
        <v>销售额×税（费）率</v>
      </c>
      <c r="O55" s="2262">
        <f>F59</f>
        <v>0.01</v>
      </c>
    </row>
    <row r="56" spans="1:35" ht="25.2">
      <c r="A56" s="3352" t="s">
        <v>885</v>
      </c>
      <c r="B56" s="3353"/>
      <c r="C56" s="3353"/>
      <c r="D56" s="2005">
        <f ca="1">IF(H56="个人住宅",D57,D58)</f>
        <v>246.6036</v>
      </c>
      <c r="E56" s="1908" t="s">
        <v>886</v>
      </c>
      <c r="F56" s="2226" t="str">
        <f>IF(H56="正常",F58,"免征")</f>
        <v>——</v>
      </c>
      <c r="G56" s="2230" t="s">
        <v>887</v>
      </c>
      <c r="H56" s="2231" t="s">
        <v>884</v>
      </c>
      <c r="I56" s="2239"/>
      <c r="J56" s="576" t="str">
        <f>IF(项目基本情况!K6="上海银行",IF(J55="",4,J55+1),"")</f>
        <v/>
      </c>
      <c r="K56" s="3341" t="str">
        <f>IF(项目基本情况!K6="上海银行","其他处置费用","")</f>
        <v/>
      </c>
      <c r="L56" s="3357"/>
      <c r="M56" s="2257" t="str">
        <f>IF(项目基本情况!K6="上海银行",M69,"")</f>
        <v/>
      </c>
      <c r="N56" s="3341" t="str">
        <f>IF(项目基本情况!K6="上海银行","包含处置中涉及的律师、诉讼、拍卖、评估等费用","")</f>
        <v/>
      </c>
      <c r="O56" s="3342"/>
    </row>
    <row r="57" spans="1:35" ht="13.2">
      <c r="A57" s="2225" t="s">
        <v>857</v>
      </c>
      <c r="B57" s="3326" t="s">
        <v>888</v>
      </c>
      <c r="C57" s="3343"/>
      <c r="D57" s="2218">
        <v>0</v>
      </c>
      <c r="E57" s="1914" t="s">
        <v>859</v>
      </c>
      <c r="F57" s="1855"/>
      <c r="G57" s="2227"/>
      <c r="H57" s="2232"/>
      <c r="I57" s="2239"/>
      <c r="J57" s="3347">
        <f>IF(AND(J55="",J56=""),4,IF(项目基本情况!K6="上海银行",结果表112!J56+1,结果表112!J55+1))</f>
        <v>5</v>
      </c>
      <c r="K57" s="3347" t="s">
        <v>889</v>
      </c>
      <c r="L57" s="2264" t="s">
        <v>890</v>
      </c>
      <c r="M57" s="2265"/>
      <c r="N57" s="2266">
        <f ca="1">SUMIF(M52:M56,"&lt;9e307")</f>
        <v>273.95680000000004</v>
      </c>
      <c r="O57" s="2267"/>
      <c r="P57" s="2268">
        <f ca="1">N57/M49</f>
        <v>0.62978574712643687</v>
      </c>
    </row>
    <row r="58" spans="1:35" ht="25.2">
      <c r="A58" s="2225" t="s">
        <v>871</v>
      </c>
      <c r="B58" s="3326" t="s">
        <v>891</v>
      </c>
      <c r="C58" s="3327"/>
      <c r="D58" s="2005">
        <f ca="1">IF(H58="转让取得",C81,C97)</f>
        <v>246.6036</v>
      </c>
      <c r="E58" s="1908" t="s">
        <v>886</v>
      </c>
      <c r="F58" s="1855" t="s">
        <v>124</v>
      </c>
      <c r="G58" s="2227"/>
      <c r="H58" s="2231" t="s">
        <v>892</v>
      </c>
      <c r="I58" s="2239"/>
      <c r="J58" s="3347"/>
      <c r="K58" s="3347"/>
      <c r="L58" s="2264" t="s">
        <v>893</v>
      </c>
      <c r="M58" s="2269"/>
      <c r="N58" s="2270" t="str">
        <f ca="1">NUMBERSTRING(INT(N57*10000),2)&amp;"元整"</f>
        <v>贰佰柒拾叁万玖仟伍佰陆拾捌元整</v>
      </c>
      <c r="O58" s="2271"/>
    </row>
    <row r="59" spans="1:35" ht="27" thickBot="1">
      <c r="A59" s="3344" t="s">
        <v>894</v>
      </c>
      <c r="B59" s="3345"/>
      <c r="C59" s="3345"/>
      <c r="D59" s="3177">
        <f ca="1">IF(H59="非个人房产","——",IF(H59="个人住宅（满五唯一有凭证）",0,IF(H59="个人其他（无凭证）",ROUND(D45*F59,4),ROUND(C67*F59,4))))</f>
        <v>4.3499999999999996</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2794</v>
      </c>
      <c r="I59" s="2272" t="s">
        <v>895</v>
      </c>
      <c r="J59" s="3348">
        <f>J57+1</f>
        <v>6</v>
      </c>
      <c r="K59" s="3347" t="s">
        <v>896</v>
      </c>
      <c r="L59" s="576" t="s">
        <v>890</v>
      </c>
      <c r="M59" s="2273"/>
      <c r="N59" s="2274">
        <f ca="1">M49-N57</f>
        <v>161.04319999999996</v>
      </c>
      <c r="O59" s="2275"/>
    </row>
    <row r="60" spans="1:35" ht="12" customHeight="1">
      <c r="A60" s="2237"/>
      <c r="B60" s="1998"/>
      <c r="C60" s="1998"/>
      <c r="D60" s="1998"/>
      <c r="E60" s="2238"/>
      <c r="F60" s="2239"/>
      <c r="G60" s="2239"/>
      <c r="H60" s="1459"/>
      <c r="I60" s="1458"/>
      <c r="J60" s="3349"/>
      <c r="K60" s="3347"/>
      <c r="L60" s="2264" t="s">
        <v>893</v>
      </c>
      <c r="M60" s="2269"/>
      <c r="N60" s="2270" t="str">
        <f ca="1">NUMBERSTRING(INT(N59*10000),2)&amp;"元整"</f>
        <v>壹佰陆拾壹万零肆佰叁拾贰元整</v>
      </c>
      <c r="O60" s="2271"/>
    </row>
    <row r="61" spans="1:35" ht="13.8" thickBot="1">
      <c r="A61" s="3346" t="s">
        <v>897</v>
      </c>
      <c r="B61" s="3346"/>
      <c r="C61" s="3346"/>
      <c r="D61" s="3346"/>
      <c r="E61" s="3346"/>
      <c r="F61" s="2239"/>
      <c r="G61" s="2239"/>
      <c r="H61" s="1459"/>
      <c r="I61" s="1458"/>
      <c r="J61" s="576">
        <f>J59+1</f>
        <v>7</v>
      </c>
      <c r="K61" s="3347" t="s">
        <v>898</v>
      </c>
      <c r="L61" s="3347"/>
      <c r="M61" s="2276"/>
      <c r="N61" s="2488">
        <f ca="1">ROUND(N59*10000/'数据-汇总表'!E3,0)</f>
        <v>1818</v>
      </c>
      <c r="O61" s="2277"/>
    </row>
    <row r="62" spans="1:35" ht="13.2">
      <c r="A62" s="3324" t="s">
        <v>899</v>
      </c>
      <c r="B62" s="3325"/>
      <c r="C62" s="528"/>
      <c r="D62" s="528" t="s">
        <v>900</v>
      </c>
      <c r="E62" s="2240" t="s">
        <v>851</v>
      </c>
      <c r="F62" s="2239"/>
      <c r="G62" s="2239"/>
      <c r="H62" s="1459"/>
      <c r="I62" s="1458"/>
    </row>
    <row r="63" spans="1:35" ht="13.2">
      <c r="A63" s="2241" t="s">
        <v>901</v>
      </c>
      <c r="B63" s="586" t="s">
        <v>902</v>
      </c>
      <c r="C63" s="2242">
        <f ca="1">ROUND((C64+C65)/(1+'数据-取费表'!C42),4)</f>
        <v>414.28570000000002</v>
      </c>
      <c r="D63" s="586"/>
      <c r="E63" s="2243"/>
      <c r="F63" s="2239"/>
      <c r="G63" s="2239"/>
      <c r="H63" s="1459"/>
      <c r="I63" s="1458"/>
      <c r="J63" s="3350" t="s">
        <v>903</v>
      </c>
      <c r="K63" s="2278" t="s">
        <v>904</v>
      </c>
      <c r="L63" s="2278">
        <f ca="1">IF(M49&gt;10000,M49*0.5%,IF(AND(M49&gt;1000,M49&lt;=10000),M49*1%,IF(AND(M49&gt;100,M49&lt;=1000),M49*3%,IF(AND(M49&gt;10,M49&lt;=100),M49*5%,M49*8%))))</f>
        <v>13.049999999999999</v>
      </c>
      <c r="M63" s="1855">
        <f ca="1">ROUND(L63,1)</f>
        <v>13.1</v>
      </c>
      <c r="N63" s="2279"/>
      <c r="Z63" s="2113"/>
      <c r="AI63" s="2114"/>
    </row>
    <row r="64" spans="1:35" ht="14.25" customHeight="1">
      <c r="A64" s="2244" t="s">
        <v>905</v>
      </c>
      <c r="B64" s="509" t="s">
        <v>906</v>
      </c>
      <c r="C64" s="2245">
        <f ca="1">D45</f>
        <v>435</v>
      </c>
      <c r="D64" s="509" t="s">
        <v>124</v>
      </c>
      <c r="E64" s="2246"/>
      <c r="F64" s="2239"/>
      <c r="G64" s="2239"/>
      <c r="H64" s="1459"/>
      <c r="I64" s="1458"/>
      <c r="J64" s="3350"/>
      <c r="K64" s="2278" t="s">
        <v>907</v>
      </c>
      <c r="L64" s="2278">
        <f ca="1">IF(M49&gt;2000,M49*0.5%,IF(AND(M49&gt;1000,M49&lt;=2000),M49*0.6%,IF(AND(M49&gt;500,M49&lt;=1000),M49*0.7%,IF(AND(M49&gt;200,M49&lt;=500),M49*0.8%,IF(AND(M49&gt;100,M49&lt;=200),M49*0.9%,IF(AND(M49&gt;50,M49&lt;=100),M49*1%,IF(AND(M49&gt;20,M49&lt;=50),M49*1.5%,IF(AND(M49&gt;10,M49&lt;=20),M49*2%,IF(AND(M49&gt;1,M49&lt;=10),M49*2.5%)))))))))</f>
        <v>3.48</v>
      </c>
      <c r="M64" s="1855">
        <f t="shared" ref="M64:M65" ca="1" si="1">ROUND(L64,1)</f>
        <v>3.5</v>
      </c>
      <c r="N64" s="2019" t="s">
        <v>908</v>
      </c>
      <c r="Z64" s="2113"/>
      <c r="AI64" s="2114"/>
    </row>
    <row r="65" spans="1:35" ht="14.25" customHeight="1">
      <c r="A65" s="2244" t="s">
        <v>909</v>
      </c>
      <c r="B65" s="509" t="s">
        <v>910</v>
      </c>
      <c r="C65" s="2281"/>
      <c r="D65" s="509"/>
      <c r="E65" s="2246"/>
      <c r="F65" s="2239"/>
      <c r="G65" s="2239"/>
      <c r="H65" s="1459"/>
      <c r="I65" s="1458"/>
      <c r="J65" s="3350"/>
      <c r="K65" s="2278" t="s">
        <v>911</v>
      </c>
      <c r="L65" s="2278">
        <f ca="1">IF(M49&gt;1000,M49*0.1%,IF(AND(M49&gt;500,M49&lt;=1000),M49*0.5%,IF(AND(M49&gt;50,M49&lt;=500),M49*1%,IF(AND(M49&gt;1,M49&lt;=50),M49*1.5%))))</f>
        <v>4.3500000000000005</v>
      </c>
      <c r="M65" s="1855">
        <f t="shared" ca="1" si="1"/>
        <v>4.4000000000000004</v>
      </c>
      <c r="N65" s="2019" t="s">
        <v>908</v>
      </c>
      <c r="Z65" s="2113"/>
      <c r="AI65" s="2114"/>
    </row>
    <row r="66" spans="1:35" ht="14.25" customHeight="1">
      <c r="A66" s="2241" t="s">
        <v>912</v>
      </c>
      <c r="B66" s="2282" t="s">
        <v>913</v>
      </c>
      <c r="C66" s="2283"/>
      <c r="D66" s="2282" t="s">
        <v>124</v>
      </c>
      <c r="E66" s="2284" t="s">
        <v>914</v>
      </c>
      <c r="F66" s="2239"/>
      <c r="G66" s="2239"/>
      <c r="H66" s="1459"/>
      <c r="I66" s="1458"/>
      <c r="J66" s="3350"/>
      <c r="K66" s="2278" t="s">
        <v>915</v>
      </c>
      <c r="L66" s="2278">
        <f ca="1">M49*0.5%</f>
        <v>2.1750000000000003</v>
      </c>
      <c r="M66" s="1855">
        <f ca="1">IF(L66&gt;0.5,0.5,ROUND(L66,0))</f>
        <v>0.5</v>
      </c>
      <c r="N66" s="2019" t="s">
        <v>916</v>
      </c>
      <c r="Z66" s="2113"/>
      <c r="AI66" s="2114"/>
    </row>
    <row r="67" spans="1:35" ht="14.25" customHeight="1">
      <c r="A67" s="2241" t="s">
        <v>917</v>
      </c>
      <c r="B67" s="2282" t="s">
        <v>918</v>
      </c>
      <c r="C67" s="2285">
        <f ca="1">C63-C66</f>
        <v>414.28570000000002</v>
      </c>
      <c r="D67" s="509" t="s">
        <v>124</v>
      </c>
      <c r="E67" s="2246"/>
      <c r="F67" s="2239"/>
      <c r="G67" s="2239"/>
      <c r="H67" s="1459"/>
      <c r="I67" s="1458"/>
      <c r="J67" s="3350"/>
      <c r="K67" s="2278" t="s">
        <v>919</v>
      </c>
      <c r="L67" s="2278">
        <f ca="1">IF(M49&gt;=10000,(8.25+(M49-10000)*0.01%),IF(AND(M49&gt;=8000,M49&lt;10000),(7.85+(M49-8000)*0.02%),IF(AND(M49&gt;=5000,M49&lt;8000),(6.65+(M49-5000)*0.04%),IF(AND(M49&gt;=2000,M49&lt;5000),(4.25+(PM49-2000)*0.08%),IF(AND(M49&gt;=1000,M49&lt;2000),(2.75+(M49-1000)*0.15%),IF(AND(M49&gt;=100,M49&lt;1000),(0.5+(M49-100)*0.25%),IF(AND(M49&gt;0,M49&lt;100),M49*0.5%)))))))</f>
        <v>1.3374999999999999</v>
      </c>
      <c r="M67" s="1855">
        <f ca="1">ROUND(L67*0.9,1)</f>
        <v>1.2</v>
      </c>
      <c r="N67" s="2279"/>
      <c r="Z67" s="2113"/>
      <c r="AI67" s="2114"/>
    </row>
    <row r="68" spans="1:35" ht="14.25" customHeight="1" thickBot="1">
      <c r="A68" s="2286" t="s">
        <v>920</v>
      </c>
      <c r="B68" s="2287" t="s">
        <v>921</v>
      </c>
      <c r="C68" s="2288">
        <f ca="1">IF(C67&lt;=0,0,ROUND(C67*D68,4))</f>
        <v>22.785699999999999</v>
      </c>
      <c r="D68" s="771">
        <f>'数据-取费表'!B41</f>
        <v>5.5000000000000007E-2</v>
      </c>
      <c r="E68" s="2289"/>
      <c r="F68" s="2239"/>
      <c r="G68" s="2239"/>
      <c r="H68" s="1459"/>
      <c r="I68" s="1458"/>
      <c r="J68" s="3350"/>
      <c r="K68" s="2278" t="s">
        <v>922</v>
      </c>
      <c r="L68" s="2278">
        <f ca="1">IF(M49&gt;10000,M49*0.5%,IF(AND(M49&gt;5000,M49&lt;=10000),M49*1%,IF(AND(M49&gt;1000,M49&lt;=5000),M49*2%,IF(AND(M49&gt;200,M49&lt;=1000),M49*3%,M49*5%))))</f>
        <v>13.049999999999999</v>
      </c>
      <c r="M68" s="1855">
        <f ca="1">ROUND(L68,1)</f>
        <v>13.1</v>
      </c>
      <c r="N68" s="2279"/>
      <c r="Z68" s="2113"/>
      <c r="AI68" s="2114"/>
    </row>
    <row r="69" spans="1:35" ht="16.5" customHeight="1">
      <c r="A69" s="2290"/>
      <c r="B69" s="2291"/>
      <c r="C69" s="2292"/>
      <c r="D69" s="693"/>
      <c r="E69" s="2293"/>
      <c r="F69" s="2238"/>
      <c r="G69" s="2238"/>
      <c r="H69" s="2198"/>
      <c r="I69" s="1998"/>
      <c r="J69" s="3350"/>
      <c r="K69" s="2278" t="s">
        <v>923</v>
      </c>
      <c r="L69" s="2278"/>
      <c r="M69" s="1855">
        <f ca="1">ROUND(SUM(M63:M68),0)</f>
        <v>36</v>
      </c>
      <c r="N69" s="2358">
        <f ca="1">M69/M49</f>
        <v>8.2758620689655171E-2</v>
      </c>
      <c r="Z69" s="2113"/>
      <c r="AI69" s="2114"/>
    </row>
    <row r="70" spans="1:35" s="886" customFormat="1" ht="14.4" thickBot="1">
      <c r="A70" s="3322" t="s">
        <v>924</v>
      </c>
      <c r="B70" s="3323"/>
      <c r="C70" s="3323"/>
      <c r="D70" s="3323"/>
      <c r="E70" s="3323"/>
      <c r="F70" s="3323"/>
      <c r="G70" s="3323"/>
      <c r="H70" s="3323"/>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24" t="s">
        <v>899</v>
      </c>
      <c r="B71" s="3325"/>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414.28570000000002</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2.0714000000000001</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26" t="s">
        <v>935</v>
      </c>
      <c r="F76" s="3327"/>
      <c r="G76" s="3327"/>
      <c r="H76" s="3328"/>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2.0714000000000001</v>
      </c>
      <c r="D78" s="2310">
        <f>'数据-取费表'!B43</f>
        <v>5.000000000000001E-3</v>
      </c>
      <c r="E78" s="3304" t="s">
        <v>941</v>
      </c>
      <c r="F78" s="3305"/>
      <c r="G78" s="3305"/>
      <c r="H78" s="3306"/>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412.21430000000004</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199.00275176209328</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944</v>
      </c>
      <c r="B81" s="2287" t="s">
        <v>945</v>
      </c>
      <c r="C81" s="2315">
        <f ca="1">ROUND(IF(C79&lt;=0,0,IF(C80&gt;=200%,C79*60%-C73*35%,IF(C80&gt;=100%,C79*50%-C73*15%,IF(C80&gt;=50%,C79*40%-C73*5%,IF(C80&lt;50%,C79*30%,0))))),4)</f>
        <v>246.6036</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22" t="s">
        <v>946</v>
      </c>
      <c r="B83" s="3323"/>
      <c r="C83" s="3323"/>
      <c r="D83" s="3323"/>
      <c r="E83" s="3323"/>
      <c r="F83" s="3323"/>
      <c r="G83" s="3323"/>
      <c r="H83" s="3323"/>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24" t="s">
        <v>899</v>
      </c>
      <c r="B84" s="3325"/>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414</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2</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36" t="s">
        <v>954</v>
      </c>
      <c r="H90" s="3337"/>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04" t="s">
        <v>958</v>
      </c>
      <c r="F91" s="3305"/>
      <c r="G91" s="3305"/>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04" t="s">
        <v>961</v>
      </c>
      <c r="F92" s="3305"/>
      <c r="G92" s="3305"/>
      <c r="H92" s="3306"/>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2</v>
      </c>
      <c r="D93" s="2310">
        <f>'数据-取费表'!B43</f>
        <v>5.000000000000001E-3</v>
      </c>
      <c r="E93" s="3304" t="s">
        <v>941</v>
      </c>
      <c r="F93" s="3305"/>
      <c r="G93" s="3305"/>
      <c r="H93" s="3306"/>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07" t="s">
        <v>966</v>
      </c>
      <c r="F94" s="3308"/>
      <c r="G94" s="3308"/>
      <c r="H94" s="3309"/>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412</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206</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944</v>
      </c>
      <c r="B97" s="2287" t="s">
        <v>945</v>
      </c>
      <c r="C97" s="2331">
        <f ca="1">ROUND(IF(C95&lt;=0,0,IF(C96&gt;=200%,C95*60%-C86*35%,IF(C96&gt;=100%,C95*50%-C86*15%,IF(C96&gt;=50%,C95*40%-C86*5%,IF(C96&lt;50%,C95*30%,0))))),0)</f>
        <v>247</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80" t="s">
        <v>968</v>
      </c>
      <c r="B100" s="3281"/>
      <c r="C100" s="3281"/>
      <c r="D100" s="3310"/>
      <c r="E100" s="3281" t="s">
        <v>969</v>
      </c>
      <c r="F100" s="3281"/>
      <c r="G100" s="3281"/>
      <c r="H100" s="3310"/>
      <c r="I100" s="1458"/>
    </row>
    <row r="101" spans="1:35" ht="18.75" customHeight="1">
      <c r="A101" s="3311" t="s">
        <v>970</v>
      </c>
      <c r="B101" s="3312"/>
      <c r="C101" s="2334" t="str">
        <f>C4</f>
        <v>比较法-商业3</v>
      </c>
      <c r="D101" s="2335" t="str">
        <f>D4</f>
        <v>收益法3</v>
      </c>
      <c r="E101" s="3335" t="s">
        <v>971</v>
      </c>
      <c r="F101" s="3330"/>
      <c r="G101" s="2337" t="s">
        <v>972</v>
      </c>
      <c r="H101" s="2338">
        <f ca="1">H118</f>
        <v>435</v>
      </c>
      <c r="I101" s="1458"/>
    </row>
    <row r="102" spans="1:35" ht="18.75" customHeight="1">
      <c r="A102" s="3295" t="s">
        <v>973</v>
      </c>
      <c r="B102" s="2339" t="s">
        <v>972</v>
      </c>
      <c r="C102" s="2334">
        <f ca="1">IF(D32="楼面单价",ROUND(C19,0),C19)</f>
        <v>478</v>
      </c>
      <c r="D102" s="2335">
        <f ca="1">IF(D32="楼面单价",ROUND(D19,0),D19)</f>
        <v>335</v>
      </c>
      <c r="E102" s="3335"/>
      <c r="F102" s="3330"/>
      <c r="G102" s="2337" t="s">
        <v>99</v>
      </c>
      <c r="H102" s="2227">
        <f ca="1">I118</f>
        <v>27989</v>
      </c>
      <c r="I102" s="1458"/>
    </row>
    <row r="103" spans="1:35" ht="42.75" customHeight="1">
      <c r="A103" s="3295"/>
      <c r="B103" s="2339" t="s">
        <v>99</v>
      </c>
      <c r="C103" s="2340">
        <f ca="1">C20</f>
        <v>30735</v>
      </c>
      <c r="D103" s="2341">
        <f ca="1">D20</f>
        <v>21581</v>
      </c>
      <c r="E103" s="3313" t="s">
        <v>974</v>
      </c>
      <c r="F103" s="3314"/>
      <c r="G103" s="2342" t="s">
        <v>102</v>
      </c>
      <c r="H103" s="2338">
        <f>IF(D36="正常操作",H104+H105+H106,H105+H106)</f>
        <v>0</v>
      </c>
      <c r="I103" s="1458"/>
    </row>
    <row r="104" spans="1:35" ht="18.75" customHeight="1">
      <c r="A104" s="3295" t="s">
        <v>975</v>
      </c>
      <c r="B104" s="2343" t="s">
        <v>972</v>
      </c>
      <c r="C104" s="2344">
        <f ca="1">H118</f>
        <v>435</v>
      </c>
      <c r="D104" s="2345"/>
      <c r="E104" s="2183" t="s">
        <v>976</v>
      </c>
      <c r="F104" s="2346"/>
      <c r="G104" s="2342" t="s">
        <v>102</v>
      </c>
      <c r="H104" s="2347">
        <f>IF(D36="同一抵押权人同一抵押物续贷",C36&amp;"（续贷，未扣减，详见特别提示）",C36)</f>
        <v>0</v>
      </c>
      <c r="I104" s="1458"/>
    </row>
    <row r="105" spans="1:35" ht="18.75" customHeight="1" thickBot="1">
      <c r="A105" s="3296"/>
      <c r="B105" s="2348" t="s">
        <v>99</v>
      </c>
      <c r="C105" s="2349">
        <f ca="1">I118</f>
        <v>27989</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29" t="str">
        <f>IF(项目基本情况!E8="已注销","——","3.房地产抵押价值")</f>
        <v>3.房地产抵押价值</v>
      </c>
      <c r="F107" s="3330"/>
      <c r="G107" s="2337" t="s">
        <v>972</v>
      </c>
      <c r="H107" s="2338">
        <f ca="1">IF(E107="——","——",H101-H103)</f>
        <v>435</v>
      </c>
      <c r="I107" s="1458"/>
    </row>
    <row r="108" spans="1:35" ht="18.75" customHeight="1">
      <c r="A108" s="1458"/>
      <c r="B108" s="1458"/>
      <c r="C108" s="1458"/>
      <c r="D108" s="1458"/>
      <c r="E108" s="3329"/>
      <c r="F108" s="3330"/>
      <c r="G108" s="2337" t="s">
        <v>99</v>
      </c>
      <c r="H108" s="2227">
        <f ca="1">IF(H107=H101,H102,ROUND(H107*10000/'数据-汇总表'!E3,0))</f>
        <v>27989</v>
      </c>
      <c r="I108" s="1458"/>
    </row>
    <row r="109" spans="1:35" ht="18.75" customHeight="1">
      <c r="A109" s="1458"/>
      <c r="B109" s="1458"/>
      <c r="C109" s="1458"/>
      <c r="D109" s="1458"/>
      <c r="E109" s="3329" t="str">
        <f>IF(项目基本情况!E8="已注销及未注销","4.抵押担保权已注销时的房地产抵押价值",IF(项目基本情况!E8="已注销","3.抵押担保权已注销时的房地产抵押价值","——"))</f>
        <v>——</v>
      </c>
      <c r="F109" s="3330"/>
      <c r="G109" s="2337" t="s">
        <v>972</v>
      </c>
      <c r="H109" s="2353" t="str">
        <f>IF(E109="——","——",H101-H105-H106)</f>
        <v>——</v>
      </c>
      <c r="I109" s="1458"/>
    </row>
    <row r="110" spans="1:35" ht="18.75" customHeight="1">
      <c r="A110" s="1458"/>
      <c r="B110" s="1458"/>
      <c r="C110" s="1458"/>
      <c r="D110" s="1458"/>
      <c r="E110" s="3329"/>
      <c r="F110" s="3330"/>
      <c r="G110" s="2337" t="s">
        <v>99</v>
      </c>
      <c r="H110" s="2227" t="str">
        <f>IF(H109="——","——",ROUND(H109*10000/'数据-汇总表'!E3,0))</f>
        <v>——</v>
      </c>
      <c r="I110" s="1458"/>
    </row>
    <row r="111" spans="1:35" ht="18.75" customHeight="1">
      <c r="A111" s="1458"/>
      <c r="B111" s="1458"/>
      <c r="C111" s="1458"/>
      <c r="D111" s="1458"/>
      <c r="E111" s="3331" t="str">
        <f>IF(项目基本情况!E9="抵押净值",IF(OR(项目基本情况!E8="已注销",项目基本情况!E8="房地产抵押价值"),"4.抵押净值","5.抵押净值"),"——")</f>
        <v>——</v>
      </c>
      <c r="F111" s="3332"/>
      <c r="G111" s="2337" t="s">
        <v>972</v>
      </c>
      <c r="H111" s="2338" t="str">
        <f>IF(E111="——","——",N59)</f>
        <v>——</v>
      </c>
      <c r="I111" s="1458"/>
    </row>
    <row r="112" spans="1:35" ht="18.75" customHeight="1" thickBot="1">
      <c r="A112" s="1458"/>
      <c r="B112" s="1458"/>
      <c r="C112" s="1458"/>
      <c r="D112" s="1458"/>
      <c r="E112" s="3333"/>
      <c r="F112" s="3334"/>
      <c r="G112" s="2354" t="s">
        <v>99</v>
      </c>
      <c r="H112" s="2355" t="str">
        <f>IF(E111="——","——",N61)</f>
        <v>——</v>
      </c>
      <c r="I112" s="1458"/>
    </row>
    <row r="113" spans="1:27" ht="18.75" customHeight="1">
      <c r="A113" s="1458"/>
      <c r="B113" s="1458"/>
      <c r="C113" s="1458"/>
      <c r="D113" s="1458"/>
      <c r="E113" s="3315" t="s">
        <v>978</v>
      </c>
      <c r="F113" s="3315"/>
      <c r="G113" s="3315"/>
      <c r="H113" s="3315"/>
      <c r="I113" s="1458"/>
    </row>
    <row r="114" spans="1:27" ht="3.75" customHeight="1">
      <c r="A114" s="1998"/>
      <c r="B114" s="1998"/>
      <c r="C114" s="1998"/>
      <c r="D114" s="1998"/>
      <c r="E114" s="2237"/>
      <c r="F114" s="2237"/>
      <c r="G114" s="2237"/>
      <c r="H114" s="2237"/>
      <c r="I114" s="1998"/>
    </row>
    <row r="115" spans="1:27" ht="18.75" customHeight="1">
      <c r="A115" s="3316" t="s">
        <v>980</v>
      </c>
      <c r="B115" s="3317"/>
      <c r="C115" s="3317"/>
      <c r="D115" s="3317"/>
      <c r="E115" s="3317"/>
      <c r="F115" s="3317"/>
      <c r="G115" s="3317"/>
      <c r="H115" s="3317"/>
      <c r="I115" s="3318"/>
    </row>
    <row r="116" spans="1:27" ht="27" customHeight="1">
      <c r="A116" s="3289" t="s">
        <v>981</v>
      </c>
      <c r="B116" s="3298" t="s">
        <v>982</v>
      </c>
      <c r="C116" s="3298" t="s">
        <v>983</v>
      </c>
      <c r="D116" s="3319" t="s">
        <v>984</v>
      </c>
      <c r="E116" s="3320"/>
      <c r="F116" s="3321" t="s">
        <v>985</v>
      </c>
      <c r="G116" s="3321"/>
      <c r="H116" s="3289" t="s">
        <v>986</v>
      </c>
      <c r="I116" s="3289"/>
    </row>
    <row r="117" spans="1:27" ht="18.75" customHeight="1">
      <c r="A117" s="3289"/>
      <c r="B117" s="3299"/>
      <c r="C117" s="3299"/>
      <c r="D117" s="868" t="s">
        <v>987</v>
      </c>
      <c r="E117" s="868" t="s">
        <v>810</v>
      </c>
      <c r="F117" s="868" t="s">
        <v>987</v>
      </c>
      <c r="G117" s="868" t="s">
        <v>810</v>
      </c>
      <c r="H117" s="868" t="s">
        <v>987</v>
      </c>
      <c r="I117" s="868" t="s">
        <v>810</v>
      </c>
    </row>
    <row r="118" spans="1:27" ht="24.75" customHeight="1">
      <c r="A118" s="2356" t="str">
        <f>项目基本情况!S2</f>
        <v>北京市房地产</v>
      </c>
      <c r="B118" s="868">
        <f>M18</f>
        <v>155.37</v>
      </c>
      <c r="C118" s="868">
        <f>M19</f>
        <v>0</v>
      </c>
      <c r="D118" s="868">
        <f ca="1">ROUND(IF(D32="总价",C34,E118*B118/10000),0)</f>
        <v>314</v>
      </c>
      <c r="E118" s="868">
        <f ca="1">ROUND(IF(C33="自定义",IF(D32="楼面单价",C34,D118*10000/B118),I118-G118),0)</f>
        <v>20236</v>
      </c>
      <c r="F118" s="868">
        <f ca="1">ROUND(IF(D32="总价",C35,G118*B118/10000),0)</f>
        <v>120</v>
      </c>
      <c r="G118" s="868">
        <f ca="1">ROUND(IF(D32="楼面单价",C35,F118*10000/B118),0)</f>
        <v>7753</v>
      </c>
      <c r="H118" s="2357">
        <f ca="1">ROUND(IF(D32="总价",C32,I118*B118/10000),0)</f>
        <v>435</v>
      </c>
      <c r="I118" s="868">
        <f ca="1">ROUND(IF(D32="楼面单价",C32,H118*10000/B118),0)</f>
        <v>27989</v>
      </c>
    </row>
    <row r="119" spans="1:27" ht="18.75" customHeight="1">
      <c r="A119" s="3289" t="s">
        <v>988</v>
      </c>
      <c r="B119" s="3289"/>
      <c r="C119" s="3289"/>
      <c r="D119" s="3301" t="str">
        <f ca="1">NUMBERSTRING(INT(D118*10000),2)&amp;"元整"</f>
        <v>叁佰壹拾肆万元整</v>
      </c>
      <c r="E119" s="3303"/>
      <c r="F119" s="3301" t="str">
        <f ca="1">NUMBERSTRING(INT(F118*10000),2)&amp;"元整"</f>
        <v>壹佰贰拾万元整</v>
      </c>
      <c r="G119" s="3303"/>
      <c r="H119" s="3301" t="str">
        <f ca="1">NUMBERSTRING(INT(H118*10000),2)&amp;"元整"</f>
        <v>肆佰叁拾伍万元整</v>
      </c>
      <c r="I119" s="3303"/>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01" t="s">
        <v>988</v>
      </c>
      <c r="B121" s="3302"/>
      <c r="C121" s="3303"/>
      <c r="D121" s="3301" t="str">
        <f>IF(D120=0,"零元整",NUMBERSTRING(INT(D120*10000),2)&amp;"元整")</f>
        <v>零元整</v>
      </c>
      <c r="E121" s="3302"/>
      <c r="F121" s="3302"/>
      <c r="G121" s="3302"/>
      <c r="H121" s="3302"/>
      <c r="I121" s="3303"/>
      <c r="AA121" s="1417"/>
    </row>
    <row r="122" spans="1:27" ht="18.75" customHeight="1">
      <c r="A122" s="3332" t="str">
        <f>IF(项目基本情况!B9="房地产市场价值","",MID(E107,3,LEN(E107)-2))</f>
        <v>房地产抵押价值</v>
      </c>
      <c r="B122" s="3332"/>
      <c r="C122" s="3332"/>
      <c r="D122" s="3338">
        <f ca="1">H107</f>
        <v>435</v>
      </c>
      <c r="E122" s="3339"/>
      <c r="F122" s="3339"/>
      <c r="G122" s="3339"/>
      <c r="H122" s="3339"/>
      <c r="I122" s="3340"/>
      <c r="AA122" s="1417"/>
    </row>
    <row r="123" spans="1:27" ht="18.75" customHeight="1">
      <c r="A123" s="3289" t="s">
        <v>988</v>
      </c>
      <c r="B123" s="3289"/>
      <c r="C123" s="3289"/>
      <c r="D123" s="3301" t="str">
        <f ca="1">NUMBERSTRING(INT(D122*10000),2)&amp;"元整"</f>
        <v>肆佰叁拾伍万元整</v>
      </c>
      <c r="E123" s="3302"/>
      <c r="F123" s="3302"/>
      <c r="G123" s="3302"/>
      <c r="H123" s="3302"/>
      <c r="I123" s="3303"/>
      <c r="AA123" s="1417"/>
    </row>
    <row r="124" spans="1:27" ht="18.75" customHeight="1">
      <c r="A124" s="3332" t="str">
        <f>IF(项目基本情况!B9="房地产市场价值","",MID(E109,3,LEN(E109)-2))</f>
        <v/>
      </c>
      <c r="B124" s="3332"/>
      <c r="C124" s="3332"/>
      <c r="D124" s="3338" t="str">
        <f>H109</f>
        <v>——</v>
      </c>
      <c r="E124" s="3339"/>
      <c r="F124" s="3339"/>
      <c r="G124" s="3339"/>
      <c r="H124" s="3339"/>
      <c r="I124" s="3340"/>
      <c r="AA124" s="1417"/>
    </row>
    <row r="125" spans="1:27" ht="18.75" customHeight="1">
      <c r="A125" s="3289" t="s">
        <v>988</v>
      </c>
      <c r="B125" s="3289"/>
      <c r="C125" s="3289"/>
      <c r="D125" s="3301" t="e">
        <f>NUMBERSTRING(INT(D124*10000),2)&amp;"元整"</f>
        <v>#VALUE!</v>
      </c>
      <c r="E125" s="3302"/>
      <c r="F125" s="3302"/>
      <c r="G125" s="3302"/>
      <c r="H125" s="3302"/>
      <c r="I125" s="3303"/>
      <c r="AA125" s="1417"/>
    </row>
    <row r="126" spans="1:27" ht="18.75" customHeight="1">
      <c r="A126" s="3332" t="str">
        <f>IF(项目基本情况!B9="房地产市场价值","",MID(E111,3,LEN(E111)-2))</f>
        <v/>
      </c>
      <c r="B126" s="3332"/>
      <c r="C126" s="3332"/>
      <c r="D126" s="3338" t="str">
        <f>H111</f>
        <v>——</v>
      </c>
      <c r="E126" s="3339"/>
      <c r="F126" s="3339"/>
      <c r="G126" s="3339"/>
      <c r="H126" s="3339"/>
      <c r="I126" s="3340"/>
      <c r="AA126" s="1417"/>
    </row>
    <row r="127" spans="1:27" ht="18.75" customHeight="1">
      <c r="A127" s="3289" t="s">
        <v>988</v>
      </c>
      <c r="B127" s="3289"/>
      <c r="C127" s="3289"/>
      <c r="D127" s="3301" t="e">
        <f>NUMBERSTRING(INT(D126*10000),2)&amp;"元整"</f>
        <v>#VALUE!</v>
      </c>
      <c r="E127" s="3302"/>
      <c r="F127" s="3302"/>
      <c r="G127" s="3302"/>
      <c r="H127" s="3302"/>
      <c r="I127" s="3303"/>
      <c r="AA127" s="1417"/>
    </row>
    <row r="128" spans="1:27" ht="21.75" customHeight="1">
      <c r="A128" s="3288" t="s">
        <v>113</v>
      </c>
      <c r="B128" s="3288"/>
      <c r="C128" s="3288"/>
      <c r="D128" s="3288"/>
      <c r="E128" s="3288"/>
      <c r="F128" s="3288"/>
      <c r="G128" s="3288"/>
      <c r="H128" s="3288"/>
      <c r="I128" s="3288"/>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D7">
    <cfRule type="cellIs" dxfId="23" priority="6" stopIfTrue="1" operator="equal">
      <formula>25</formula>
    </cfRule>
  </conditionalFormatting>
  <conditionalFormatting sqref="C8:D13">
    <cfRule type="cellIs" dxfId="22" priority="5" stopIfTrue="1" operator="equal">
      <formula>15</formula>
    </cfRule>
  </conditionalFormatting>
  <conditionalFormatting sqref="C14:D16">
    <cfRule type="cellIs" dxfId="21" priority="4" stopIfTrue="1" operator="equal">
      <formula>30</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1" xr:uid="{00000000-0002-0000-2C00-000000000000}">
      <formula1>项目类型</formula1>
    </dataValidation>
    <dataValidation type="list" showInputMessage="1" showErrorMessage="1" sqref="G1" xr:uid="{00000000-0002-0000-2C00-000001000000}">
      <formula1>"现房,在建,土地,-"</formula1>
    </dataValidation>
    <dataValidation type="list" allowBlank="1" showInputMessage="1" showErrorMessage="1" sqref="I1" xr:uid="{00000000-0002-0000-2C00-000002000000}">
      <formula1>"项目局部,项目全部,——"</formula1>
    </dataValidation>
    <dataValidation type="list" allowBlank="1" showInputMessage="1" showErrorMessage="1" sqref="C4:D4 D33" xr:uid="{00000000-0002-0000-2C00-000003000000}">
      <formula1>估价方法</formula1>
    </dataValidation>
    <dataValidation type="list" allowBlank="1" showInputMessage="1" showErrorMessage="1" sqref="D32" xr:uid="{00000000-0002-0000-2C00-000004000000}">
      <formula1>"总价,楼面单价"</formula1>
    </dataValidation>
    <dataValidation type="list" allowBlank="1" showInputMessage="1" showErrorMessage="1" sqref="C33" xr:uid="{00000000-0002-0000-2C00-000005000000}">
      <formula1>"成本比率,收益比率,自定义"</formula1>
    </dataValidation>
    <dataValidation type="list" allowBlank="1" showInputMessage="1" showErrorMessage="1" sqref="D36" xr:uid="{00000000-0002-0000-2C00-000006000000}">
      <formula1>"同一抵押权人同一抵押物续贷,注销后放款,正常操作"</formula1>
    </dataValidation>
    <dataValidation type="list" allowBlank="1" showInputMessage="1" showErrorMessage="1" sqref="F45" xr:uid="{00000000-0002-0000-2C00-000007000000}">
      <formula1>"100%,70%,56%"</formula1>
    </dataValidation>
    <dataValidation type="list" allowBlank="1" showInputMessage="1" showErrorMessage="1" sqref="H48" xr:uid="{00000000-0002-0000-2C00-000008000000}">
      <formula1>"情况1,情况2,情况3,情况4"</formula1>
    </dataValidation>
    <dataValidation type="list" allowBlank="1" showInputMessage="1" showErrorMessage="1" sqref="H58" xr:uid="{00000000-0002-0000-2C00-000009000000}">
      <formula1>"转让取得,自行开发建设"</formula1>
    </dataValidation>
    <dataValidation type="list" allowBlank="1" showInputMessage="1" showErrorMessage="1" sqref="H59" xr:uid="{00000000-0002-0000-2C00-00000A000000}">
      <formula1>"非个人房产,个人住宅（满五唯一有凭证）,个人其他（有凭证）,个人其他（无凭证）"</formula1>
    </dataValidation>
    <dataValidation type="list" allowBlank="1" showInputMessage="1" showErrorMessage="1" sqref="F75" xr:uid="{00000000-0002-0000-2C00-00000B000000}">
      <formula1>"买卖合同,购房发票"</formula1>
    </dataValidation>
    <dataValidation type="list" allowBlank="1" showInputMessage="1" showErrorMessage="1" sqref="G77" xr:uid="{00000000-0002-0000-2C00-00000C000000}">
      <formula1>"个人住宅,2016年5月1日前购买,2016年5月1日后购买"</formula1>
    </dataValidation>
    <dataValidation type="list" allowBlank="1" showInputMessage="1" showErrorMessage="1" sqref="H88" xr:uid="{00000000-0002-0000-2C00-00000D000000}">
      <formula1>"仅含出让金,出让金+开发费"</formula1>
    </dataValidation>
    <dataValidation type="list" allowBlank="1" showInputMessage="1" showErrorMessage="1" sqref="H91" xr:uid="{00000000-0002-0000-2C00-00000E000000}">
      <formula1>"企业提供（在右侧录入）,——"</formula1>
    </dataValidation>
    <dataValidation type="list" allowBlank="1" showInputMessage="1" showErrorMessage="1" sqref="D92" xr:uid="{00000000-0002-0000-2C00-00000F000000}">
      <formula1>"0,5%,10%"</formula1>
    </dataValidation>
    <dataValidation type="list" allowBlank="1" showInputMessage="1" showErrorMessage="1" sqref="E103" xr:uid="{00000000-0002-0000-2C00-000010000000}">
      <formula1>"2.估价师知悉的法定优先受偿款,2.估价师知悉的除抵押担保权以外的法定优先受偿款"</formula1>
    </dataValidation>
    <dataValidation type="list" allowBlank="1" showInputMessage="1" showErrorMessage="1" sqref="D116:E116" xr:uid="{00000000-0002-0000-2C00-000011000000}">
      <formula1>"出让国有建设用地使用权价值,划拨国有建设用地使用权价值"</formula1>
    </dataValidation>
    <dataValidation type="list" allowBlank="1" showInputMessage="1" showErrorMessage="1" sqref="F116:G116" xr:uid="{00000000-0002-0000-2C00-000012000000}">
      <formula1>"建筑物价值,在建建筑物价值,建筑物/在建建筑物价值"</formula1>
    </dataValidation>
    <dataValidation type="list" allowBlank="1" showInputMessage="1" showErrorMessage="1" sqref="C129" xr:uid="{00000000-0002-0000-2C00-000013000000}">
      <formula1>"无,有"</formula1>
    </dataValidation>
    <dataValidation type="list" allowBlank="1" showInputMessage="1" showErrorMessage="1" sqref="B116:B117" xr:uid="{00000000-0002-0000-2C00-000014000000}">
      <formula1>"建筑面积,规划建筑面积,（规划）建筑面积"</formula1>
    </dataValidation>
    <dataValidation type="list" allowBlank="1" showInputMessage="1" showErrorMessage="1" sqref="C116:C117" xr:uid="{00000000-0002-0000-2C00-000015000000}">
      <formula1>"土地面积,分摊土地面积,（分摊）土地面积"</formula1>
    </dataValidation>
    <dataValidation type="list" allowBlank="1" showInputMessage="1" showErrorMessage="1" sqref="H55:H56" xr:uid="{00000000-0002-0000-2C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rgb="FF92D050"/>
    <pageSetUpPr fitToPage="1"/>
  </sheetPr>
  <dimension ref="A1:AC131"/>
  <sheetViews>
    <sheetView view="pageBreakPreview" topLeftCell="A25" zoomScaleNormal="70" zoomScaleSheetLayoutView="100" workbookViewId="0">
      <selection activeCell="D133" sqref="D133"/>
    </sheetView>
  </sheetViews>
  <sheetFormatPr defaultColWidth="9" defaultRowHeight="13.8"/>
  <cols>
    <col min="1" max="1" width="10.44140625" style="905" customWidth="1"/>
    <col min="2" max="3" width="18.109375" style="905" customWidth="1"/>
    <col min="4" max="4" width="12.21875" style="905" customWidth="1"/>
    <col min="5" max="5" width="15.88671875" style="905" customWidth="1"/>
    <col min="6" max="6" width="12.21875" style="905" customWidth="1"/>
    <col min="7" max="7" width="15.88671875" style="905" customWidth="1"/>
    <col min="8" max="8" width="12.21875" style="905" customWidth="1"/>
    <col min="9" max="9" width="16.2187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1339</v>
      </c>
      <c r="B1" s="1528" t="s">
        <v>1604</v>
      </c>
      <c r="C1" s="1304" t="s">
        <v>1341</v>
      </c>
      <c r="D1" s="1263">
        <v>112</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477.52969999999999</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30735</v>
      </c>
      <c r="C3" s="1273" t="s">
        <v>1345</v>
      </c>
      <c r="D3" s="1274">
        <f>IF(D1="",'数据-汇总表'!E3,SUMIF('数据-汇总表'!$C19:$C33,D1,'数据-汇总表'!$E19:$E33))</f>
        <v>155.37</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432" t="s">
        <v>1347</v>
      </c>
      <c r="D4" s="3433"/>
      <c r="E4" s="3434" t="s">
        <v>1348</v>
      </c>
      <c r="F4" s="3435"/>
      <c r="G4" s="3432" t="s">
        <v>1349</v>
      </c>
      <c r="H4" s="3433"/>
      <c r="I4" s="3432" t="s">
        <v>1350</v>
      </c>
      <c r="J4" s="3433"/>
      <c r="K4" s="1064" t="s">
        <v>1351</v>
      </c>
      <c r="L4" s="1065"/>
      <c r="M4" s="1015"/>
      <c r="N4" s="1015"/>
      <c r="O4" s="1015"/>
      <c r="P4" s="3439" t="s">
        <v>1352</v>
      </c>
      <c r="Q4" s="3440"/>
      <c r="R4" s="3443" t="s">
        <v>1348</v>
      </c>
      <c r="S4" s="3444"/>
      <c r="T4" s="3443" t="s">
        <v>1349</v>
      </c>
      <c r="U4" s="3444"/>
      <c r="V4" s="3409" t="s">
        <v>1350</v>
      </c>
      <c r="W4" s="3409"/>
      <c r="X4" s="1113"/>
      <c r="Y4" s="3443" t="s">
        <v>1352</v>
      </c>
      <c r="Z4" s="3444"/>
      <c r="AA4" s="3438" t="s">
        <v>1348</v>
      </c>
      <c r="AB4" s="3409" t="s">
        <v>1349</v>
      </c>
      <c r="AC4" s="3438" t="s">
        <v>1350</v>
      </c>
    </row>
    <row r="5" spans="1:29" ht="13.95" customHeight="1">
      <c r="A5" s="922"/>
      <c r="B5" s="923"/>
      <c r="C5" s="3448" t="s">
        <v>1575</v>
      </c>
      <c r="D5" s="3437"/>
      <c r="E5" s="3449" t="s">
        <v>2847</v>
      </c>
      <c r="F5" s="3450"/>
      <c r="G5" s="3436" t="s">
        <v>2848</v>
      </c>
      <c r="H5" s="3437"/>
      <c r="I5" s="3436" t="s">
        <v>2849</v>
      </c>
      <c r="J5" s="3437"/>
      <c r="K5" s="1064"/>
      <c r="L5" s="1065"/>
      <c r="M5" s="1015"/>
      <c r="N5" s="1015"/>
      <c r="O5" s="1015"/>
      <c r="P5" s="3441"/>
      <c r="Q5" s="3399"/>
      <c r="R5" s="3404"/>
      <c r="S5" s="3405"/>
      <c r="T5" s="3404"/>
      <c r="U5" s="3405"/>
      <c r="V5" s="3409"/>
      <c r="W5" s="3409"/>
      <c r="X5" s="1113"/>
      <c r="Y5" s="3404"/>
      <c r="Z5" s="3405"/>
      <c r="AA5" s="3391"/>
      <c r="AB5" s="3409"/>
      <c r="AC5" s="3391"/>
    </row>
    <row r="6" spans="1:29" ht="15" thickBot="1">
      <c r="A6" s="924"/>
      <c r="B6" s="925"/>
      <c r="C6" s="3427" t="s">
        <v>1354</v>
      </c>
      <c r="D6" s="3428"/>
      <c r="E6" s="3429" t="s">
        <v>2797</v>
      </c>
      <c r="F6" s="3430"/>
      <c r="G6" s="3427" t="s">
        <v>2797</v>
      </c>
      <c r="H6" s="3428"/>
      <c r="I6" s="3427" t="s">
        <v>2797</v>
      </c>
      <c r="J6" s="3428"/>
      <c r="K6" s="1064" t="s">
        <v>1355</v>
      </c>
      <c r="L6" s="1065"/>
      <c r="M6" s="1015"/>
      <c r="N6" s="1015"/>
      <c r="O6" s="1015"/>
      <c r="P6" s="3442"/>
      <c r="Q6" s="3401"/>
      <c r="R6" s="3404"/>
      <c r="S6" s="3405"/>
      <c r="T6" s="3406"/>
      <c r="U6" s="3407"/>
      <c r="V6" s="3409"/>
      <c r="W6" s="3409"/>
      <c r="X6" s="1113"/>
      <c r="Y6" s="3406"/>
      <c r="Z6" s="3407"/>
      <c r="AA6" s="3392"/>
      <c r="AB6" s="3409"/>
      <c r="AC6" s="3392"/>
    </row>
    <row r="7" spans="1:29" s="899" customFormat="1" ht="15" thickBot="1">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5" t="s">
        <v>1357</v>
      </c>
      <c r="Q7" s="3431"/>
      <c r="R7" s="1114" t="s">
        <v>1358</v>
      </c>
      <c r="S7" s="1115">
        <f t="shared" ref="S7:S15" si="0">F7</f>
        <v>100</v>
      </c>
      <c r="T7" s="1114" t="s">
        <v>1358</v>
      </c>
      <c r="U7" s="1115">
        <f t="shared" ref="U7:U15" si="1">H7</f>
        <v>100</v>
      </c>
      <c r="V7" s="1114" t="s">
        <v>1358</v>
      </c>
      <c r="W7" s="1115">
        <f t="shared" ref="W7:W15" si="2">J7</f>
        <v>100</v>
      </c>
      <c r="X7" s="1116"/>
      <c r="Y7" s="3415" t="s">
        <v>1357</v>
      </c>
      <c r="Z7" s="3416"/>
      <c r="AA7" s="1126">
        <f>D7/F7</f>
        <v>1</v>
      </c>
      <c r="AB7" s="1126">
        <f>D7/H7</f>
        <v>1</v>
      </c>
      <c r="AC7" s="1126">
        <f>D7/J7</f>
        <v>1</v>
      </c>
    </row>
    <row r="8" spans="1:29" s="899" customFormat="1" ht="15" thickBot="1">
      <c r="A8" s="927" t="s">
        <v>1359</v>
      </c>
      <c r="B8" s="928"/>
      <c r="C8" s="934" t="s">
        <v>884</v>
      </c>
      <c r="D8" s="930">
        <v>100</v>
      </c>
      <c r="E8" s="934" t="s">
        <v>2799</v>
      </c>
      <c r="F8" s="932">
        <f>SUMIF(61:61,E8,62:62)-SUMIF(61:61,C8,62:62)+100</f>
        <v>102</v>
      </c>
      <c r="G8" s="934" t="s">
        <v>2799</v>
      </c>
      <c r="H8" s="930">
        <f>SUMIF(61:61,G8,62:62)-SUMIF(61:61,C8,62:62)+100</f>
        <v>102</v>
      </c>
      <c r="I8" s="934" t="s">
        <v>2799</v>
      </c>
      <c r="J8" s="930">
        <f>SUMIF(61:61,I8,62:62)-SUMIF(61:61,C8,62:62)+100</f>
        <v>102</v>
      </c>
      <c r="K8" s="1069"/>
      <c r="L8" s="1070"/>
      <c r="M8" s="1071"/>
      <c r="N8" s="1071"/>
      <c r="O8" s="1071"/>
      <c r="P8" s="3415" t="s">
        <v>1361</v>
      </c>
      <c r="Q8" s="3416"/>
      <c r="R8" s="1114" t="s">
        <v>1358</v>
      </c>
      <c r="S8" s="1115">
        <f t="shared" si="0"/>
        <v>102</v>
      </c>
      <c r="T8" s="1114" t="s">
        <v>1358</v>
      </c>
      <c r="U8" s="1115">
        <f t="shared" si="1"/>
        <v>102</v>
      </c>
      <c r="V8" s="1114" t="s">
        <v>1358</v>
      </c>
      <c r="W8" s="1115">
        <f t="shared" si="2"/>
        <v>102</v>
      </c>
      <c r="X8" s="1116"/>
      <c r="Y8" s="3415" t="s">
        <v>1361</v>
      </c>
      <c r="Z8" s="3416"/>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2798</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10" t="s">
        <v>1364</v>
      </c>
      <c r="Q9" s="790" t="str">
        <f t="shared" ref="Q9:Q15" si="6">B9</f>
        <v>用途</v>
      </c>
      <c r="R9" s="1114" t="s">
        <v>1358</v>
      </c>
      <c r="S9" s="1115">
        <f t="shared" si="0"/>
        <v>100</v>
      </c>
      <c r="T9" s="1114" t="s">
        <v>1358</v>
      </c>
      <c r="U9" s="1115">
        <f t="shared" si="1"/>
        <v>100</v>
      </c>
      <c r="V9" s="1114" t="s">
        <v>1358</v>
      </c>
      <c r="W9" s="1115">
        <f t="shared" si="2"/>
        <v>100</v>
      </c>
      <c r="X9" s="1116"/>
      <c r="Y9" s="3297" t="s">
        <v>1365</v>
      </c>
      <c r="Z9" s="1126" t="str">
        <f t="shared" ref="Z9:Z15" si="7">Q9</f>
        <v>用途</v>
      </c>
      <c r="AA9" s="1126">
        <f t="shared" si="3"/>
        <v>1</v>
      </c>
      <c r="AB9" s="1126">
        <f t="shared" si="4"/>
        <v>1</v>
      </c>
      <c r="AC9" s="1126">
        <f t="shared" si="5"/>
        <v>1</v>
      </c>
    </row>
    <row r="10" spans="1:29" s="900" customFormat="1" ht="28.8">
      <c r="A10" s="939"/>
      <c r="B10" s="940" t="s">
        <v>1366</v>
      </c>
      <c r="C10" s="1277" t="s">
        <v>2852</v>
      </c>
      <c r="D10" s="942">
        <v>100</v>
      </c>
      <c r="E10" s="3191" t="s">
        <v>2851</v>
      </c>
      <c r="F10" s="940">
        <f>SUMIF(65:65,E10,66:66)-SUMIF(65:65,C10,66:66)+100</f>
        <v>95</v>
      </c>
      <c r="G10" s="3191" t="s">
        <v>2851</v>
      </c>
      <c r="H10" s="942">
        <f>SUMIF(65:65,G10,66:66)-SUMIF(65:65,C10,66:66)+100</f>
        <v>95</v>
      </c>
      <c r="I10" s="1277" t="s">
        <v>2852</v>
      </c>
      <c r="J10" s="942">
        <f>SUMIF(65:65,I10,66:66)-SUMIF(65:65,C10,66:66)+100</f>
        <v>100</v>
      </c>
      <c r="K10" s="1069"/>
      <c r="L10" s="1075"/>
      <c r="M10" s="1076"/>
      <c r="N10" s="1076"/>
      <c r="O10" s="1076"/>
      <c r="P10" s="3410"/>
      <c r="Q10" s="790" t="str">
        <f t="shared" si="6"/>
        <v>土地使用年限（年）</v>
      </c>
      <c r="R10" s="1114" t="s">
        <v>1358</v>
      </c>
      <c r="S10" s="1115">
        <f t="shared" si="0"/>
        <v>95</v>
      </c>
      <c r="T10" s="1114" t="s">
        <v>1358</v>
      </c>
      <c r="U10" s="1115">
        <f t="shared" si="1"/>
        <v>95</v>
      </c>
      <c r="V10" s="1114" t="s">
        <v>1358</v>
      </c>
      <c r="W10" s="1115">
        <f t="shared" si="2"/>
        <v>100</v>
      </c>
      <c r="X10" s="1116"/>
      <c r="Y10" s="3297"/>
      <c r="Z10" s="1126" t="str">
        <f t="shared" si="7"/>
        <v>土地使用年限（年）</v>
      </c>
      <c r="AA10" s="1126">
        <f t="shared" si="3"/>
        <v>1.0526315789473684</v>
      </c>
      <c r="AB10" s="1126">
        <f t="shared" si="4"/>
        <v>1.0526315789473684</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0"/>
      <c r="Q11" s="790" t="str">
        <f t="shared" si="6"/>
        <v>容积率</v>
      </c>
      <c r="R11" s="1114" t="s">
        <v>1358</v>
      </c>
      <c r="S11" s="1115">
        <f t="shared" si="0"/>
        <v>100</v>
      </c>
      <c r="T11" s="1114" t="s">
        <v>1358</v>
      </c>
      <c r="U11" s="1115">
        <f t="shared" si="1"/>
        <v>100</v>
      </c>
      <c r="V11" s="1114" t="s">
        <v>1358</v>
      </c>
      <c r="W11" s="1115">
        <f t="shared" si="2"/>
        <v>100</v>
      </c>
      <c r="X11" s="1116"/>
      <c r="Y11" s="3297"/>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0"/>
      <c r="Q12" s="790">
        <f t="shared" si="6"/>
        <v>111</v>
      </c>
      <c r="R12" s="1114" t="s">
        <v>1358</v>
      </c>
      <c r="S12" s="1115">
        <f t="shared" si="0"/>
        <v>100</v>
      </c>
      <c r="T12" s="1114" t="s">
        <v>1358</v>
      </c>
      <c r="U12" s="1115">
        <f t="shared" si="1"/>
        <v>100</v>
      </c>
      <c r="V12" s="1114" t="s">
        <v>1358</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0"/>
      <c r="Q13" s="790">
        <f t="shared" si="6"/>
        <v>111</v>
      </c>
      <c r="R13" s="1114" t="s">
        <v>1358</v>
      </c>
      <c r="S13" s="1115">
        <f t="shared" si="0"/>
        <v>100</v>
      </c>
      <c r="T13" s="1114" t="s">
        <v>1358</v>
      </c>
      <c r="U13" s="1115">
        <f t="shared" si="1"/>
        <v>100</v>
      </c>
      <c r="V13" s="1114" t="s">
        <v>1358</v>
      </c>
      <c r="W13" s="1115">
        <f t="shared" si="2"/>
        <v>100</v>
      </c>
      <c r="X13" s="1116"/>
      <c r="Y13" s="3297"/>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0"/>
      <c r="Q14" s="790">
        <f t="shared" si="6"/>
        <v>111</v>
      </c>
      <c r="R14" s="1114" t="s">
        <v>1358</v>
      </c>
      <c r="S14" s="1115">
        <f t="shared" si="0"/>
        <v>100</v>
      </c>
      <c r="T14" s="1114" t="s">
        <v>1358</v>
      </c>
      <c r="U14" s="1115">
        <f t="shared" si="1"/>
        <v>100</v>
      </c>
      <c r="V14" s="1114" t="s">
        <v>1358</v>
      </c>
      <c r="W14" s="1115">
        <f t="shared" si="2"/>
        <v>100</v>
      </c>
      <c r="X14" s="1116"/>
      <c r="Y14" s="3297"/>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18" t="s">
        <v>1370</v>
      </c>
      <c r="Q15" s="621" t="str">
        <f t="shared" si="6"/>
        <v>商业繁华度</v>
      </c>
      <c r="R15" s="1118" t="s">
        <v>1358</v>
      </c>
      <c r="S15" s="1119">
        <f t="shared" si="0"/>
        <v>102</v>
      </c>
      <c r="T15" s="1118" t="s">
        <v>1358</v>
      </c>
      <c r="U15" s="1119">
        <f t="shared" si="1"/>
        <v>102</v>
      </c>
      <c r="V15" s="1118" t="s">
        <v>1358</v>
      </c>
      <c r="W15" s="1119">
        <f t="shared" si="2"/>
        <v>102</v>
      </c>
      <c r="X15" s="1113"/>
      <c r="Y15" s="3423"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19"/>
      <c r="Q16" s="621"/>
      <c r="R16" s="1118"/>
      <c r="S16" s="1119"/>
      <c r="T16" s="1118"/>
      <c r="U16" s="1119"/>
      <c r="V16" s="1118"/>
      <c r="W16" s="1119"/>
      <c r="X16" s="1113"/>
      <c r="Y16" s="3424"/>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9"/>
      <c r="Q17" s="621" t="str">
        <f>B17</f>
        <v>交通便捷度</v>
      </c>
      <c r="R17" s="1118" t="s">
        <v>1358</v>
      </c>
      <c r="S17" s="1119">
        <f>F17</f>
        <v>102</v>
      </c>
      <c r="T17" s="1118" t="s">
        <v>1358</v>
      </c>
      <c r="U17" s="1119">
        <f>H17</f>
        <v>102</v>
      </c>
      <c r="V17" s="1118" t="s">
        <v>1358</v>
      </c>
      <c r="W17" s="1119">
        <f>J17</f>
        <v>102</v>
      </c>
      <c r="X17" s="1113"/>
      <c r="Y17" s="3424"/>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19"/>
      <c r="Q18" s="621"/>
      <c r="R18" s="1118"/>
      <c r="S18" s="1119"/>
      <c r="T18" s="1118"/>
      <c r="U18" s="1119"/>
      <c r="V18" s="1118"/>
      <c r="W18" s="1119"/>
      <c r="X18" s="1113"/>
      <c r="Y18" s="3424"/>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9"/>
      <c r="Q19" s="621" t="str">
        <f>B19</f>
        <v>公共配套设施</v>
      </c>
      <c r="R19" s="1118" t="s">
        <v>1358</v>
      </c>
      <c r="S19" s="1119">
        <f>F19</f>
        <v>100</v>
      </c>
      <c r="T19" s="1118" t="s">
        <v>1358</v>
      </c>
      <c r="U19" s="1119">
        <f>H19</f>
        <v>100</v>
      </c>
      <c r="V19" s="1118" t="s">
        <v>1358</v>
      </c>
      <c r="W19" s="1119">
        <f>J19</f>
        <v>100</v>
      </c>
      <c r="X19" s="1113"/>
      <c r="Y19" s="3424"/>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9"/>
      <c r="Q20" s="621"/>
      <c r="R20" s="1118"/>
      <c r="S20" s="1119"/>
      <c r="T20" s="1118"/>
      <c r="U20" s="1119"/>
      <c r="V20" s="1118"/>
      <c r="W20" s="1119"/>
      <c r="X20" s="1113"/>
      <c r="Y20" s="3424"/>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9"/>
      <c r="Q21" s="621" t="str">
        <f>B21</f>
        <v>基础设施水平</v>
      </c>
      <c r="R21" s="1118" t="s">
        <v>1358</v>
      </c>
      <c r="S21" s="1119">
        <f>F21</f>
        <v>100</v>
      </c>
      <c r="T21" s="1118" t="s">
        <v>1358</v>
      </c>
      <c r="U21" s="1119">
        <f>H21</f>
        <v>100</v>
      </c>
      <c r="V21" s="1118" t="s">
        <v>1358</v>
      </c>
      <c r="W21" s="1119">
        <f>J21</f>
        <v>100</v>
      </c>
      <c r="X21" s="1113"/>
      <c r="Y21" s="3424"/>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9"/>
      <c r="Q22" s="621"/>
      <c r="R22" s="1118"/>
      <c r="S22" s="1119"/>
      <c r="T22" s="1118"/>
      <c r="U22" s="1119"/>
      <c r="V22" s="1118"/>
      <c r="W22" s="1119"/>
      <c r="X22" s="1113"/>
      <c r="Y22" s="3424"/>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9"/>
      <c r="Q23" s="621" t="str">
        <f>B23</f>
        <v>自然及人文环境</v>
      </c>
      <c r="R23" s="1118" t="s">
        <v>1358</v>
      </c>
      <c r="S23" s="1119">
        <f>F23</f>
        <v>100</v>
      </c>
      <c r="T23" s="1118" t="s">
        <v>1358</v>
      </c>
      <c r="U23" s="1119">
        <f>H23</f>
        <v>100</v>
      </c>
      <c r="V23" s="1118" t="s">
        <v>1358</v>
      </c>
      <c r="W23" s="1119">
        <f>J23</f>
        <v>100</v>
      </c>
      <c r="X23" s="1113"/>
      <c r="Y23" s="3424"/>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9"/>
      <c r="Q24" s="621"/>
      <c r="R24" s="1118"/>
      <c r="S24" s="1119"/>
      <c r="T24" s="1118"/>
      <c r="U24" s="1119"/>
      <c r="V24" s="1118"/>
      <c r="W24" s="1119"/>
      <c r="X24" s="1113"/>
      <c r="Y24" s="3424"/>
      <c r="Z24" s="1102"/>
      <c r="AA24" s="1102">
        <v>1</v>
      </c>
      <c r="AB24" s="1102">
        <v>1</v>
      </c>
      <c r="AC24" s="1102">
        <v>1</v>
      </c>
    </row>
    <row r="25" spans="1:29" ht="15">
      <c r="A25" s="943"/>
      <c r="B25" s="940" t="s">
        <v>1606</v>
      </c>
      <c r="C25" s="976" t="s">
        <v>2868</v>
      </c>
      <c r="D25" s="755">
        <v>100</v>
      </c>
      <c r="E25" s="976" t="s">
        <v>2861</v>
      </c>
      <c r="F25" s="1097">
        <f>SUMIF(86:86,E25,87:87)-SUMIF(86:86,C25,87:87)+100</f>
        <v>104</v>
      </c>
      <c r="G25" s="976" t="s">
        <v>2861</v>
      </c>
      <c r="H25" s="755">
        <f>SUMIF(86:86,G25,87:87)-SUMIF(86:86,C25,87:87)+100</f>
        <v>104</v>
      </c>
      <c r="I25" s="976" t="s">
        <v>2861</v>
      </c>
      <c r="J25" s="755">
        <f>SUMIF(86:86,I25,87:87)-SUMIF(86:86,C25,87:87)+100</f>
        <v>104</v>
      </c>
      <c r="K25" s="1088">
        <v>2</v>
      </c>
      <c r="L25" s="1081"/>
      <c r="M25" s="1015"/>
      <c r="N25" s="1015"/>
      <c r="O25" s="1015"/>
      <c r="P25" s="3419"/>
      <c r="Q25" s="621" t="str">
        <f t="shared" ref="Q25:Q46" si="11">B25</f>
        <v>临街状况</v>
      </c>
      <c r="R25" s="1118" t="s">
        <v>1358</v>
      </c>
      <c r="S25" s="1119">
        <f>F25</f>
        <v>104</v>
      </c>
      <c r="T25" s="1118" t="s">
        <v>1358</v>
      </c>
      <c r="U25" s="1119">
        <f>H25</f>
        <v>104</v>
      </c>
      <c r="V25" s="1118" t="s">
        <v>1358</v>
      </c>
      <c r="W25" s="1119">
        <f>J25</f>
        <v>104</v>
      </c>
      <c r="X25" s="1113"/>
      <c r="Y25" s="3424"/>
      <c r="Z25" s="1102" t="str">
        <f>Q25</f>
        <v>临街状况</v>
      </c>
      <c r="AA25" s="1102">
        <f t="shared" si="3"/>
        <v>0.96153846153846156</v>
      </c>
      <c r="AB25" s="1102">
        <f t="shared" si="4"/>
        <v>0.96153846153846156</v>
      </c>
      <c r="AC25" s="1102">
        <f t="shared" si="5"/>
        <v>0.96153846153846156</v>
      </c>
    </row>
    <row r="26" spans="1:29" ht="15">
      <c r="A26" s="943"/>
      <c r="B26" s="1177" t="s">
        <v>1607</v>
      </c>
      <c r="C26" s="3193" t="s">
        <v>2867</v>
      </c>
      <c r="D26" s="755">
        <v>100</v>
      </c>
      <c r="E26" s="951" t="s">
        <v>1374</v>
      </c>
      <c r="F26" s="1097">
        <f>SUMIF(88:88,E26,89:89)-SUMIF(88:88,C26,89:89)+100</f>
        <v>102</v>
      </c>
      <c r="G26" s="951" t="s">
        <v>1374</v>
      </c>
      <c r="H26" s="755">
        <f>SUMIF(88:88,G26,89:89)-SUMIF(88:88,C26,89:89)+100</f>
        <v>102</v>
      </c>
      <c r="I26" s="951" t="s">
        <v>1374</v>
      </c>
      <c r="J26" s="755">
        <f>SUMIF(88:88,I26,89:89)-SUMIF(88:88,C26,89:89)+100</f>
        <v>102</v>
      </c>
      <c r="K26" s="1087"/>
      <c r="L26" s="1081"/>
      <c r="M26" s="1015"/>
      <c r="N26" s="1015"/>
      <c r="O26" s="1015"/>
      <c r="P26" s="3419"/>
      <c r="Q26" s="621" t="str">
        <f t="shared" si="11"/>
        <v>平面位置/可视性</v>
      </c>
      <c r="R26" s="1118" t="s">
        <v>1358</v>
      </c>
      <c r="S26" s="1119">
        <f>F26</f>
        <v>102</v>
      </c>
      <c r="T26" s="1118" t="s">
        <v>1358</v>
      </c>
      <c r="U26" s="1119">
        <f>H26</f>
        <v>102</v>
      </c>
      <c r="V26" s="1118" t="s">
        <v>1358</v>
      </c>
      <c r="W26" s="1119">
        <f>J26</f>
        <v>102</v>
      </c>
      <c r="X26" s="1113"/>
      <c r="Y26" s="3424"/>
      <c r="Z26" s="1102" t="str">
        <f>Q26</f>
        <v>平面位置/可视性</v>
      </c>
      <c r="AA26" s="1102">
        <f t="shared" si="3"/>
        <v>0.98039215686274506</v>
      </c>
      <c r="AB26" s="1102">
        <f t="shared" si="4"/>
        <v>0.98039215686274506</v>
      </c>
      <c r="AC26" s="1102">
        <f t="shared" si="5"/>
        <v>0.98039215686274506</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19"/>
      <c r="Q27" s="790" t="str">
        <f t="shared" si="11"/>
        <v>人流量</v>
      </c>
      <c r="R27" s="1114" t="s">
        <v>1358</v>
      </c>
      <c r="S27" s="1115">
        <f>F27</f>
        <v>100</v>
      </c>
      <c r="T27" s="1114" t="s">
        <v>1358</v>
      </c>
      <c r="U27" s="1115">
        <f>H27</f>
        <v>100</v>
      </c>
      <c r="V27" s="1114" t="s">
        <v>1358</v>
      </c>
      <c r="W27" s="1115">
        <f>J27</f>
        <v>100</v>
      </c>
      <c r="X27" s="1116"/>
      <c r="Y27" s="3424"/>
      <c r="Z27" s="1126" t="str">
        <f>Q27</f>
        <v>人流量</v>
      </c>
      <c r="AA27" s="1102">
        <f t="shared" si="3"/>
        <v>1</v>
      </c>
      <c r="AB27" s="1102">
        <f t="shared" si="4"/>
        <v>1</v>
      </c>
      <c r="AC27" s="1102">
        <f t="shared" si="5"/>
        <v>1</v>
      </c>
    </row>
    <row r="28" spans="1:29" ht="15">
      <c r="A28" s="943"/>
      <c r="B28" s="940" t="s">
        <v>1378</v>
      </c>
      <c r="C28" s="976" t="s">
        <v>2830</v>
      </c>
      <c r="D28" s="755">
        <v>100</v>
      </c>
      <c r="E28" s="976" t="s">
        <v>2830</v>
      </c>
      <c r="F28" s="1097">
        <f>SUMIF(92:92,E28,93:93)-SUMIF(92:92,C28,93:93)+100</f>
        <v>100</v>
      </c>
      <c r="G28" s="976" t="s">
        <v>2830</v>
      </c>
      <c r="H28" s="755">
        <f>SUMIF(92:92,G28,93:93)-SUMIF(92:92,C28,93:93)+100</f>
        <v>100</v>
      </c>
      <c r="I28" s="976" t="s">
        <v>2830</v>
      </c>
      <c r="J28" s="755">
        <f>SUMIF(92:92,I28,93:93)-SUMIF(92:92,C28,93:93)+100</f>
        <v>100</v>
      </c>
      <c r="K28" s="1087"/>
      <c r="L28" s="1081"/>
      <c r="M28" s="1015"/>
      <c r="N28" s="1015"/>
      <c r="O28" s="1015"/>
      <c r="P28" s="3419"/>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24"/>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9"/>
      <c r="Q29" s="621">
        <f t="shared" si="11"/>
        <v>111</v>
      </c>
      <c r="R29" s="1118" t="s">
        <v>1358</v>
      </c>
      <c r="S29" s="1119">
        <f t="shared" si="12"/>
        <v>100</v>
      </c>
      <c r="T29" s="1118" t="s">
        <v>1358</v>
      </c>
      <c r="U29" s="1119">
        <f t="shared" si="13"/>
        <v>100</v>
      </c>
      <c r="V29" s="1118" t="s">
        <v>1358</v>
      </c>
      <c r="W29" s="1119">
        <f t="shared" si="14"/>
        <v>100</v>
      </c>
      <c r="X29" s="1113"/>
      <c r="Y29" s="3424"/>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9"/>
      <c r="Q30" s="621">
        <f t="shared" si="11"/>
        <v>111</v>
      </c>
      <c r="R30" s="1118" t="s">
        <v>1358</v>
      </c>
      <c r="S30" s="1119">
        <f t="shared" si="12"/>
        <v>100</v>
      </c>
      <c r="T30" s="1118" t="s">
        <v>1358</v>
      </c>
      <c r="U30" s="1119">
        <f t="shared" si="13"/>
        <v>100</v>
      </c>
      <c r="V30" s="1118" t="s">
        <v>1358</v>
      </c>
      <c r="W30" s="1119">
        <f t="shared" si="14"/>
        <v>100</v>
      </c>
      <c r="X30" s="1113"/>
      <c r="Y30" s="3424"/>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9"/>
      <c r="Q31" s="621">
        <f t="shared" si="11"/>
        <v>111</v>
      </c>
      <c r="R31" s="1118" t="s">
        <v>1358</v>
      </c>
      <c r="S31" s="1119">
        <f t="shared" si="12"/>
        <v>100</v>
      </c>
      <c r="T31" s="1118" t="s">
        <v>1358</v>
      </c>
      <c r="U31" s="1119">
        <f t="shared" si="13"/>
        <v>100</v>
      </c>
      <c r="V31" s="1118" t="s">
        <v>1358</v>
      </c>
      <c r="W31" s="1119">
        <f t="shared" si="14"/>
        <v>100</v>
      </c>
      <c r="X31" s="1113"/>
      <c r="Y31" s="3424"/>
      <c r="Z31" s="1102">
        <f t="shared" si="15"/>
        <v>111</v>
      </c>
      <c r="AA31" s="1102">
        <f t="shared" si="3"/>
        <v>1</v>
      </c>
      <c r="AB31" s="1102">
        <f t="shared" si="4"/>
        <v>1</v>
      </c>
      <c r="AC31" s="1102">
        <f t="shared" si="5"/>
        <v>1</v>
      </c>
    </row>
    <row r="32" spans="1:29" ht="15">
      <c r="A32" s="956" t="s">
        <v>1381</v>
      </c>
      <c r="B32" s="936" t="s">
        <v>1609</v>
      </c>
      <c r="C32" s="1283" t="s">
        <v>2839</v>
      </c>
      <c r="D32" s="920">
        <v>100</v>
      </c>
      <c r="E32" s="1283" t="s">
        <v>2839</v>
      </c>
      <c r="F32" s="1097">
        <f>SUMIF(100:100,E32,101:101)-SUMIF(100:100,C32,101:101)+100</f>
        <v>100</v>
      </c>
      <c r="G32" s="1283" t="s">
        <v>2839</v>
      </c>
      <c r="H32" s="755">
        <f>SUMIF(100:100,G32,101:101)-SUMIF(100:100,C32,101:101)+100</f>
        <v>100</v>
      </c>
      <c r="I32" s="1283" t="s">
        <v>2839</v>
      </c>
      <c r="J32" s="920">
        <f>SUMIF(100:100,I32,101:101)-SUMIF(100:100,C32,101:101)+100</f>
        <v>100</v>
      </c>
      <c r="K32" s="1088">
        <v>3</v>
      </c>
      <c r="L32" s="1081"/>
      <c r="M32" s="1015"/>
      <c r="N32" s="1015"/>
      <c r="O32" s="1015"/>
      <c r="P32" s="3420" t="s">
        <v>1384</v>
      </c>
      <c r="Q32" s="621" t="str">
        <f t="shared" si="11"/>
        <v>商业类型</v>
      </c>
      <c r="R32" s="1118" t="s">
        <v>1358</v>
      </c>
      <c r="S32" s="1119">
        <f t="shared" si="12"/>
        <v>100</v>
      </c>
      <c r="T32" s="1118" t="s">
        <v>1358</v>
      </c>
      <c r="U32" s="1119">
        <f t="shared" si="13"/>
        <v>100</v>
      </c>
      <c r="V32" s="1118" t="s">
        <v>1358</v>
      </c>
      <c r="W32" s="1119">
        <f t="shared" si="14"/>
        <v>100</v>
      </c>
      <c r="X32" s="1113"/>
      <c r="Y32" s="3425" t="s">
        <v>1384</v>
      </c>
      <c r="Z32" s="1102" t="str">
        <f t="shared" si="15"/>
        <v>商业类型</v>
      </c>
      <c r="AA32" s="1102">
        <f t="shared" si="3"/>
        <v>1</v>
      </c>
      <c r="AB32" s="1102">
        <f t="shared" si="4"/>
        <v>1</v>
      </c>
      <c r="AC32" s="1102">
        <f t="shared" si="5"/>
        <v>1</v>
      </c>
    </row>
    <row r="33" spans="1:29" s="901" customFormat="1" ht="15">
      <c r="A33" s="996"/>
      <c r="B33" s="940" t="s">
        <v>1385</v>
      </c>
      <c r="C33" s="945">
        <f>'数据-汇总表'!F21</f>
        <v>155.37</v>
      </c>
      <c r="D33" s="942">
        <v>100</v>
      </c>
      <c r="E33" s="945">
        <v>93.81</v>
      </c>
      <c r="F33" s="940">
        <f>LOOKUP(E33,103:103,104:104)-LOOKUP(C33,103:103,104:104)+100</f>
        <v>100</v>
      </c>
      <c r="G33" s="944">
        <v>126.85</v>
      </c>
      <c r="H33" s="942">
        <f>LOOKUP(G33,103:103,104:104)-LOOKUP(C33,103:103,104:104)+100</f>
        <v>100</v>
      </c>
      <c r="I33" s="944">
        <v>105.19</v>
      </c>
      <c r="J33" s="942">
        <f>LOOKUP(I33,103:103,104:104)-LOOKUP(C33,103:103,104:104)+100</f>
        <v>100</v>
      </c>
      <c r="K33" s="1087"/>
      <c r="L33" s="1079"/>
      <c r="M33" s="1089"/>
      <c r="N33" s="1089"/>
      <c r="O33" s="1089"/>
      <c r="P33" s="3421"/>
      <c r="Q33" s="1308" t="str">
        <f t="shared" si="11"/>
        <v>项目建筑规模</v>
      </c>
      <c r="R33" s="1120" t="s">
        <v>1358</v>
      </c>
      <c r="S33" s="1121">
        <f t="shared" si="12"/>
        <v>100</v>
      </c>
      <c r="T33" s="1120" t="s">
        <v>1358</v>
      </c>
      <c r="U33" s="1121">
        <f t="shared" si="13"/>
        <v>100</v>
      </c>
      <c r="V33" s="1120" t="s">
        <v>1358</v>
      </c>
      <c r="W33" s="1121">
        <f t="shared" si="14"/>
        <v>100</v>
      </c>
      <c r="X33" s="1122"/>
      <c r="Y33" s="3425"/>
      <c r="Z33" s="1127" t="str">
        <f t="shared" si="15"/>
        <v>项目建筑规模</v>
      </c>
      <c r="AA33" s="1102">
        <f t="shared" si="3"/>
        <v>1</v>
      </c>
      <c r="AB33" s="1102">
        <f t="shared" si="4"/>
        <v>1</v>
      </c>
      <c r="AC33" s="1102">
        <f t="shared" si="5"/>
        <v>1</v>
      </c>
    </row>
    <row r="34" spans="1:29" ht="15">
      <c r="A34" s="991"/>
      <c r="B34" s="940" t="s">
        <v>1386</v>
      </c>
      <c r="C34" s="1287" t="s">
        <v>2840</v>
      </c>
      <c r="D34" s="755">
        <v>100</v>
      </c>
      <c r="E34" s="1287" t="s">
        <v>2840</v>
      </c>
      <c r="F34" s="1097">
        <f>SUMIF(105:105,E34,106:106)-SUMIF(105:105,C34,106:106)+100</f>
        <v>100</v>
      </c>
      <c r="G34" s="1287" t="s">
        <v>2840</v>
      </c>
      <c r="H34" s="755">
        <f>SUMIF(105:105,G34,106:106)-SUMIF(105:105,C34,106:106)+100</f>
        <v>100</v>
      </c>
      <c r="I34" s="1287" t="s">
        <v>2840</v>
      </c>
      <c r="J34" s="755">
        <f>SUMIF(105:105,I34,106:106)-SUMIF(105:105,C34,106:106)+100</f>
        <v>100</v>
      </c>
      <c r="K34" s="1088">
        <v>2</v>
      </c>
      <c r="L34" s="1081"/>
      <c r="M34" s="1015"/>
      <c r="N34" s="1015"/>
      <c r="O34" s="1015"/>
      <c r="P34" s="3421"/>
      <c r="Q34" s="621" t="str">
        <f t="shared" si="11"/>
        <v>建筑结构</v>
      </c>
      <c r="R34" s="1118" t="s">
        <v>1358</v>
      </c>
      <c r="S34" s="1119">
        <f t="shared" si="12"/>
        <v>100</v>
      </c>
      <c r="T34" s="1118" t="s">
        <v>1358</v>
      </c>
      <c r="U34" s="1119">
        <f t="shared" si="13"/>
        <v>100</v>
      </c>
      <c r="V34" s="1118" t="s">
        <v>1358</v>
      </c>
      <c r="W34" s="1119">
        <f t="shared" si="14"/>
        <v>100</v>
      </c>
      <c r="X34" s="1113"/>
      <c r="Y34" s="3425"/>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21"/>
      <c r="Q35" s="621" t="str">
        <f t="shared" si="11"/>
        <v>公共部分装修</v>
      </c>
      <c r="R35" s="1118" t="s">
        <v>1358</v>
      </c>
      <c r="S35" s="1119">
        <f t="shared" si="12"/>
        <v>100</v>
      </c>
      <c r="T35" s="1118" t="s">
        <v>1358</v>
      </c>
      <c r="U35" s="1119">
        <f t="shared" si="13"/>
        <v>100</v>
      </c>
      <c r="V35" s="1118" t="s">
        <v>1358</v>
      </c>
      <c r="W35" s="1119">
        <f t="shared" si="14"/>
        <v>100</v>
      </c>
      <c r="X35" s="1113"/>
      <c r="Y35" s="3425"/>
      <c r="Z35" s="1102" t="str">
        <f t="shared" si="15"/>
        <v>公共部分装修</v>
      </c>
      <c r="AA35" s="1102">
        <f t="shared" si="3"/>
        <v>1</v>
      </c>
      <c r="AB35" s="1102">
        <f t="shared" si="4"/>
        <v>1</v>
      </c>
      <c r="AC35" s="1102">
        <f t="shared" si="5"/>
        <v>1</v>
      </c>
    </row>
    <row r="36" spans="1:29" ht="15">
      <c r="A36" s="991"/>
      <c r="B36" s="940" t="s">
        <v>648</v>
      </c>
      <c r="C36" s="1284">
        <f>'比较法-商业2'!C36</f>
        <v>0.83</v>
      </c>
      <c r="D36" s="755">
        <v>100</v>
      </c>
      <c r="E36" s="1284">
        <f>'比较法-商业2'!E36</f>
        <v>0.68333333333333335</v>
      </c>
      <c r="F36" s="1097">
        <f>LOOKUP(E36,110:110,111:111)-LOOKUP(C36,110:110,111:111)+100</f>
        <v>96</v>
      </c>
      <c r="G36" s="1284">
        <f>'比较法-商业2'!G36</f>
        <v>0.66666666666666674</v>
      </c>
      <c r="H36" s="1097">
        <f>LOOKUP(G36,110:110,111:111)-LOOKUP(C36,110:110,111:111)+100</f>
        <v>96</v>
      </c>
      <c r="I36" s="1284">
        <f>'比较法-商业2'!I36</f>
        <v>0.78333333333333333</v>
      </c>
      <c r="J36" s="755">
        <f>LOOKUP(I36,110:110,111:111)-LOOKUP(C36,110:110,111:111)+100</f>
        <v>98</v>
      </c>
      <c r="K36" s="1088">
        <v>2</v>
      </c>
      <c r="L36" s="1081"/>
      <c r="M36" s="1015"/>
      <c r="N36" s="1015"/>
      <c r="O36" s="1015"/>
      <c r="P36" s="3421"/>
      <c r="Q36" s="621" t="str">
        <f t="shared" si="11"/>
        <v>成新度</v>
      </c>
      <c r="R36" s="1118" t="s">
        <v>1358</v>
      </c>
      <c r="S36" s="1119">
        <f t="shared" si="12"/>
        <v>96</v>
      </c>
      <c r="T36" s="1118" t="s">
        <v>1358</v>
      </c>
      <c r="U36" s="1119">
        <f t="shared" si="13"/>
        <v>96</v>
      </c>
      <c r="V36" s="1118" t="s">
        <v>1358</v>
      </c>
      <c r="W36" s="1119">
        <f t="shared" si="14"/>
        <v>98</v>
      </c>
      <c r="X36" s="1113"/>
      <c r="Y36" s="3425"/>
      <c r="Z36" s="1102" t="str">
        <f t="shared" si="15"/>
        <v>成新度</v>
      </c>
      <c r="AA36" s="1102">
        <f t="shared" si="3"/>
        <v>1.0416666666666667</v>
      </c>
      <c r="AB36" s="1102">
        <f t="shared" si="4"/>
        <v>1.0416666666666667</v>
      </c>
      <c r="AC36" s="1102">
        <f t="shared" si="5"/>
        <v>1.0204081632653061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21"/>
      <c r="Q37" s="790" t="str">
        <f t="shared" si="11"/>
        <v>市政基础设施</v>
      </c>
      <c r="R37" s="1114" t="s">
        <v>1358</v>
      </c>
      <c r="S37" s="1115">
        <f t="shared" si="12"/>
        <v>100</v>
      </c>
      <c r="T37" s="1114" t="s">
        <v>1358</v>
      </c>
      <c r="U37" s="1115">
        <f t="shared" si="13"/>
        <v>100</v>
      </c>
      <c r="V37" s="1114" t="s">
        <v>1358</v>
      </c>
      <c r="W37" s="1115">
        <f t="shared" si="14"/>
        <v>100</v>
      </c>
      <c r="X37" s="1116"/>
      <c r="Y37" s="3425"/>
      <c r="Z37" s="1126" t="str">
        <f t="shared" si="15"/>
        <v>市政基础设施</v>
      </c>
      <c r="AA37" s="1126">
        <f t="shared" si="3"/>
        <v>1</v>
      </c>
      <c r="AB37" s="1126">
        <f t="shared" si="4"/>
        <v>1</v>
      </c>
      <c r="AC37" s="1126">
        <f t="shared" si="5"/>
        <v>1</v>
      </c>
    </row>
    <row r="38" spans="1:29" ht="15">
      <c r="A38" s="991"/>
      <c r="B38" s="940" t="s">
        <v>1610</v>
      </c>
      <c r="C38" s="992" t="s">
        <v>2841</v>
      </c>
      <c r="D38" s="755">
        <v>100</v>
      </c>
      <c r="E38" s="992" t="s">
        <v>2841</v>
      </c>
      <c r="F38" s="1097">
        <f>SUMIF(114:114,E38,115:115)-SUMIF(114:114,C38,115:115)+100</f>
        <v>100</v>
      </c>
      <c r="G38" s="992" t="s">
        <v>2841</v>
      </c>
      <c r="H38" s="755">
        <f>SUMIF(114:114,G38,115:115)-SUMIF(114:114,C38,115:115)+100</f>
        <v>100</v>
      </c>
      <c r="I38" s="992" t="s">
        <v>2841</v>
      </c>
      <c r="J38" s="755">
        <f>SUMIF(114:114,I38,115:115)-SUMIF(114:114,C38,115:115)+100</f>
        <v>100</v>
      </c>
      <c r="K38" s="1088">
        <v>2</v>
      </c>
      <c r="L38" s="1081"/>
      <c r="M38" s="1015"/>
      <c r="N38" s="1015"/>
      <c r="O38" s="1015"/>
      <c r="P38" s="3421" t="s">
        <v>1384</v>
      </c>
      <c r="Q38" s="621" t="str">
        <f t="shared" si="11"/>
        <v>业态</v>
      </c>
      <c r="R38" s="1118" t="s">
        <v>1358</v>
      </c>
      <c r="S38" s="1119">
        <f t="shared" si="12"/>
        <v>100</v>
      </c>
      <c r="T38" s="1118" t="s">
        <v>1358</v>
      </c>
      <c r="U38" s="1119">
        <f t="shared" si="13"/>
        <v>100</v>
      </c>
      <c r="V38" s="1118" t="s">
        <v>1358</v>
      </c>
      <c r="W38" s="1119">
        <f t="shared" si="14"/>
        <v>100</v>
      </c>
      <c r="X38" s="1113"/>
      <c r="Y38" s="3425"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21"/>
      <c r="Q39" s="621" t="str">
        <f t="shared" si="11"/>
        <v>层高</v>
      </c>
      <c r="R39" s="1118" t="s">
        <v>1358</v>
      </c>
      <c r="S39" s="1119">
        <f t="shared" si="12"/>
        <v>100</v>
      </c>
      <c r="T39" s="1118" t="s">
        <v>1358</v>
      </c>
      <c r="U39" s="1119">
        <f t="shared" si="13"/>
        <v>100</v>
      </c>
      <c r="V39" s="1118" t="s">
        <v>1358</v>
      </c>
      <c r="W39" s="1119">
        <f t="shared" si="14"/>
        <v>100</v>
      </c>
      <c r="X39" s="1113"/>
      <c r="Y39" s="3425"/>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21"/>
      <c r="Q40" s="621" t="str">
        <f t="shared" si="11"/>
        <v>单套建筑面积</v>
      </c>
      <c r="R40" s="1118" t="s">
        <v>1358</v>
      </c>
      <c r="S40" s="1119">
        <f t="shared" si="12"/>
        <v>100</v>
      </c>
      <c r="T40" s="1118" t="s">
        <v>1358</v>
      </c>
      <c r="U40" s="1119">
        <f t="shared" si="13"/>
        <v>100</v>
      </c>
      <c r="V40" s="1118" t="s">
        <v>1358</v>
      </c>
      <c r="W40" s="1119">
        <f t="shared" si="14"/>
        <v>100</v>
      </c>
      <c r="X40" s="1113"/>
      <c r="Y40" s="3425"/>
      <c r="Z40" s="1102" t="str">
        <f t="shared" si="15"/>
        <v>单套建筑面积</v>
      </c>
      <c r="AA40" s="1102">
        <f t="shared" si="3"/>
        <v>1</v>
      </c>
      <c r="AB40" s="1102">
        <f t="shared" si="4"/>
        <v>1</v>
      </c>
      <c r="AC40" s="1102">
        <f t="shared" si="5"/>
        <v>1</v>
      </c>
    </row>
    <row r="41" spans="1:29" s="901" customFormat="1" ht="15">
      <c r="A41" s="996"/>
      <c r="B41" s="1097" t="s">
        <v>1611</v>
      </c>
      <c r="C41" s="976" t="s">
        <v>2842</v>
      </c>
      <c r="D41" s="755">
        <v>100</v>
      </c>
      <c r="E41" s="976" t="s">
        <v>2842</v>
      </c>
      <c r="F41" s="1097">
        <f>SUMIF(120:120,E41,121:121)-SUMIF(120:120,C41,121:121)+100</f>
        <v>100</v>
      </c>
      <c r="G41" s="976" t="s">
        <v>2842</v>
      </c>
      <c r="H41" s="755">
        <f>SUMIF(120:120,G41,121:121)-SUMIF(120:120,C41,121:121)+100</f>
        <v>100</v>
      </c>
      <c r="I41" s="976" t="s">
        <v>2842</v>
      </c>
      <c r="J41" s="755">
        <f>SUMIF(120:120,I41,121:121)-SUMIF(120:120,C41,121:121)+100</f>
        <v>100</v>
      </c>
      <c r="K41" s="1088">
        <v>2</v>
      </c>
      <c r="L41" s="1079"/>
      <c r="M41" s="1089"/>
      <c r="N41" s="1089"/>
      <c r="O41" s="1089"/>
      <c r="P41" s="3421"/>
      <c r="Q41" s="1308" t="str">
        <f t="shared" si="11"/>
        <v>进深比</v>
      </c>
      <c r="R41" s="1120" t="s">
        <v>1358</v>
      </c>
      <c r="S41" s="1121">
        <f t="shared" si="12"/>
        <v>100</v>
      </c>
      <c r="T41" s="1120" t="s">
        <v>1358</v>
      </c>
      <c r="U41" s="1121">
        <f t="shared" si="13"/>
        <v>100</v>
      </c>
      <c r="V41" s="1120" t="s">
        <v>1358</v>
      </c>
      <c r="W41" s="1121">
        <f t="shared" si="14"/>
        <v>100</v>
      </c>
      <c r="X41" s="1122"/>
      <c r="Y41" s="3425"/>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21"/>
      <c r="Q42" s="621" t="str">
        <f t="shared" si="11"/>
        <v>内部装修</v>
      </c>
      <c r="R42" s="1118" t="s">
        <v>1358</v>
      </c>
      <c r="S42" s="1119">
        <f t="shared" si="12"/>
        <v>100</v>
      </c>
      <c r="T42" s="1118" t="s">
        <v>1358</v>
      </c>
      <c r="U42" s="1119">
        <f t="shared" si="13"/>
        <v>98</v>
      </c>
      <c r="V42" s="1118" t="s">
        <v>1358</v>
      </c>
      <c r="W42" s="1119">
        <f t="shared" si="14"/>
        <v>100</v>
      </c>
      <c r="X42" s="1113"/>
      <c r="Y42" s="3425"/>
      <c r="Z42" s="1102" t="str">
        <f t="shared" si="15"/>
        <v>内部装修</v>
      </c>
      <c r="AA42" s="1102">
        <f t="shared" si="3"/>
        <v>1</v>
      </c>
      <c r="AB42" s="1102">
        <f t="shared" si="4"/>
        <v>1.0204081632653061</v>
      </c>
      <c r="AC42" s="1102">
        <f t="shared" si="5"/>
        <v>1</v>
      </c>
    </row>
    <row r="43" spans="1:29" ht="15.6" thickBot="1">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21"/>
      <c r="Q43" s="621" t="str">
        <f t="shared" si="11"/>
        <v>内部装修维护情况</v>
      </c>
      <c r="R43" s="1118" t="s">
        <v>1358</v>
      </c>
      <c r="S43" s="1119">
        <f t="shared" si="12"/>
        <v>100</v>
      </c>
      <c r="T43" s="1118" t="s">
        <v>1358</v>
      </c>
      <c r="U43" s="1119">
        <f t="shared" si="13"/>
        <v>100</v>
      </c>
      <c r="V43" s="1118" t="s">
        <v>1358</v>
      </c>
      <c r="W43" s="1119">
        <f t="shared" si="14"/>
        <v>100</v>
      </c>
      <c r="X43" s="1113"/>
      <c r="Y43" s="3425"/>
      <c r="Z43" s="1102" t="str">
        <f t="shared" si="15"/>
        <v>内部装修维护情况</v>
      </c>
      <c r="AA43" s="1102">
        <f t="shared" si="3"/>
        <v>1</v>
      </c>
      <c r="AB43" s="1102">
        <f t="shared" si="4"/>
        <v>1</v>
      </c>
      <c r="AC43" s="1102">
        <f t="shared" si="5"/>
        <v>1</v>
      </c>
    </row>
    <row r="44" spans="1:29" s="899" customFormat="1" ht="15.6" thickTop="1">
      <c r="A44" s="993"/>
      <c r="B44" s="3195" t="s">
        <v>2869</v>
      </c>
      <c r="C44" s="1278" t="s">
        <v>2870</v>
      </c>
      <c r="D44" s="942">
        <v>100</v>
      </c>
      <c r="E44" s="1156" t="s">
        <v>2872</v>
      </c>
      <c r="F44" s="940">
        <f>SUMIF(126:126,E44,127:127)-SUMIF(126:126,C44,127:127)+100</f>
        <v>106</v>
      </c>
      <c r="G44" s="1156" t="s">
        <v>2872</v>
      </c>
      <c r="H44" s="942">
        <f>SUMIF(126:126,G44,127:127)-SUMIF(126:126,C44,127:127)+100</f>
        <v>106</v>
      </c>
      <c r="I44" s="1156" t="s">
        <v>2872</v>
      </c>
      <c r="J44" s="942">
        <f>SUMIF(126:126,I44,127:127)-SUMIF(126:126,C44,127:127)+100</f>
        <v>106</v>
      </c>
      <c r="K44" s="1087"/>
      <c r="L44" s="1070"/>
      <c r="M44" s="1071"/>
      <c r="N44" s="1071"/>
      <c r="O44" s="1071"/>
      <c r="P44" s="3421"/>
      <c r="Q44" s="790" t="str">
        <f t="shared" si="11"/>
        <v>套内占比</v>
      </c>
      <c r="R44" s="1114" t="s">
        <v>1358</v>
      </c>
      <c r="S44" s="1115">
        <f t="shared" si="12"/>
        <v>106</v>
      </c>
      <c r="T44" s="1114" t="s">
        <v>1358</v>
      </c>
      <c r="U44" s="1115">
        <f t="shared" si="13"/>
        <v>106</v>
      </c>
      <c r="V44" s="1114" t="s">
        <v>1358</v>
      </c>
      <c r="W44" s="1115">
        <f t="shared" si="14"/>
        <v>106</v>
      </c>
      <c r="X44" s="1116"/>
      <c r="Y44" s="3425"/>
      <c r="Z44" s="1126" t="str">
        <f t="shared" si="15"/>
        <v>套内占比</v>
      </c>
      <c r="AA44" s="1126">
        <f t="shared" si="3"/>
        <v>0.94339622641509435</v>
      </c>
      <c r="AB44" s="1126">
        <f t="shared" si="4"/>
        <v>0.94339622641509435</v>
      </c>
      <c r="AC44" s="1126">
        <f t="shared" si="5"/>
        <v>0.94339622641509435</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21"/>
      <c r="Q45" s="621">
        <f t="shared" si="11"/>
        <v>111</v>
      </c>
      <c r="R45" s="1118" t="s">
        <v>1358</v>
      </c>
      <c r="S45" s="1119">
        <f t="shared" si="12"/>
        <v>100</v>
      </c>
      <c r="T45" s="1118" t="s">
        <v>1358</v>
      </c>
      <c r="U45" s="1119">
        <f t="shared" si="13"/>
        <v>100</v>
      </c>
      <c r="V45" s="1118" t="s">
        <v>1358</v>
      </c>
      <c r="W45" s="1119">
        <f t="shared" si="14"/>
        <v>100</v>
      </c>
      <c r="X45" s="1113"/>
      <c r="Y45" s="3425"/>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22"/>
      <c r="Q46" s="621">
        <f t="shared" si="11"/>
        <v>111</v>
      </c>
      <c r="R46" s="1118" t="s">
        <v>1358</v>
      </c>
      <c r="S46" s="1119">
        <f t="shared" si="12"/>
        <v>100</v>
      </c>
      <c r="T46" s="1118" t="s">
        <v>1358</v>
      </c>
      <c r="U46" s="1119">
        <f t="shared" si="13"/>
        <v>100</v>
      </c>
      <c r="V46" s="1118" t="s">
        <v>1358</v>
      </c>
      <c r="W46" s="1119">
        <f t="shared" si="14"/>
        <v>100</v>
      </c>
      <c r="X46" s="1113"/>
      <c r="Y46" s="3426"/>
      <c r="Z46" s="1102">
        <f t="shared" si="15"/>
        <v>111</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411" t="str">
        <f>A47</f>
        <v>成交单价（元/平方米）</v>
      </c>
      <c r="Q47" s="3411"/>
      <c r="R47" s="3409">
        <f>E47</f>
        <v>33579</v>
      </c>
      <c r="S47" s="3409"/>
      <c r="T47" s="3409">
        <f>G47</f>
        <v>35081</v>
      </c>
      <c r="U47" s="3409"/>
      <c r="V47" s="3409">
        <f>I47</f>
        <v>33274</v>
      </c>
      <c r="W47" s="3409"/>
      <c r="X47" s="1055"/>
      <c r="Y47" s="1128"/>
      <c r="Z47" s="1055"/>
      <c r="AA47" s="1055"/>
      <c r="AB47" s="1055"/>
      <c r="AC47" s="1055"/>
    </row>
    <row r="48" spans="1:29" ht="15" thickBot="1">
      <c r="A48" s="1006" t="s">
        <v>1401</v>
      </c>
      <c r="B48" s="1293"/>
      <c r="C48" s="1294">
        <f>R49</f>
        <v>30735</v>
      </c>
      <c r="D48" s="1009" t="s">
        <v>1402</v>
      </c>
      <c r="E48" s="1295">
        <f>R48</f>
        <v>30856</v>
      </c>
      <c r="F48" s="1010"/>
      <c r="G48" s="1294">
        <f>T48</f>
        <v>32894</v>
      </c>
      <c r="H48" s="1010"/>
      <c r="I48" s="1295">
        <f>V48</f>
        <v>28454</v>
      </c>
      <c r="J48" s="1010"/>
      <c r="K48" s="1095">
        <f>F48+H48+J48</f>
        <v>0</v>
      </c>
      <c r="L48" s="1094"/>
      <c r="M48" s="1015"/>
      <c r="N48" s="1015"/>
      <c r="O48" s="1015"/>
      <c r="P48" s="3411" t="str">
        <f>A48</f>
        <v>比较价值（元/平方米）</v>
      </c>
      <c r="Q48" s="3411"/>
      <c r="R48" s="3409">
        <f>IF(F1="售价",ROUND(PRODUCT(R47,AA7:AA46),0),ROUND(PRODUCT(R47,AA7:AA46),1))</f>
        <v>30856</v>
      </c>
      <c r="S48" s="3409"/>
      <c r="T48" s="3409">
        <f>IF(F1="售价",ROUND(PRODUCT(T47,AB7:AB46),0),ROUND(PRODUCT(T47,AB7:AB46),1))</f>
        <v>32894</v>
      </c>
      <c r="U48" s="3409"/>
      <c r="V48" s="3409">
        <f>IF(F1="售价",ROUND(PRODUCT(V47,AC7:AC46),0),ROUND(PRODUCT(V47,AC7:AC46),1))</f>
        <v>28454</v>
      </c>
      <c r="W48" s="3409"/>
      <c r="X48" s="1055"/>
      <c r="Y48" s="1055"/>
      <c r="Z48" s="1055"/>
      <c r="AA48" s="1055"/>
      <c r="AB48" s="1055"/>
      <c r="AC48" s="1055"/>
    </row>
    <row r="49" spans="1:29" ht="15" thickBot="1">
      <c r="A49" s="1012" t="s">
        <v>1403</v>
      </c>
      <c r="B49" s="1013"/>
      <c r="C49" s="925">
        <f>R49</f>
        <v>30735</v>
      </c>
      <c r="D49" s="925"/>
      <c r="E49" s="925"/>
      <c r="F49" s="925"/>
      <c r="G49" s="925"/>
      <c r="H49" s="925"/>
      <c r="I49" s="925"/>
      <c r="J49" s="925"/>
      <c r="K49" s="1096"/>
      <c r="L49" s="1094"/>
      <c r="M49" s="1015"/>
      <c r="N49" s="1015"/>
      <c r="O49" s="1015"/>
      <c r="P49" s="3445" t="str">
        <f>A49</f>
        <v>估价对象XX用房的比较价值（楼面单价，元/平方米）</v>
      </c>
      <c r="Q49" s="3446"/>
      <c r="R49" s="3447">
        <f>IF(F1="售价",ROUND(IF(D48="简单平均",AVERAGE(R48:V48),R48*F48+T48*H48+V48*J48),0),ROUND(IF(D48="简单平均",AVERAGE(R48:V48),R48*F48+T48*H48+V48*J48),1))</f>
        <v>30735</v>
      </c>
      <c r="S49" s="3447"/>
      <c r="T49" s="3447"/>
      <c r="U49" s="3447"/>
      <c r="V49" s="3447"/>
      <c r="W49" s="3447"/>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8.8248638838475557E-2</v>
      </c>
      <c r="F52" s="1019" t="str">
        <f>IF(OR(E52&gt;=0.3,E52&lt;=-0.3),"超过30%","")</f>
        <v/>
      </c>
      <c r="G52" s="1018">
        <f>IF(G47&lt;G48,G48/G47-1,G47/G48-1)</f>
        <v>6.6486289292880141E-2</v>
      </c>
      <c r="H52" s="1019" t="str">
        <f>IF(OR(G52&gt;=0.3,G52&lt;=-0.3),"超过30%","")</f>
        <v/>
      </c>
      <c r="I52" s="1018">
        <f>IF(I47&lt;I48,I48/I47-1,I47/I48-1)</f>
        <v>0.1693962184578619</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6.6048742546020334E-2</v>
      </c>
      <c r="F53" s="1019" t="str">
        <f>IF(OR(E53&gt;=0.2,E53&lt;=-0.2),"超过20%","")</f>
        <v/>
      </c>
      <c r="G53" s="1018">
        <f>IF(G48&lt;I48,I48/G48-1,G48/I48-1)</f>
        <v>0.15604132986574815</v>
      </c>
      <c r="H53" s="1019" t="str">
        <f>IF(OR(G53&gt;=0.2,G53&lt;=-0.2),"超过20%","")</f>
        <v/>
      </c>
      <c r="I53" s="1018">
        <f>IF(I48&lt;E48,E48/I48-1,I48/E48-1)</f>
        <v>8.4416953679623319E-2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2799</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1366</v>
      </c>
      <c r="C65" s="1170" t="s">
        <v>2852</v>
      </c>
      <c r="D65" s="3192" t="s">
        <v>2851</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1606</v>
      </c>
      <c r="C86" s="2106" t="s">
        <v>2862</v>
      </c>
      <c r="D86" s="2106" t="s">
        <v>2864</v>
      </c>
      <c r="E86" s="2106" t="s">
        <v>2800</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2801</v>
      </c>
      <c r="D88" s="2106" t="s">
        <v>2802</v>
      </c>
      <c r="E88" s="2106" t="s">
        <v>2803</v>
      </c>
      <c r="F88" s="3180" t="s">
        <v>2804</v>
      </c>
      <c r="G88" s="2106" t="s">
        <v>2805</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2806</v>
      </c>
      <c r="D90" s="2106" t="s">
        <v>2807</v>
      </c>
      <c r="E90" s="2106" t="s">
        <v>2803</v>
      </c>
      <c r="F90" s="2106" t="s">
        <v>2808</v>
      </c>
      <c r="G90" s="2106" t="s">
        <v>2809</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2828</v>
      </c>
      <c r="P91" s="3181"/>
      <c r="Q91" s="1123"/>
      <c r="R91" s="1015"/>
      <c r="S91" s="1015"/>
      <c r="T91" s="1015"/>
      <c r="U91" s="1015"/>
      <c r="V91" s="1089"/>
      <c r="W91" s="1089"/>
      <c r="X91" s="1089"/>
      <c r="Y91" s="1089"/>
      <c r="Z91" s="1089"/>
      <c r="AA91" s="1089"/>
      <c r="AB91" s="1089"/>
      <c r="AC91" s="1089"/>
    </row>
    <row r="92" spans="1:29" ht="15" thickTop="1">
      <c r="A92" s="943"/>
      <c r="B92" s="1148" t="str">
        <f>B28</f>
        <v>楼层</v>
      </c>
      <c r="C92" s="2106" t="s">
        <v>2846</v>
      </c>
      <c r="D92" s="1156"/>
      <c r="E92" s="1156"/>
      <c r="F92" s="1156"/>
      <c r="G92" s="1156"/>
      <c r="H92" s="1156"/>
      <c r="I92" s="1156"/>
      <c r="J92" s="1156"/>
      <c r="K92" s="1156"/>
      <c r="L92" s="1313"/>
      <c r="M92" s="1314"/>
      <c r="N92" s="3109" t="s">
        <v>2829</v>
      </c>
      <c r="O92" s="3181">
        <v>0.5</v>
      </c>
      <c r="P92" s="3181"/>
      <c r="R92" s="3182">
        <v>1</v>
      </c>
      <c r="S92" s="3183"/>
      <c r="T92" s="3184">
        <f>('数据-汇总表'!F19-T96)/4</f>
        <v>58.307499999999997</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1" t="s">
        <v>2830</v>
      </c>
      <c r="O93" s="3181">
        <v>1</v>
      </c>
      <c r="P93" s="3181"/>
      <c r="R93" s="3182">
        <v>2</v>
      </c>
      <c r="S93" s="3183"/>
      <c r="T93" s="3184">
        <f>T92</f>
        <v>58.307499999999997</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1" t="s">
        <v>2831</v>
      </c>
      <c r="O94" s="3181">
        <v>0.7</v>
      </c>
      <c r="P94" s="3181"/>
      <c r="R94" s="3182">
        <v>3</v>
      </c>
      <c r="S94" s="3183"/>
      <c r="T94" s="3184">
        <f>T92</f>
        <v>58.307499999999997</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1" t="s">
        <v>2832</v>
      </c>
      <c r="O95" s="3181">
        <v>0.6</v>
      </c>
      <c r="P95" s="3181"/>
      <c r="R95" s="3182">
        <v>4</v>
      </c>
      <c r="S95" s="3183"/>
      <c r="T95" s="3184">
        <f>T92</f>
        <v>58.307499999999997</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9" t="s">
        <v>2833</v>
      </c>
      <c r="O96" s="3181">
        <v>0.5</v>
      </c>
      <c r="P96" s="3181"/>
      <c r="Q96" s="901"/>
      <c r="R96" s="3182" t="s">
        <v>2838</v>
      </c>
      <c r="S96" s="3183"/>
      <c r="T96" s="3184">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1" t="s">
        <v>2834</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1" t="s">
        <v>2835</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9" t="s">
        <v>2836</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1381</v>
      </c>
      <c r="B100" s="1145" t="s">
        <v>1609</v>
      </c>
      <c r="C100" s="2107" t="s">
        <v>2810</v>
      </c>
      <c r="D100" s="2107" t="s">
        <v>2811</v>
      </c>
      <c r="E100" s="1091"/>
      <c r="F100" s="1091"/>
      <c r="G100" s="1091"/>
      <c r="H100" s="1091"/>
      <c r="I100" s="1091"/>
      <c r="J100" s="1091"/>
      <c r="K100" s="1184"/>
      <c r="L100" s="1185"/>
      <c r="M100" s="1186"/>
      <c r="N100" s="3109" t="s">
        <v>2837</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1385</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2812</v>
      </c>
      <c r="D105" s="2106" t="s">
        <v>2813</v>
      </c>
      <c r="E105" s="2108" t="s">
        <v>2814</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2815</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2816</v>
      </c>
      <c r="D112" s="2106" t="s">
        <v>2817</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1610</v>
      </c>
      <c r="C114" s="2106" t="s">
        <v>2818</v>
      </c>
      <c r="D114" s="2106" t="s">
        <v>2819</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1394</v>
      </c>
      <c r="C116" s="2106" t="s">
        <v>2820</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2821</v>
      </c>
      <c r="D120" s="2108" t="s">
        <v>2822</v>
      </c>
      <c r="E120" s="2108" t="s">
        <v>2803</v>
      </c>
      <c r="F120" s="2108" t="s">
        <v>2823</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1397</v>
      </c>
      <c r="C122" s="2106" t="s">
        <v>2824</v>
      </c>
      <c r="D122" s="2106" t="s">
        <v>2825</v>
      </c>
      <c r="E122" s="2106" t="s">
        <v>2826</v>
      </c>
      <c r="F122" s="2108" t="s">
        <v>2827</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15"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套内占比</v>
      </c>
      <c r="C126" s="1156" t="s">
        <v>2872</v>
      </c>
      <c r="D126" s="1156" t="s">
        <v>2871</v>
      </c>
      <c r="E126" s="1278" t="s">
        <v>2870</v>
      </c>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106</v>
      </c>
      <c r="D127" s="1147">
        <v>103</v>
      </c>
      <c r="E127" s="1147">
        <v>100</v>
      </c>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tabColor rgb="FF92D050"/>
  </sheetPr>
  <dimension ref="A1:AK83"/>
  <sheetViews>
    <sheetView view="pageBreakPreview" topLeftCell="A10" zoomScale="70" zoomScaleNormal="70" workbookViewId="0">
      <selection activeCell="F38" sqref="F38"/>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112</v>
      </c>
      <c r="D1" s="1827" t="s">
        <v>124</v>
      </c>
      <c r="E1" s="1828" t="s">
        <v>1147</v>
      </c>
      <c r="F1" s="1829">
        <f ca="1">J53</f>
        <v>27.79</v>
      </c>
      <c r="G1" s="1830">
        <f>MATCH(C1,'数据-取费表'!A6:A16,0)+5</f>
        <v>8</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335.29700000000003</v>
      </c>
      <c r="C2" s="1833" t="s">
        <v>1149</v>
      </c>
      <c r="D2" s="1834">
        <f ca="1">C40+J29+L46</f>
        <v>3352970</v>
      </c>
      <c r="E2" s="1835" t="s">
        <v>1438</v>
      </c>
      <c r="F2" s="1836"/>
      <c r="G2" s="1837"/>
      <c r="H2" s="1838"/>
      <c r="I2" s="1838"/>
      <c r="J2" s="1838"/>
      <c r="K2" s="1993"/>
      <c r="L2" s="1838"/>
      <c r="M2" s="1838"/>
    </row>
    <row r="3" spans="1:37" ht="18" customHeight="1" thickBot="1">
      <c r="A3" s="1839" t="s">
        <v>1150</v>
      </c>
      <c r="B3" s="1840">
        <f ca="1">IF(ISERROR(D2/F43),0,ROUND(D2/F43,0))</f>
        <v>21581</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232518</v>
      </c>
      <c r="D5" s="1849" t="s">
        <v>1159</v>
      </c>
      <c r="E5" s="1850"/>
      <c r="F5" s="1851"/>
      <c r="G5" s="714"/>
      <c r="H5" s="1846">
        <v>1</v>
      </c>
      <c r="I5" s="1847" t="s">
        <v>1158</v>
      </c>
      <c r="J5" s="1848">
        <f ca="1">J6+J10+J12</f>
        <v>0</v>
      </c>
      <c r="K5" s="1849" t="s">
        <v>1159</v>
      </c>
      <c r="L5" s="1850"/>
      <c r="M5" s="1851"/>
    </row>
    <row r="6" spans="1:37" ht="18" customHeight="1">
      <c r="A6" s="1852" t="s">
        <v>905</v>
      </c>
      <c r="B6" s="3387" t="s">
        <v>1160</v>
      </c>
      <c r="C6" s="1853">
        <f ca="1">ROUND(F6*F8*F7*(1-F9),0)</f>
        <v>232228</v>
      </c>
      <c r="D6" s="1854" t="s">
        <v>1439</v>
      </c>
      <c r="E6" s="1855" t="s">
        <v>1162</v>
      </c>
      <c r="F6" s="1856">
        <f ca="1">INDIRECT("'数据-取费表'!u"&amp;$G$1)</f>
        <v>4.55</v>
      </c>
      <c r="G6" s="714"/>
      <c r="H6" s="1852" t="s">
        <v>905</v>
      </c>
      <c r="I6" s="3387" t="s">
        <v>1160</v>
      </c>
      <c r="J6" s="1926">
        <f ca="1">ROUND(M6*M8*M7*(1-M9),0)</f>
        <v>0</v>
      </c>
      <c r="K6" s="1996" t="s">
        <v>1440</v>
      </c>
      <c r="L6" s="1855" t="s">
        <v>1162</v>
      </c>
      <c r="M6" s="1856">
        <f ca="1">INDIRECT("'数据-取费表'!z"&amp;$G$1)</f>
        <v>0</v>
      </c>
    </row>
    <row r="7" spans="1:37" ht="18" customHeight="1">
      <c r="A7" s="1857"/>
      <c r="B7" s="3388"/>
      <c r="C7" s="1858"/>
      <c r="D7" s="1859"/>
      <c r="E7" s="1860" t="s">
        <v>1164</v>
      </c>
      <c r="F7" s="1856">
        <f ca="1">IF(INDIRECT("'数据-取费表'!ah"&amp;$G$1)="",INDIRECT("'数据-取费表'!k"&amp;$G$1),INDIRECT("'数据-取费表'!ah"&amp;$G$1))</f>
        <v>155.37</v>
      </c>
      <c r="G7" s="714"/>
      <c r="H7" s="1861"/>
      <c r="I7" s="3388"/>
      <c r="J7" s="1862"/>
      <c r="K7" s="1859"/>
      <c r="L7" s="1855" t="s">
        <v>1164</v>
      </c>
      <c r="M7" s="1856">
        <f ca="1">F7</f>
        <v>155.37</v>
      </c>
    </row>
    <row r="8" spans="1:37" ht="18" customHeight="1">
      <c r="A8" s="1861"/>
      <c r="B8" s="3388"/>
      <c r="C8" s="1862"/>
      <c r="D8" s="1859"/>
      <c r="E8" s="1855" t="s">
        <v>1165</v>
      </c>
      <c r="F8" s="1856">
        <f ca="1">INDIRECT("'数据-取费表'!ai"&amp;$G$1)</f>
        <v>365</v>
      </c>
      <c r="G8" s="714"/>
      <c r="H8" s="1861"/>
      <c r="I8" s="3388"/>
      <c r="J8" s="1862"/>
      <c r="K8" s="1859"/>
      <c r="L8" s="1855" t="s">
        <v>1165</v>
      </c>
      <c r="M8" s="1856">
        <f ca="1">INDIRECT("'数据-取费表'!ai"&amp;$G$1)</f>
        <v>365</v>
      </c>
    </row>
    <row r="9" spans="1:37" ht="18" customHeight="1">
      <c r="A9" s="1861"/>
      <c r="B9" s="3389"/>
      <c r="C9" s="1862"/>
      <c r="D9" s="1859"/>
      <c r="E9" s="1855" t="s">
        <v>1166</v>
      </c>
      <c r="F9" s="1863">
        <f ca="1">INDIRECT("'数据-取费表'!w"&amp;$G$1)</f>
        <v>0.1</v>
      </c>
      <c r="G9" s="714"/>
      <c r="H9" s="1861"/>
      <c r="I9" s="3389"/>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290</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752548</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621480</v>
      </c>
      <c r="D14" s="1886" t="s">
        <v>1177</v>
      </c>
      <c r="E14" s="1887"/>
      <c r="F14" s="1888"/>
      <c r="G14" s="714"/>
      <c r="H14" s="1884" t="s">
        <v>905</v>
      </c>
      <c r="I14" s="1855" t="s">
        <v>1178</v>
      </c>
      <c r="J14" s="1469">
        <f ca="1">C29</f>
        <v>906684</v>
      </c>
      <c r="K14" s="2005"/>
      <c r="L14" s="2006"/>
      <c r="M14" s="2007"/>
    </row>
    <row r="15" spans="1:37" s="1823" customFormat="1" ht="18" customHeight="1" thickBot="1">
      <c r="A15" s="1884" t="s">
        <v>933</v>
      </c>
      <c r="B15" s="1855" t="s">
        <v>1107</v>
      </c>
      <c r="C15" s="1469">
        <f ca="1">ROUND(C14*F15,0)</f>
        <v>31074</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1813</v>
      </c>
      <c r="K16" s="1904" t="s">
        <v>1183</v>
      </c>
      <c r="L16" s="1905"/>
      <c r="M16" s="1851"/>
    </row>
    <row r="17" spans="1:37" s="1823" customFormat="1" ht="18" customHeight="1">
      <c r="A17" s="1884" t="s">
        <v>1184</v>
      </c>
      <c r="B17" s="1855" t="s">
        <v>1185</v>
      </c>
      <c r="C17" s="1469">
        <f ca="1">ROUND(F17*(F43+INDIRECT("'数据-取费表'!S"&amp;$G$1)),0)</f>
        <v>31074</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12430</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696058</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13921</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1813</v>
      </c>
      <c r="K22" s="1908" t="s">
        <v>1209</v>
      </c>
      <c r="L22" s="1855" t="s">
        <v>1180</v>
      </c>
      <c r="M22" s="1920">
        <f ca="1">INDIRECT("'数据-取费表'!Ak"&amp;$G$1)</f>
        <v>2E-3</v>
      </c>
    </row>
    <row r="23" spans="1:37" s="1823" customFormat="1" ht="18" customHeight="1">
      <c r="A23" s="1884" t="s">
        <v>928</v>
      </c>
      <c r="B23" s="1855" t="s">
        <v>1210</v>
      </c>
      <c r="C23" s="1469">
        <f ca="1">IF('数据-取费表'!B22&lt;=1,ROUND(C19*F24*F23/2,0)+ROUND(C20*F24*F23/2,0),ROUND(C19*(POWER((1+F24),F23/2)-1),0)+ROUND(C20*(POWER((1+F24),F23/2)-1),0))</f>
        <v>21300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-1813</v>
      </c>
      <c r="K25" s="1923" t="s">
        <v>1221</v>
      </c>
      <c r="L25" s="1924"/>
      <c r="M25" s="1925"/>
    </row>
    <row r="26" spans="1:37" ht="18" customHeight="1">
      <c r="A26" s="1884" t="s">
        <v>928</v>
      </c>
      <c r="B26" s="1855" t="s">
        <v>1222</v>
      </c>
      <c r="C26" s="1469">
        <f ca="1">ROUND((C19+C20)*F26,0)</f>
        <v>106497</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906684</v>
      </c>
      <c r="D29" s="1901"/>
      <c r="E29" s="1877"/>
      <c r="F29" s="1902"/>
      <c r="G29" s="1891"/>
      <c r="H29" s="1903" t="s">
        <v>1237</v>
      </c>
      <c r="I29" s="1932" t="s">
        <v>1238</v>
      </c>
      <c r="J29" s="1933">
        <f ca="1">ROUND(J26/(1+F40)^F41,0)</f>
        <v>0</v>
      </c>
      <c r="K29" s="1934" t="s">
        <v>1239</v>
      </c>
      <c r="L29" s="1935"/>
      <c r="M29" s="1936">
        <f ca="1">INDIRECT("'数据-取费表'!k"&amp;$G$1)</f>
        <v>155.37</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42433</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38704</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IF(项目基本情况!B11="自然人","——",ROUND(C6*F32/(1+'数据-取费表'!C42),0))</f>
        <v>12164</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IF(项目基本情况!B11="自然人","——",IF(D33="按租金收入计税",ROUND(C6*F33/(1+'数据-取费表'!C42),0),IF(D33="按房产原值计税",ROUND(C29*F33*0.7,0),INDIRECT("'数据-取费表'!Aj"&amp;$G$1))))</f>
        <v>26540</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IF(项目基本情况!B11="自然人","——",ROUND(F34*F35,0))</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1813</v>
      </c>
      <c r="D36" s="1908" t="s">
        <v>1241</v>
      </c>
      <c r="E36" s="1855" t="s">
        <v>1180</v>
      </c>
      <c r="F36" s="1920">
        <f ca="1">INDIRECT("'数据-取费表'!Ak"&amp;$G$1)</f>
        <v>2E-3</v>
      </c>
      <c r="G36" s="714"/>
      <c r="H36" s="1912"/>
      <c r="I36" s="2012"/>
      <c r="J36" s="2013"/>
      <c r="K36" s="2019"/>
      <c r="L36" s="1912"/>
      <c r="M36" s="1912"/>
    </row>
    <row r="37" spans="1:18" ht="18" customHeight="1">
      <c r="A37" s="1884" t="s">
        <v>956</v>
      </c>
      <c r="B37" s="1855" t="s">
        <v>1212</v>
      </c>
      <c r="C37" s="1469">
        <f ca="1">ROUND(C13*F37,0)</f>
        <v>753</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1163</v>
      </c>
      <c r="D38" s="1901" t="s">
        <v>1216</v>
      </c>
      <c r="E38" s="1877" t="s">
        <v>1180</v>
      </c>
      <c r="F38" s="1878">
        <f ca="1">INDIRECT("'数据-取费表'!Am"&amp;$G$1)</f>
        <v>5.0000000000000001E-3</v>
      </c>
      <c r="G38" s="714"/>
      <c r="H38" s="1912"/>
      <c r="I38" s="2012"/>
      <c r="J38" s="2013"/>
      <c r="K38" s="2014"/>
      <c r="L38" s="1912"/>
      <c r="M38" s="1912"/>
    </row>
    <row r="39" spans="1:18" ht="24.6" customHeight="1" thickTop="1">
      <c r="A39" s="1879" t="s">
        <v>1219</v>
      </c>
      <c r="B39" s="1922" t="s">
        <v>1220</v>
      </c>
      <c r="C39" s="1881">
        <f ca="1">C5-C30</f>
        <v>190085</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3304366</v>
      </c>
      <c r="D40" s="1914" t="s">
        <v>1227</v>
      </c>
      <c r="E40" s="1855" t="s">
        <v>1228</v>
      </c>
      <c r="F40" s="1863">
        <f ca="1">INDIRECT("'数据-取费表'!I"&amp;$G$1)</f>
        <v>5.5E-2</v>
      </c>
      <c r="G40" s="714"/>
      <c r="H40" s="1927">
        <f ca="1">C39/C5</f>
        <v>0.817506601639443</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thickBot="1">
      <c r="A43" s="1903" t="s">
        <v>1237</v>
      </c>
      <c r="B43" s="1932" t="s">
        <v>1243</v>
      </c>
      <c r="C43" s="1933">
        <f ca="1">ROUND(C40/F43,0)</f>
        <v>21268</v>
      </c>
      <c r="D43" s="1934" t="s">
        <v>1244</v>
      </c>
      <c r="E43" s="1935" t="s">
        <v>1245</v>
      </c>
      <c r="F43" s="1936">
        <f ca="1">INDIRECT("'数据-取费表'!k"&amp;$G$1)</f>
        <v>155.37</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-334.04840000000002</v>
      </c>
      <c r="D45" s="1941" t="s">
        <v>1446</v>
      </c>
      <c r="E45" s="1937"/>
      <c r="F45" s="1937"/>
      <c r="O45" s="2021" t="s">
        <v>1246</v>
      </c>
      <c r="P45" s="1927"/>
      <c r="Q45" s="1927"/>
      <c r="R45" s="1927"/>
    </row>
    <row r="46" spans="1:18" s="714" customFormat="1" ht="13.8" thickBot="1">
      <c r="A46" s="1942" t="s">
        <v>1247</v>
      </c>
      <c r="C46" s="1943">
        <f ca="1">ROUND(C45,0)</f>
        <v>-334</v>
      </c>
      <c r="D46" s="1944" t="str">
        <f>C2</f>
        <v>万元</v>
      </c>
      <c r="I46" s="2022" t="s">
        <v>1248</v>
      </c>
      <c r="J46" s="2023"/>
      <c r="K46" s="2024"/>
      <c r="L46" s="2025">
        <f ca="1">IF(M47="住宅",0,IF(L48&gt;J51,L60,J60))</f>
        <v>48604</v>
      </c>
      <c r="O46" s="2026" t="s">
        <v>1249</v>
      </c>
      <c r="P46" s="2027" t="s">
        <v>1250</v>
      </c>
      <c r="Q46" s="2069" t="s">
        <v>1251</v>
      </c>
      <c r="R46" s="2069" t="s">
        <v>1252</v>
      </c>
    </row>
    <row r="47" spans="1:18" s="714" customFormat="1" ht="13.8"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3304366</v>
      </c>
      <c r="R47" s="2070" t="s">
        <v>1256</v>
      </c>
    </row>
    <row r="48" spans="1:18" s="714" customFormat="1" ht="40.200000000000003"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48604</v>
      </c>
      <c r="R48" s="2070" t="s">
        <v>1261</v>
      </c>
    </row>
    <row r="49" spans="1:18" s="714" customFormat="1" ht="13.8"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906684</v>
      </c>
      <c r="R49" s="2070" t="s">
        <v>1256</v>
      </c>
    </row>
    <row r="50" spans="1:18" s="714" customFormat="1" ht="13.8" thickBot="1">
      <c r="A50" s="1960"/>
      <c r="B50" s="1431"/>
      <c r="C50" s="1961"/>
      <c r="D50" s="1962"/>
      <c r="E50" s="1963" t="s">
        <v>1164</v>
      </c>
      <c r="F50" s="1964">
        <f ca="1">F7</f>
        <v>155.37</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8"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2508485</v>
      </c>
      <c r="M51" s="2047"/>
      <c r="O51" s="2041" t="s">
        <v>1275</v>
      </c>
      <c r="P51" s="2034" t="s">
        <v>1276</v>
      </c>
      <c r="Q51" s="2071">
        <f>J52</f>
        <v>7.4999999999999997E-2</v>
      </c>
      <c r="R51" s="2070"/>
    </row>
    <row r="52" spans="1:18" s="714" customFormat="1" ht="13.8" thickBo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85" t="s">
        <v>1284</v>
      </c>
      <c r="L53" s="3386"/>
      <c r="O53" s="2033" t="s">
        <v>1109</v>
      </c>
      <c r="P53" s="2034" t="s">
        <v>1285</v>
      </c>
      <c r="Q53" s="2070">
        <f ca="1">Q47+Q48</f>
        <v>3352970</v>
      </c>
      <c r="R53" s="2070" t="s">
        <v>1286</v>
      </c>
    </row>
    <row r="54" spans="1:18" s="714" customFormat="1" ht="13.8"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8" thickBo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752548</v>
      </c>
      <c r="D56" s="1974"/>
      <c r="E56" s="1975"/>
      <c r="F56" s="1971"/>
      <c r="I56" s="2058" t="s">
        <v>1290</v>
      </c>
      <c r="J56" s="2059" t="s">
        <v>1450</v>
      </c>
      <c r="K56" s="2035" t="s">
        <v>1291</v>
      </c>
      <c r="L56" s="2038" t="str">
        <f ca="1">IF(L48&lt;J51,"——",L48-J51)</f>
        <v>——</v>
      </c>
      <c r="O56" s="2033" t="s">
        <v>1012</v>
      </c>
      <c r="P56" s="2034" t="s">
        <v>1255</v>
      </c>
      <c r="Q56" s="2070">
        <f ca="1">C40+J29</f>
        <v>3304366</v>
      </c>
      <c r="R56" s="2070" t="s">
        <v>1256</v>
      </c>
    </row>
    <row r="57" spans="1:18" s="714" customFormat="1" ht="24.6" thickBot="1">
      <c r="A57" s="1976"/>
      <c r="B57" s="1977" t="s">
        <v>1236</v>
      </c>
      <c r="C57" s="388">
        <f ca="1">C29</f>
        <v>906684</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6" thickBot="1">
      <c r="A58" s="1981" t="s">
        <v>1181</v>
      </c>
      <c r="B58" s="1973" t="s">
        <v>1182</v>
      </c>
      <c r="C58" s="1468">
        <f ca="1">ROUND(C59+C64+C65+C66,0)</f>
        <v>2566</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6" thickBot="1">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f ca="1">IF(OR(M47="住宅",J51&lt;L48,J56="是"),"——",ROUND(C29*J58,0))</f>
        <v>362674</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2" thickBot="1">
      <c r="A60" s="1884" t="s">
        <v>928</v>
      </c>
      <c r="B60" s="1977" t="s">
        <v>1192</v>
      </c>
      <c r="C60" s="1469">
        <f ca="1">IF(项目基本情况!B11="自然人","——",ROUND(C48*F60/(1+'数据-取费表'!C42),0))</f>
        <v>0</v>
      </c>
      <c r="D60" s="1985" t="s">
        <v>1193</v>
      </c>
      <c r="E60" s="1977" t="s">
        <v>1180</v>
      </c>
      <c r="F60" s="1899">
        <f t="shared" ref="F60:F66" si="0">F32</f>
        <v>5.5000000000000007E-2</v>
      </c>
      <c r="I60" s="2063" t="s">
        <v>1301</v>
      </c>
      <c r="J60" s="2064">
        <f ca="1">IF(OR(M47="住宅",J51&lt;L48,J56="是"),"0",ROUND(J59/(1+J52)^J53,0))</f>
        <v>48604</v>
      </c>
      <c r="K60" s="2065" t="s">
        <v>1302</v>
      </c>
      <c r="L60" s="2064">
        <f ca="1">IF(OR(M47="住宅",L48&lt;J51),0,ROUND(L57*(L58/L59-1),0))</f>
        <v>0</v>
      </c>
      <c r="O60" s="2041" t="s">
        <v>1275</v>
      </c>
      <c r="P60" s="2034" t="s">
        <v>1303</v>
      </c>
      <c r="Q60" s="2070" t="e">
        <f ca="1">L58</f>
        <v>#DIV/0!</v>
      </c>
      <c r="R60" s="2070" t="s">
        <v>1304</v>
      </c>
    </row>
    <row r="61" spans="1:18" s="714" customFormat="1" ht="13.8" thickBot="1">
      <c r="A61" s="1884" t="s">
        <v>933</v>
      </c>
      <c r="B61" s="1977" t="s">
        <v>1196</v>
      </c>
      <c r="C61" s="1469">
        <f ca="1">IF(项目基本情况!B11="自然人","——",IF(D61="按租金收入计税",ROUND(C49*F61/(1+'数据-取费表'!C42),0),IF(D61="按房产原值计税",ROUND(C57*F61*0.7,0),INDIRECT("'数据-取费表'!Aj"&amp;$G$1))))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8" thickBot="1">
      <c r="A62" s="1884" t="s">
        <v>936</v>
      </c>
      <c r="B62" s="1986" t="s">
        <v>1200</v>
      </c>
      <c r="C62" s="1913">
        <f ca="1">IF(项目基本情况!B11="自然人","——",ROUND(F62*F63,0))</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3304366</v>
      </c>
      <c r="R62" s="2070" t="s">
        <v>1286</v>
      </c>
    </row>
    <row r="63" spans="1:18" s="714" customFormat="1" ht="13.8"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8" thickBot="1">
      <c r="A64" s="1884" t="s">
        <v>909</v>
      </c>
      <c r="B64" s="1977" t="s">
        <v>1208</v>
      </c>
      <c r="C64" s="1469">
        <f ca="1">ROUND(C57*F64,0)</f>
        <v>1813</v>
      </c>
      <c r="D64" s="1985" t="s">
        <v>1241</v>
      </c>
      <c r="E64" s="1977" t="s">
        <v>1180</v>
      </c>
      <c r="F64" s="1920">
        <f t="shared" ca="1" si="0"/>
        <v>2E-3</v>
      </c>
      <c r="I64" s="2066" t="s">
        <v>1313</v>
      </c>
      <c r="J64" s="1032">
        <v>50</v>
      </c>
      <c r="K64" s="1032">
        <v>35</v>
      </c>
      <c r="L64" s="1032">
        <v>60</v>
      </c>
      <c r="M64" s="2067">
        <v>0</v>
      </c>
      <c r="O64" s="2026" t="s">
        <v>1249</v>
      </c>
      <c r="P64" s="2027" t="s">
        <v>1250</v>
      </c>
      <c r="Q64" s="2069" t="s">
        <v>1251</v>
      </c>
      <c r="R64" s="2069" t="s">
        <v>1252</v>
      </c>
    </row>
    <row r="65" spans="1:18" s="714" customFormat="1" ht="13.8" thickBot="1">
      <c r="A65" s="1884" t="s">
        <v>956</v>
      </c>
      <c r="B65" s="1977" t="s">
        <v>1212</v>
      </c>
      <c r="C65" s="1469">
        <f ca="1">ROUND(C56*F65,0)</f>
        <v>753</v>
      </c>
      <c r="D65" s="1985" t="s">
        <v>1213</v>
      </c>
      <c r="E65" s="1977" t="s">
        <v>1180</v>
      </c>
      <c r="F65" s="1921">
        <f t="shared" ca="1" si="0"/>
        <v>1E-3</v>
      </c>
      <c r="I65" s="2066" t="s">
        <v>1314</v>
      </c>
      <c r="J65" s="1032">
        <v>40</v>
      </c>
      <c r="K65" s="1032">
        <v>30</v>
      </c>
      <c r="L65" s="1032">
        <v>50</v>
      </c>
      <c r="M65" s="2068">
        <v>0.02</v>
      </c>
      <c r="O65" s="2033" t="s">
        <v>1012</v>
      </c>
      <c r="P65" s="2034" t="s">
        <v>1255</v>
      </c>
      <c r="Q65" s="2070">
        <f ca="1">C40+J29</f>
        <v>3304366</v>
      </c>
      <c r="R65" s="2070" t="s">
        <v>1256</v>
      </c>
    </row>
    <row r="66" spans="1:18" s="714" customFormat="1" ht="16.2" thickBot="1">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24.6" thickBot="1">
      <c r="A67" s="1972" t="s">
        <v>1219</v>
      </c>
      <c r="B67" s="2072" t="s">
        <v>1220</v>
      </c>
      <c r="C67" s="1468">
        <f ca="1">C48-C58</f>
        <v>-2566</v>
      </c>
      <c r="D67" s="1984" t="s">
        <v>1221</v>
      </c>
      <c r="E67" s="2073"/>
      <c r="F67" s="2074"/>
      <c r="O67" s="2041" t="s">
        <v>1267</v>
      </c>
      <c r="P67" s="2034" t="s">
        <v>1298</v>
      </c>
      <c r="Q67" s="2094">
        <f ca="1">L51</f>
        <v>2508485</v>
      </c>
      <c r="R67" s="2070" t="s">
        <v>1315</v>
      </c>
    </row>
    <row r="68" spans="1:18" s="714" customFormat="1" ht="16.2" thickBot="1">
      <c r="A68" s="2075" t="s">
        <v>1225</v>
      </c>
      <c r="B68" s="2076" t="s">
        <v>1242</v>
      </c>
      <c r="C68" s="1926">
        <f ca="1">ROUND(C67*(1-((1+F70)/(1+F68))^F69)/(F68-F70),0)</f>
        <v>-36118</v>
      </c>
      <c r="D68" s="1987" t="s">
        <v>1227</v>
      </c>
      <c r="E68" s="1977" t="s">
        <v>1228</v>
      </c>
      <c r="F68" s="1863">
        <f ca="1">F40</f>
        <v>5.5E-2</v>
      </c>
      <c r="O68" s="2041" t="s">
        <v>1271</v>
      </c>
      <c r="P68" s="2093" t="s">
        <v>1316</v>
      </c>
      <c r="Q68" s="2070">
        <f ca="1">ROUND(Q69-Q70*Q71,0)</f>
        <v>137407</v>
      </c>
      <c r="R68" s="2070" t="s">
        <v>1317</v>
      </c>
    </row>
    <row r="69" spans="1:18" s="714" customFormat="1" ht="13.8" thickBot="1">
      <c r="A69" s="2077"/>
      <c r="B69" s="2078"/>
      <c r="C69" s="1862"/>
      <c r="D69" s="2079" t="s">
        <v>1231</v>
      </c>
      <c r="E69" s="1977" t="s">
        <v>1232</v>
      </c>
      <c r="F69" s="1930">
        <f ca="1">F41</f>
        <v>27.79</v>
      </c>
      <c r="O69" s="2041" t="s">
        <v>1318</v>
      </c>
      <c r="P69" s="2093" t="s">
        <v>1319</v>
      </c>
      <c r="Q69" s="2070">
        <f ca="1">C39</f>
        <v>190085</v>
      </c>
      <c r="R69" s="2070" t="s">
        <v>1256</v>
      </c>
    </row>
    <row r="70" spans="1:18" s="714" customFormat="1" ht="13.8" thickBot="1">
      <c r="A70" s="2080"/>
      <c r="B70" s="2081"/>
      <c r="C70" s="1881"/>
      <c r="D70" s="1989"/>
      <c r="E70" s="1977" t="s">
        <v>1235</v>
      </c>
      <c r="F70" s="1967"/>
      <c r="O70" s="2041" t="s">
        <v>1320</v>
      </c>
      <c r="P70" s="2093" t="s">
        <v>1321</v>
      </c>
      <c r="Q70" s="2070">
        <f ca="1">C13</f>
        <v>752548</v>
      </c>
      <c r="R70" s="2070" t="s">
        <v>1256</v>
      </c>
    </row>
    <row r="71" spans="1:18" s="714" customFormat="1" ht="13.8" thickBot="1">
      <c r="A71" s="2082" t="s">
        <v>1237</v>
      </c>
      <c r="B71" s="2083" t="s">
        <v>1243</v>
      </c>
      <c r="C71" s="1933">
        <f ca="1">ROUND(C68/F71,0)</f>
        <v>-232</v>
      </c>
      <c r="D71" s="2084" t="s">
        <v>1244</v>
      </c>
      <c r="E71" s="2085" t="s">
        <v>1245</v>
      </c>
      <c r="F71" s="1936">
        <f ca="1">F43</f>
        <v>155.37</v>
      </c>
      <c r="O71" s="2041" t="s">
        <v>1322</v>
      </c>
      <c r="P71" s="2093" t="s">
        <v>1323</v>
      </c>
      <c r="Q71" s="2071">
        <f ca="1">C76</f>
        <v>7.0000000000000007E-2</v>
      </c>
      <c r="R71" s="2070"/>
    </row>
    <row r="72" spans="1:18" s="714" customFormat="1" ht="13.8" thickBot="1">
      <c r="B72" s="1499"/>
      <c r="C72" s="1499"/>
      <c r="O72" s="2041" t="s">
        <v>1275</v>
      </c>
      <c r="P72" s="2034" t="s">
        <v>1300</v>
      </c>
      <c r="Q72" s="2071">
        <f>L52</f>
        <v>0</v>
      </c>
      <c r="R72" s="2070"/>
    </row>
    <row r="73" spans="1:18" ht="16.2" thickBot="1">
      <c r="A73" s="714"/>
      <c r="B73" s="1499"/>
      <c r="C73" s="1499"/>
      <c r="D73" s="714"/>
      <c r="E73" s="714"/>
      <c r="F73" s="714"/>
      <c r="O73" s="2041" t="s">
        <v>1279</v>
      </c>
      <c r="P73" s="2034" t="s">
        <v>1303</v>
      </c>
      <c r="Q73" s="2070" t="e">
        <f ca="1">L58</f>
        <v>#DIV/0!</v>
      </c>
      <c r="R73" s="2070" t="s">
        <v>1304</v>
      </c>
    </row>
    <row r="74" spans="1:18" ht="13.8"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8" thickBot="1">
      <c r="A75" s="714"/>
      <c r="B75" s="2087" t="s">
        <v>1326</v>
      </c>
      <c r="C75" s="2088">
        <f ca="1">ROUND(C13*C76,0)</f>
        <v>52678</v>
      </c>
      <c r="D75" s="714"/>
      <c r="E75" s="714"/>
      <c r="F75" s="714"/>
      <c r="K75" s="2020"/>
      <c r="L75" s="714"/>
      <c r="O75" s="2033" t="s">
        <v>1109</v>
      </c>
      <c r="P75" s="2034" t="s">
        <v>1285</v>
      </c>
      <c r="Q75" s="2070">
        <f ca="1">Q65+Q66</f>
        <v>3304366</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0.72299999999999998</v>
      </c>
    </row>
    <row r="80" spans="1:18">
      <c r="B80" s="2087" t="s">
        <v>1331</v>
      </c>
      <c r="C80" s="421">
        <f ca="1">ROUND(C75/C39,3)</f>
        <v>0.27700000000000002</v>
      </c>
    </row>
    <row r="81" spans="2:3">
      <c r="B81" s="418" t="s">
        <v>1332</v>
      </c>
      <c r="C81" s="388"/>
    </row>
    <row r="82" spans="2:3">
      <c r="B82" s="420" t="s">
        <v>1091</v>
      </c>
      <c r="C82" s="422">
        <f ca="1">1-C83</f>
        <v>0.77200000000000002</v>
      </c>
    </row>
    <row r="83" spans="2:3">
      <c r="B83" s="420" t="s">
        <v>1092</v>
      </c>
      <c r="C83" s="421">
        <f ca="1">ROUND(C13/C40,3)</f>
        <v>0.22800000000000001</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workbookViewId="0">
      <selection activeCell="N25" sqref="N25"/>
    </sheetView>
  </sheetViews>
  <sheetFormatPr defaultRowHeight="14.4"/>
  <sheetData/>
  <phoneticPr fontId="225"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2"/>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45839</v>
      </c>
      <c r="B1" s="227" t="s">
        <v>2631</v>
      </c>
      <c r="C1" s="228"/>
      <c r="D1" s="228"/>
      <c r="E1" s="228"/>
      <c r="F1" s="228"/>
      <c r="G1" s="228"/>
      <c r="H1" s="228"/>
      <c r="I1" s="228"/>
      <c r="J1" s="246"/>
      <c r="K1" s="228" t="s">
        <v>2632</v>
      </c>
      <c r="L1" s="228"/>
      <c r="M1" s="228"/>
      <c r="N1" s="228"/>
      <c r="O1" s="228"/>
      <c r="P1" s="228"/>
      <c r="Q1" s="246"/>
      <c r="R1" s="3522" t="s">
        <v>2633</v>
      </c>
      <c r="S1" s="3523"/>
      <c r="T1" s="3523"/>
      <c r="U1" s="3523"/>
      <c r="V1" s="3523"/>
      <c r="W1" s="3523"/>
      <c r="X1" s="246"/>
      <c r="Y1" s="3522" t="s">
        <v>2634</v>
      </c>
      <c r="Z1" s="3523"/>
      <c r="AA1" s="3523"/>
      <c r="AB1" s="3523"/>
      <c r="AC1" s="3523"/>
      <c r="AD1" s="3523"/>
    </row>
    <row r="2" spans="1:44" s="104" customFormat="1">
      <c r="B2" s="229"/>
      <c r="C2" s="230"/>
      <c r="D2" s="113" t="s">
        <v>2635</v>
      </c>
      <c r="E2" s="114" t="s">
        <v>1923</v>
      </c>
      <c r="F2" s="114" t="s">
        <v>562</v>
      </c>
      <c r="G2" s="114" t="s">
        <v>412</v>
      </c>
      <c r="H2" s="114" t="s">
        <v>408</v>
      </c>
      <c r="I2" s="114" t="s">
        <v>280</v>
      </c>
      <c r="J2" s="247"/>
      <c r="K2" s="113" t="s">
        <v>2635</v>
      </c>
      <c r="L2" s="114" t="s">
        <v>1923</v>
      </c>
      <c r="M2" s="114" t="s">
        <v>562</v>
      </c>
      <c r="N2" s="114" t="s">
        <v>412</v>
      </c>
      <c r="O2" s="114" t="s">
        <v>408</v>
      </c>
      <c r="P2" s="114" t="s">
        <v>280</v>
      </c>
      <c r="Q2" s="247"/>
      <c r="R2" s="113" t="s">
        <v>2635</v>
      </c>
      <c r="S2" s="114" t="s">
        <v>1923</v>
      </c>
      <c r="T2" s="114" t="s">
        <v>562</v>
      </c>
      <c r="U2" s="114" t="s">
        <v>412</v>
      </c>
      <c r="V2" s="114" t="s">
        <v>408</v>
      </c>
      <c r="W2" s="114" t="s">
        <v>280</v>
      </c>
      <c r="X2" s="247"/>
      <c r="Y2" s="113" t="s">
        <v>2635</v>
      </c>
      <c r="Z2" s="114" t="s">
        <v>1923</v>
      </c>
      <c r="AA2" s="114" t="s">
        <v>562</v>
      </c>
      <c r="AB2" s="114" t="s">
        <v>412</v>
      </c>
      <c r="AC2" s="114" t="s">
        <v>408</v>
      </c>
      <c r="AD2" s="114" t="s">
        <v>280</v>
      </c>
      <c r="AF2" t="s">
        <v>2635</v>
      </c>
      <c r="AG2" t="s">
        <v>1923</v>
      </c>
      <c r="AH2" t="s">
        <v>562</v>
      </c>
      <c r="AI2" t="s">
        <v>412</v>
      </c>
      <c r="AJ2" t="s">
        <v>408</v>
      </c>
      <c r="AK2" t="s">
        <v>280</v>
      </c>
      <c r="AM2" t="s">
        <v>2635</v>
      </c>
      <c r="AN2" t="s">
        <v>1923</v>
      </c>
      <c r="AO2" t="s">
        <v>562</v>
      </c>
      <c r="AP2" t="s">
        <v>412</v>
      </c>
      <c r="AQ2" t="s">
        <v>408</v>
      </c>
      <c r="AR2" t="s">
        <v>280</v>
      </c>
    </row>
    <row r="3" spans="1:44" s="223" customFormat="1" ht="13.2">
      <c r="A3" s="231" t="s">
        <v>2636</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2638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2639</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2640</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2641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2642</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2643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2644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2645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2646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2647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2648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2649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2650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2651</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2652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2653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2654</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2655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2657</v>
      </c>
    </row>
    <row r="27" spans="1:44">
      <c r="I27" s="262" t="s">
        <v>1550</v>
      </c>
    </row>
    <row r="29" spans="1:44" s="103" customFormat="1" ht="13.2">
      <c r="B29" s="227" t="s">
        <v>2658</v>
      </c>
      <c r="C29" s="228"/>
      <c r="D29" s="228"/>
      <c r="E29" s="228"/>
      <c r="F29" s="228"/>
      <c r="G29" s="228"/>
      <c r="H29" s="228"/>
      <c r="I29" s="228"/>
      <c r="J29" s="246"/>
      <c r="K29" s="228" t="s">
        <v>2632</v>
      </c>
      <c r="L29" s="228"/>
      <c r="M29" s="228"/>
      <c r="N29" s="228"/>
      <c r="O29" s="228"/>
      <c r="P29" s="228"/>
      <c r="Q29" s="246"/>
      <c r="R29" s="3522" t="s">
        <v>2633</v>
      </c>
      <c r="S29" s="3523"/>
      <c r="T29" s="3523"/>
      <c r="U29" s="3523"/>
      <c r="V29" s="3523"/>
      <c r="W29" s="3523"/>
      <c r="X29" s="246"/>
      <c r="Y29" s="3522" t="s">
        <v>2634</v>
      </c>
      <c r="Z29" s="3523"/>
      <c r="AA29" s="3523"/>
      <c r="AB29" s="3523"/>
      <c r="AC29" s="3523"/>
      <c r="AD29" s="3523"/>
    </row>
    <row r="30" spans="1:44" s="104" customFormat="1">
      <c r="B30" s="229"/>
      <c r="C30" s="230"/>
      <c r="D30" s="113" t="s">
        <v>2635</v>
      </c>
      <c r="E30" s="114" t="s">
        <v>1923</v>
      </c>
      <c r="F30" s="114" t="s">
        <v>562</v>
      </c>
      <c r="G30" s="114" t="s">
        <v>412</v>
      </c>
      <c r="H30" s="114"/>
      <c r="I30" s="114" t="s">
        <v>280</v>
      </c>
      <c r="J30" s="247"/>
      <c r="K30" s="113" t="s">
        <v>2635</v>
      </c>
      <c r="L30" s="114" t="s">
        <v>1923</v>
      </c>
      <c r="M30" s="114" t="s">
        <v>562</v>
      </c>
      <c r="N30" s="114" t="s">
        <v>412</v>
      </c>
      <c r="O30" s="114"/>
      <c r="P30" s="114" t="s">
        <v>280</v>
      </c>
      <c r="Q30" s="247"/>
      <c r="R30" s="113" t="s">
        <v>2635</v>
      </c>
      <c r="S30" s="114" t="s">
        <v>1923</v>
      </c>
      <c r="T30" s="114" t="s">
        <v>562</v>
      </c>
      <c r="U30" s="114" t="s">
        <v>412</v>
      </c>
      <c r="V30" s="114"/>
      <c r="W30" s="114" t="s">
        <v>280</v>
      </c>
      <c r="X30" s="247"/>
      <c r="Y30" s="113" t="s">
        <v>2635</v>
      </c>
      <c r="Z30" s="114" t="s">
        <v>1923</v>
      </c>
      <c r="AA30" s="114" t="s">
        <v>562</v>
      </c>
      <c r="AB30" s="114" t="s">
        <v>412</v>
      </c>
      <c r="AC30" s="114"/>
      <c r="AD30" s="114" t="s">
        <v>280</v>
      </c>
      <c r="AG30" t="s">
        <v>1923</v>
      </c>
      <c r="AH30" t="s">
        <v>562</v>
      </c>
      <c r="AI30" t="s">
        <v>412</v>
      </c>
      <c r="AJ30"/>
      <c r="AK30" t="s">
        <v>280</v>
      </c>
      <c r="AN30" t="s">
        <v>1923</v>
      </c>
      <c r="AO30" t="s">
        <v>562</v>
      </c>
      <c r="AP30" t="s">
        <v>412</v>
      </c>
      <c r="AQ30"/>
      <c r="AR30" t="s">
        <v>280</v>
      </c>
    </row>
    <row r="31" spans="1:44" s="223" customFormat="1" ht="13.2">
      <c r="A31" s="231" t="s">
        <v>2636</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2638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2639</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2640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2641</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2642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2643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2644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2645</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2646</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2647</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2648</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2649</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2650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2651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2652</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2653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2654</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2655</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2656</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2659</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16" t="str">
        <f>IF(项目基本情况!B9="房地产市场价值","估价结果一览表","结果表-2")</f>
        <v>结果表-2</v>
      </c>
      <c r="B1" s="3216"/>
      <c r="C1" s="3216"/>
      <c r="D1" s="3216"/>
      <c r="E1" s="3216"/>
      <c r="F1" s="3216"/>
      <c r="G1" s="3216"/>
      <c r="H1" s="3216"/>
      <c r="I1" s="3216"/>
    </row>
    <row r="2" spans="1:9" ht="30" customHeight="1">
      <c r="A2" s="3217" t="s">
        <v>107</v>
      </c>
      <c r="B2" s="3217" t="s">
        <v>108</v>
      </c>
      <c r="C2" s="3217" t="s">
        <v>109</v>
      </c>
      <c r="D2" s="3217" t="str">
        <f>结果表110!D116</f>
        <v>出让国有建设用地使用权价值</v>
      </c>
      <c r="E2" s="3217"/>
      <c r="F2" s="3217" t="str">
        <f>结果表110!F116</f>
        <v>在建建筑物价值</v>
      </c>
      <c r="G2" s="3217"/>
      <c r="H2" s="3217" t="str">
        <f>IF(项目基本情况!B9="房地产市场价值","房地产市场价值","房地产价值")</f>
        <v>房地产价值</v>
      </c>
      <c r="I2" s="3217"/>
    </row>
    <row r="3" spans="1:9" ht="15.6">
      <c r="A3" s="3212"/>
      <c r="B3" s="3212"/>
      <c r="C3" s="3212"/>
      <c r="D3" s="3123" t="s">
        <v>110</v>
      </c>
      <c r="E3" s="3123" t="s">
        <v>111</v>
      </c>
      <c r="F3" s="3123" t="s">
        <v>110</v>
      </c>
      <c r="G3" s="3123" t="s">
        <v>111</v>
      </c>
      <c r="H3" s="3123" t="s">
        <v>110</v>
      </c>
      <c r="I3" s="3123" t="s">
        <v>111</v>
      </c>
    </row>
    <row r="4" spans="1:9" ht="30">
      <c r="A4" s="3124" t="str">
        <f>项目基本情况!S2</f>
        <v>北京市房地产</v>
      </c>
      <c r="B4" s="3123">
        <f>项目基本情况!C17</f>
        <v>885.63</v>
      </c>
      <c r="C4" s="3123">
        <f>项目基本情况!C18</f>
        <v>0</v>
      </c>
      <c r="D4" s="3123">
        <f ca="1">结果表110!D118</f>
        <v>730</v>
      </c>
      <c r="E4" s="3123">
        <f ca="1">结果表110!E118</f>
        <v>20540</v>
      </c>
      <c r="F4" s="3123">
        <f ca="1">结果表110!F118</f>
        <v>280</v>
      </c>
      <c r="G4" s="3123">
        <f ca="1">结果表110!G118</f>
        <v>7870</v>
      </c>
      <c r="H4" s="3123">
        <f ca="1">结果表110!H118</f>
        <v>1009</v>
      </c>
      <c r="I4" s="3123">
        <f ca="1">结果表110!I118</f>
        <v>28410</v>
      </c>
    </row>
    <row r="5" spans="1:9" ht="30" customHeight="1">
      <c r="A5" s="3212" t="s">
        <v>112</v>
      </c>
      <c r="B5" s="3212"/>
      <c r="C5" s="3212"/>
      <c r="D5" s="3212" t="str">
        <f ca="1">结果表110!D119</f>
        <v>柒佰叁拾万元整</v>
      </c>
      <c r="E5" s="3212"/>
      <c r="F5" s="3212" t="str">
        <f ca="1">结果表110!F119</f>
        <v>贰佰捌拾万元整</v>
      </c>
      <c r="G5" s="3212"/>
      <c r="H5" s="3212" t="str">
        <f ca="1">结果表110!H119</f>
        <v>壹仟零玖万元整</v>
      </c>
      <c r="I5" s="3212"/>
    </row>
    <row r="6" spans="1:9" ht="15.6">
      <c r="A6" s="3209" t="str">
        <f>结果表110!A120</f>
        <v>估价师知悉的法定优先受偿款</v>
      </c>
      <c r="B6" s="3209"/>
      <c r="C6" s="3209"/>
      <c r="D6" s="3209">
        <f>结果表110!D120</f>
        <v>0</v>
      </c>
      <c r="E6" s="3209"/>
      <c r="F6" s="3209"/>
      <c r="G6" s="3209"/>
      <c r="H6" s="3209"/>
      <c r="I6" s="3209"/>
    </row>
    <row r="7" spans="1:9" ht="15">
      <c r="A7" s="3212" t="s">
        <v>112</v>
      </c>
      <c r="B7" s="3212"/>
      <c r="C7" s="3212"/>
      <c r="D7" s="3213" t="str">
        <f>结果表110!D121</f>
        <v>零元整</v>
      </c>
      <c r="E7" s="3214"/>
      <c r="F7" s="3214"/>
      <c r="G7" s="3214"/>
      <c r="H7" s="3214"/>
      <c r="I7" s="3215"/>
    </row>
    <row r="8" spans="1:9" ht="15.6">
      <c r="A8" s="3209" t="str">
        <f>结果表110!A122</f>
        <v>房地产抵押价值</v>
      </c>
      <c r="B8" s="3209"/>
      <c r="C8" s="3209"/>
      <c r="D8" s="3209">
        <f ca="1">结果表110!D122</f>
        <v>1009</v>
      </c>
      <c r="E8" s="3209"/>
      <c r="F8" s="3209"/>
      <c r="G8" s="3209"/>
      <c r="H8" s="3209"/>
      <c r="I8" s="3209"/>
    </row>
    <row r="9" spans="1:9" ht="15">
      <c r="A9" s="3212" t="s">
        <v>112</v>
      </c>
      <c r="B9" s="3212"/>
      <c r="C9" s="3212"/>
      <c r="D9" s="3212" t="str">
        <f ca="1">结果表110!D123</f>
        <v>壹仟零玖万元整</v>
      </c>
      <c r="E9" s="3212"/>
      <c r="F9" s="3212"/>
      <c r="G9" s="3212"/>
      <c r="H9" s="3212"/>
      <c r="I9" s="3212"/>
    </row>
    <row r="10" spans="1:9" ht="15.6">
      <c r="A10" s="3209" t="str">
        <f>结果表110!A124</f>
        <v/>
      </c>
      <c r="B10" s="3209"/>
      <c r="C10" s="3209"/>
      <c r="D10" s="3209" t="str">
        <f>结果表110!D124</f>
        <v>——</v>
      </c>
      <c r="E10" s="3209"/>
      <c r="F10" s="3209"/>
      <c r="G10" s="3209"/>
      <c r="H10" s="3209"/>
      <c r="I10" s="3209"/>
    </row>
    <row r="11" spans="1:9" ht="15">
      <c r="A11" s="3212" t="s">
        <v>112</v>
      </c>
      <c r="B11" s="3212"/>
      <c r="C11" s="3212"/>
      <c r="D11" s="3212" t="e">
        <f>结果表110!D125</f>
        <v>#VALUE!</v>
      </c>
      <c r="E11" s="3212"/>
      <c r="F11" s="3212"/>
      <c r="G11" s="3212"/>
      <c r="H11" s="3212"/>
      <c r="I11" s="3212"/>
    </row>
    <row r="12" spans="1:9" ht="15.6">
      <c r="A12" s="3209" t="str">
        <f>结果表110!A126</f>
        <v/>
      </c>
      <c r="B12" s="3209"/>
      <c r="C12" s="3209"/>
      <c r="D12" s="3209" t="str">
        <f>结果表110!D126</f>
        <v>——</v>
      </c>
      <c r="E12" s="3209"/>
      <c r="F12" s="3209"/>
      <c r="G12" s="3209"/>
      <c r="H12" s="3209"/>
      <c r="I12" s="3209"/>
    </row>
    <row r="13" spans="1:9" ht="15">
      <c r="A13" s="3210" t="s">
        <v>112</v>
      </c>
      <c r="B13" s="3210"/>
      <c r="C13" s="3210"/>
      <c r="D13" s="3210" t="e">
        <f>结果表110!D127</f>
        <v>#VALUE!</v>
      </c>
      <c r="E13" s="3210"/>
      <c r="F13" s="3210"/>
      <c r="G13" s="3210"/>
      <c r="H13" s="3210"/>
      <c r="I13" s="3210"/>
    </row>
    <row r="14" spans="1:9">
      <c r="A14" s="3211" t="s">
        <v>113</v>
      </c>
      <c r="B14" s="3211"/>
      <c r="C14" s="3211"/>
      <c r="D14" s="3211"/>
      <c r="E14" s="3211"/>
      <c r="F14" s="3211"/>
      <c r="G14" s="3211"/>
      <c r="H14" s="3211"/>
      <c r="I14" s="3211"/>
    </row>
    <row r="16" spans="1:9" ht="17.399999999999999">
      <c r="A16" s="3125"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32" t="s">
        <v>2660</v>
      </c>
      <c r="C1" s="3532"/>
      <c r="D1" s="3532"/>
      <c r="E1" s="3532"/>
      <c r="F1" s="3532"/>
      <c r="G1" s="3523" t="s">
        <v>2661</v>
      </c>
      <c r="H1" s="3523"/>
      <c r="I1" s="3523"/>
      <c r="J1" s="3523"/>
      <c r="K1" s="3523"/>
      <c r="L1" s="3523"/>
      <c r="N1" s="3523" t="s">
        <v>2632</v>
      </c>
      <c r="O1" s="3523"/>
      <c r="P1" s="3523"/>
      <c r="Q1" s="3523"/>
      <c r="S1" s="3523" t="s">
        <v>2662</v>
      </c>
      <c r="T1" s="3523"/>
      <c r="U1" s="3523"/>
      <c r="V1" s="3523"/>
      <c r="X1" s="3522" t="s">
        <v>2633</v>
      </c>
      <c r="Y1" s="3523"/>
      <c r="Z1" s="3523"/>
      <c r="AA1" s="3523"/>
      <c r="AB1" s="3523"/>
      <c r="AD1" s="3522" t="s">
        <v>2634</v>
      </c>
      <c r="AE1" s="3523"/>
      <c r="AF1" s="3523"/>
      <c r="AG1" s="3523"/>
      <c r="AH1" s="3523"/>
    </row>
    <row r="2" spans="1:34" s="104" customFormat="1" ht="14.4">
      <c r="B2" s="113" t="s">
        <v>435</v>
      </c>
      <c r="C2" s="113" t="s">
        <v>2663</v>
      </c>
      <c r="D2" s="114" t="s">
        <v>562</v>
      </c>
      <c r="E2" s="114" t="s">
        <v>412</v>
      </c>
      <c r="F2" s="113" t="s">
        <v>2664</v>
      </c>
      <c r="G2" s="115"/>
      <c r="I2" s="113" t="s">
        <v>435</v>
      </c>
      <c r="J2" s="114" t="s">
        <v>1932</v>
      </c>
      <c r="K2" s="114" t="s">
        <v>412</v>
      </c>
      <c r="L2" s="113" t="s">
        <v>2664</v>
      </c>
      <c r="N2" s="113" t="s">
        <v>435</v>
      </c>
      <c r="O2" s="114" t="s">
        <v>1932</v>
      </c>
      <c r="P2" s="114" t="s">
        <v>412</v>
      </c>
      <c r="Q2" s="113" t="s">
        <v>2664</v>
      </c>
      <c r="S2" s="113" t="s">
        <v>435</v>
      </c>
      <c r="T2" s="114" t="s">
        <v>1932</v>
      </c>
      <c r="U2" s="114" t="s">
        <v>412</v>
      </c>
      <c r="V2" s="113" t="s">
        <v>2664</v>
      </c>
      <c r="X2" s="113" t="s">
        <v>435</v>
      </c>
      <c r="Y2" s="113" t="s">
        <v>2663</v>
      </c>
      <c r="Z2" s="114" t="s">
        <v>562</v>
      </c>
      <c r="AA2" s="114" t="s">
        <v>412</v>
      </c>
      <c r="AB2" s="113" t="s">
        <v>2664</v>
      </c>
      <c r="AD2" s="113" t="s">
        <v>435</v>
      </c>
      <c r="AE2" s="113" t="s">
        <v>2663</v>
      </c>
      <c r="AF2" s="114" t="s">
        <v>562</v>
      </c>
      <c r="AG2" s="114" t="s">
        <v>412</v>
      </c>
      <c r="AH2" s="113" t="s">
        <v>2664</v>
      </c>
    </row>
    <row r="3" spans="1:34" s="105" customFormat="1" ht="14.4">
      <c r="A3" s="116" t="s">
        <v>2636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2649</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2650</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2651</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2652</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2653</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2654</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2655</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2656</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2666</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2667</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2668</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2669</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2670</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2671</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2672</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2673</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2674</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25">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2675</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25"/>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2676</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25"/>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2677</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30"/>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2678</v>
      </c>
      <c r="B25" s="131">
        <v>439</v>
      </c>
      <c r="C25" s="131">
        <v>327</v>
      </c>
      <c r="D25" s="131">
        <f t="shared" si="217"/>
        <v>327</v>
      </c>
      <c r="E25" s="131">
        <v>627</v>
      </c>
      <c r="F25" s="132">
        <v>283</v>
      </c>
      <c r="G25" s="3531">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2679</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25"/>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2680</v>
      </c>
      <c r="B27" s="124">
        <f t="shared" si="232"/>
        <v>419.31181600000002</v>
      </c>
      <c r="C27" s="124">
        <f t="shared" si="233"/>
        <v>313.95436800000004</v>
      </c>
      <c r="D27" s="124">
        <f t="shared" si="234"/>
        <v>313.95436800000004</v>
      </c>
      <c r="E27" s="124">
        <f t="shared" si="235"/>
        <v>596.63028431999999</v>
      </c>
      <c r="F27" s="124">
        <f t="shared" si="236"/>
        <v>274.74220703999998</v>
      </c>
      <c r="G27" s="3525"/>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2681</v>
      </c>
      <c r="B28" s="124">
        <f t="shared" si="232"/>
        <v>405.524</v>
      </c>
      <c r="C28" s="124">
        <f t="shared" si="233"/>
        <v>307.79840000000002</v>
      </c>
      <c r="D28" s="124">
        <f t="shared" si="234"/>
        <v>307.79840000000002</v>
      </c>
      <c r="E28" s="124">
        <f t="shared" si="235"/>
        <v>574.67759999999998</v>
      </c>
      <c r="F28" s="124">
        <f t="shared" si="236"/>
        <v>270.20280000000002</v>
      </c>
      <c r="G28" s="3530"/>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2682</v>
      </c>
      <c r="B29" s="131">
        <v>392</v>
      </c>
      <c r="C29" s="131">
        <v>302</v>
      </c>
      <c r="D29" s="131">
        <f t="shared" si="234"/>
        <v>302</v>
      </c>
      <c r="E29" s="131">
        <v>553</v>
      </c>
      <c r="F29" s="132">
        <v>266</v>
      </c>
      <c r="G29" s="3531">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2683</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25"/>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2684</v>
      </c>
      <c r="B31" s="124">
        <f t="shared" si="245"/>
        <v>360.06949782209392</v>
      </c>
      <c r="C31" s="124">
        <f t="shared" si="245"/>
        <v>289.84672674747821</v>
      </c>
      <c r="D31" s="124">
        <f t="shared" si="246"/>
        <v>289.84672674747821</v>
      </c>
      <c r="E31" s="124">
        <f t="shared" si="247"/>
        <v>501.06543001181495</v>
      </c>
      <c r="F31" s="124">
        <f t="shared" si="247"/>
        <v>256.82882500744967</v>
      </c>
      <c r="G31" s="3525"/>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2685</v>
      </c>
      <c r="B32" s="124">
        <f t="shared" si="245"/>
        <v>346.720748986128</v>
      </c>
      <c r="C32" s="124">
        <f t="shared" si="245"/>
        <v>284.30282172386285</v>
      </c>
      <c r="D32" s="124">
        <f t="shared" si="246"/>
        <v>284.30282172386285</v>
      </c>
      <c r="E32" s="124">
        <f t="shared" si="247"/>
        <v>479.58023546306947</v>
      </c>
      <c r="F32" s="124">
        <f t="shared" si="247"/>
        <v>253.25788877571213</v>
      </c>
      <c r="G32" s="3526"/>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2686</v>
      </c>
      <c r="B33" s="131">
        <v>333</v>
      </c>
      <c r="C33" s="131">
        <v>277</v>
      </c>
      <c r="D33" s="131">
        <f t="shared" si="246"/>
        <v>277</v>
      </c>
      <c r="E33" s="131">
        <v>459</v>
      </c>
      <c r="F33" s="132">
        <v>249</v>
      </c>
      <c r="G33" s="3524">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2687</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25"/>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2688</v>
      </c>
      <c r="B35" s="124">
        <f t="shared" si="249"/>
        <v>322.34053690220776</v>
      </c>
      <c r="C35" s="124">
        <f t="shared" si="249"/>
        <v>271.46160770422546</v>
      </c>
      <c r="D35" s="124">
        <f t="shared" si="246"/>
        <v>271.46160770422546</v>
      </c>
      <c r="E35" s="124">
        <f t="shared" si="250"/>
        <v>442.69434542172456</v>
      </c>
      <c r="F35" s="124">
        <f t="shared" si="250"/>
        <v>241.34030753190925</v>
      </c>
      <c r="G35" s="3525"/>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2689</v>
      </c>
      <c r="B36" s="124">
        <f t="shared" si="249"/>
        <v>319.87748030386797</v>
      </c>
      <c r="C36" s="124">
        <f t="shared" si="249"/>
        <v>269.60135833173649</v>
      </c>
      <c r="D36" s="124">
        <f t="shared" si="246"/>
        <v>269.60135833173649</v>
      </c>
      <c r="E36" s="124">
        <f t="shared" si="250"/>
        <v>439.18089823583784</v>
      </c>
      <c r="F36" s="124">
        <f t="shared" si="250"/>
        <v>239.23503918706311</v>
      </c>
      <c r="G36" s="3526"/>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2690</v>
      </c>
      <c r="B37" s="136">
        <v>318</v>
      </c>
      <c r="C37" s="136">
        <v>268</v>
      </c>
      <c r="D37" s="136">
        <f t="shared" si="246"/>
        <v>268</v>
      </c>
      <c r="E37" s="136">
        <v>437</v>
      </c>
      <c r="F37" s="137">
        <v>237</v>
      </c>
      <c r="G37" s="3524">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2691</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25"/>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2692</v>
      </c>
      <c r="B39" s="124">
        <f t="shared" si="251"/>
        <v>314.72141172386546</v>
      </c>
      <c r="C39" s="124">
        <f t="shared" si="251"/>
        <v>263.03901319069001</v>
      </c>
      <c r="D39" s="124">
        <f t="shared" si="246"/>
        <v>263.03901319069001</v>
      </c>
      <c r="E39" s="124">
        <f t="shared" si="252"/>
        <v>433.65745506782821</v>
      </c>
      <c r="F39" s="124">
        <f t="shared" si="252"/>
        <v>233.23005080045735</v>
      </c>
      <c r="G39" s="3525"/>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2693</v>
      </c>
      <c r="B40" s="140">
        <f t="shared" si="251"/>
        <v>307.34512863658733</v>
      </c>
      <c r="C40" s="140">
        <f t="shared" si="251"/>
        <v>257.80556031626975</v>
      </c>
      <c r="D40" s="140">
        <f t="shared" si="246"/>
        <v>257.80556031626975</v>
      </c>
      <c r="E40" s="140">
        <f t="shared" si="252"/>
        <v>422.70928459677179</v>
      </c>
      <c r="F40" s="140">
        <f t="shared" si="252"/>
        <v>229.73803270336617</v>
      </c>
      <c r="G40" s="3526"/>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2694</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2695</v>
      </c>
      <c r="B41" s="131">
        <v>299</v>
      </c>
      <c r="C41" s="131">
        <v>252</v>
      </c>
      <c r="D41" s="131">
        <f t="shared" si="246"/>
        <v>252</v>
      </c>
      <c r="E41" s="131">
        <v>409</v>
      </c>
      <c r="F41" s="132">
        <v>227</v>
      </c>
      <c r="G41" s="3527">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2696</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28"/>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2697</v>
      </c>
      <c r="B43" s="124">
        <f t="shared" si="255"/>
        <v>288.2649053828776</v>
      </c>
      <c r="C43" s="124">
        <f t="shared" si="255"/>
        <v>243.64564425013293</v>
      </c>
      <c r="D43" s="124">
        <f t="shared" si="246"/>
        <v>243.64564425013293</v>
      </c>
      <c r="E43" s="124">
        <f t="shared" si="256"/>
        <v>393.31080825986544</v>
      </c>
      <c r="F43" s="124">
        <f t="shared" si="256"/>
        <v>223.07903790551154</v>
      </c>
      <c r="G43" s="3528"/>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2698</v>
      </c>
      <c r="B44" s="124">
        <f t="shared" si="255"/>
        <v>282.50186729015837</v>
      </c>
      <c r="C44" s="124">
        <f t="shared" si="255"/>
        <v>238.09796174155468</v>
      </c>
      <c r="D44" s="124">
        <f t="shared" si="246"/>
        <v>238.09796174155468</v>
      </c>
      <c r="E44" s="124">
        <f t="shared" si="256"/>
        <v>385.33438646014054</v>
      </c>
      <c r="F44" s="124">
        <f t="shared" si="256"/>
        <v>221.55034055567739</v>
      </c>
      <c r="G44" s="3529"/>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2699</v>
      </c>
      <c r="B45" s="143">
        <v>278</v>
      </c>
      <c r="C45" s="143">
        <v>234</v>
      </c>
      <c r="D45" s="143">
        <f t="shared" si="246"/>
        <v>234</v>
      </c>
      <c r="E45" s="143">
        <v>379</v>
      </c>
      <c r="F45" s="144">
        <v>220</v>
      </c>
      <c r="G45" s="3524">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2700</v>
      </c>
      <c r="B46" s="124">
        <f>B45/(1+N45)</f>
        <v>275.49301357645425</v>
      </c>
      <c r="C46" s="124">
        <f>C45/(1+O45)</f>
        <v>232.41954707985698</v>
      </c>
      <c r="D46" s="124">
        <f t="shared" si="246"/>
        <v>232.41954707985698</v>
      </c>
      <c r="E46" s="124">
        <f t="shared" ref="E46:F48" si="257">E45/(1+P45)</f>
        <v>375.32184591008121</v>
      </c>
      <c r="F46" s="124">
        <f t="shared" si="257"/>
        <v>218.03766105054513</v>
      </c>
      <c r="G46" s="3525"/>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2701</v>
      </c>
      <c r="B47" s="124">
        <f>B46/(1+N46)</f>
        <v>275.24529281292263</v>
      </c>
      <c r="C47" s="124">
        <f>C46/(1+O46)</f>
        <v>231.74747938962707</v>
      </c>
      <c r="D47" s="124">
        <f t="shared" si="246"/>
        <v>231.74747938962707</v>
      </c>
      <c r="E47" s="124">
        <f t="shared" si="257"/>
        <v>375.35938184826603</v>
      </c>
      <c r="F47" s="124">
        <f t="shared" si="257"/>
        <v>216.78033510692495</v>
      </c>
      <c r="G47" s="3525"/>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2702</v>
      </c>
      <c r="B48" s="124">
        <f>B47/(1+N47)</f>
        <v>275.19025476197027</v>
      </c>
      <c r="C48" s="145">
        <v>232</v>
      </c>
      <c r="D48" s="145">
        <f t="shared" si="246"/>
        <v>232</v>
      </c>
      <c r="E48" s="124">
        <f t="shared" si="257"/>
        <v>375.65990977608692</v>
      </c>
      <c r="F48" s="124">
        <f t="shared" si="257"/>
        <v>214.12518283971252</v>
      </c>
      <c r="G48" s="3526"/>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2703</v>
      </c>
      <c r="B49" s="131">
        <v>275</v>
      </c>
      <c r="C49" s="131">
        <v>232</v>
      </c>
      <c r="D49" s="131">
        <f t="shared" si="246"/>
        <v>232</v>
      </c>
      <c r="E49" s="131">
        <v>376</v>
      </c>
      <c r="F49" s="132">
        <v>213</v>
      </c>
      <c r="G49" s="3524">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2704</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25">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2705</v>
      </c>
      <c r="B51" s="124">
        <f t="shared" si="258"/>
        <v>275.19335084830601</v>
      </c>
      <c r="C51" s="124">
        <f t="shared" si="258"/>
        <v>230.18088050139744</v>
      </c>
      <c r="D51" s="124">
        <f t="shared" si="246"/>
        <v>230.18088050139744</v>
      </c>
      <c r="E51" s="124">
        <f t="shared" si="259"/>
        <v>377.58482925212331</v>
      </c>
      <c r="F51" s="124">
        <f t="shared" si="259"/>
        <v>210.90687997847917</v>
      </c>
      <c r="G51" s="3525">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2706</v>
      </c>
      <c r="B52" s="124">
        <f t="shared" si="258"/>
        <v>276.29854502841971</v>
      </c>
      <c r="C52" s="124">
        <f t="shared" si="258"/>
        <v>229.79023709833027</v>
      </c>
      <c r="D52" s="124">
        <f t="shared" si="246"/>
        <v>229.79023709833027</v>
      </c>
      <c r="E52" s="124">
        <f t="shared" si="259"/>
        <v>379.78759731655936</v>
      </c>
      <c r="F52" s="124">
        <f t="shared" si="259"/>
        <v>211.32953905659235</v>
      </c>
      <c r="G52" s="3526">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2707</v>
      </c>
      <c r="B53" s="131">
        <v>269</v>
      </c>
      <c r="C53" s="131">
        <v>221</v>
      </c>
      <c r="D53" s="131">
        <f t="shared" si="246"/>
        <v>221</v>
      </c>
      <c r="E53" s="131">
        <v>373</v>
      </c>
      <c r="F53" s="132">
        <v>196</v>
      </c>
      <c r="G53" s="3524">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2708</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25">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2709</v>
      </c>
      <c r="B55" s="124">
        <f t="shared" si="260"/>
        <v>242.95398227588385</v>
      </c>
      <c r="C55" s="124">
        <f t="shared" si="260"/>
        <v>199.59137053614126</v>
      </c>
      <c r="D55" s="124">
        <f t="shared" si="246"/>
        <v>199.59137053614126</v>
      </c>
      <c r="E55" s="124">
        <f t="shared" si="261"/>
        <v>335.92189522342125</v>
      </c>
      <c r="F55" s="124">
        <f t="shared" si="261"/>
        <v>183.10139991109489</v>
      </c>
      <c r="G55" s="3525">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2710</v>
      </c>
      <c r="B56" s="124">
        <f t="shared" si="260"/>
        <v>232.06990378821649</v>
      </c>
      <c r="C56" s="124">
        <f t="shared" si="260"/>
        <v>192.74878854286936</v>
      </c>
      <c r="D56" s="124">
        <f t="shared" si="246"/>
        <v>192.74878854286936</v>
      </c>
      <c r="E56" s="124">
        <f t="shared" si="261"/>
        <v>319.71247284992984</v>
      </c>
      <c r="F56" s="124">
        <f t="shared" si="261"/>
        <v>175.67053622862409</v>
      </c>
      <c r="G56" s="3526">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2711</v>
      </c>
      <c r="B57" s="131">
        <v>220</v>
      </c>
      <c r="C57" s="131">
        <v>187</v>
      </c>
      <c r="D57" s="131">
        <f t="shared" si="246"/>
        <v>187</v>
      </c>
      <c r="E57" s="131">
        <v>301</v>
      </c>
      <c r="F57" s="132">
        <v>168</v>
      </c>
      <c r="G57" s="3524">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2712</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25">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2713</v>
      </c>
      <c r="B59" s="124">
        <f t="shared" si="262"/>
        <v>210.630522469011</v>
      </c>
      <c r="C59" s="124">
        <f t="shared" si="262"/>
        <v>181.69567812247232</v>
      </c>
      <c r="D59" s="124">
        <f t="shared" si="246"/>
        <v>181.69567812247232</v>
      </c>
      <c r="E59" s="124">
        <f t="shared" si="263"/>
        <v>286.13517466736738</v>
      </c>
      <c r="F59" s="124">
        <f t="shared" si="263"/>
        <v>165.47535084591149</v>
      </c>
      <c r="G59" s="3525">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2714</v>
      </c>
      <c r="B60" s="124">
        <f t="shared" si="262"/>
        <v>208.83454537875372</v>
      </c>
      <c r="C60" s="124">
        <f t="shared" si="262"/>
        <v>183.77230517090351</v>
      </c>
      <c r="D60" s="124">
        <f t="shared" si="246"/>
        <v>183.77230517090351</v>
      </c>
      <c r="E60" s="124">
        <f t="shared" si="263"/>
        <v>281.10342338870947</v>
      </c>
      <c r="F60" s="124">
        <f t="shared" si="263"/>
        <v>168.97309388942256</v>
      </c>
      <c r="G60" s="3526">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2715</v>
      </c>
      <c r="B61" s="143">
        <v>214</v>
      </c>
      <c r="C61" s="143">
        <v>188</v>
      </c>
      <c r="D61" s="143">
        <f t="shared" si="246"/>
        <v>188</v>
      </c>
      <c r="E61" s="143">
        <v>289</v>
      </c>
      <c r="F61" s="144">
        <v>166</v>
      </c>
      <c r="G61" s="3524">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2716</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25">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2717</v>
      </c>
      <c r="B63" s="124">
        <f t="shared" si="264"/>
        <v>206.31694671589116</v>
      </c>
      <c r="C63" s="124">
        <f t="shared" si="264"/>
        <v>183.61041121036101</v>
      </c>
      <c r="D63" s="124">
        <f t="shared" si="246"/>
        <v>183.61041121036101</v>
      </c>
      <c r="E63" s="124">
        <f t="shared" si="265"/>
        <v>276.66850301795557</v>
      </c>
      <c r="F63" s="124">
        <f t="shared" si="265"/>
        <v>165.1360938278614</v>
      </c>
      <c r="G63" s="3525">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2718</v>
      </c>
      <c r="B64" s="146">
        <f t="shared" si="264"/>
        <v>196.62341248059772</v>
      </c>
      <c r="C64" s="146">
        <f t="shared" si="264"/>
        <v>170.99125648199012</v>
      </c>
      <c r="D64" s="146">
        <f t="shared" si="246"/>
        <v>170.99125648199012</v>
      </c>
      <c r="E64" s="146">
        <f t="shared" si="265"/>
        <v>266.07857570490052</v>
      </c>
      <c r="F64" s="146">
        <f t="shared" si="265"/>
        <v>154.53499328828505</v>
      </c>
      <c r="G64" s="3526">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2719</v>
      </c>
      <c r="B65" s="131">
        <v>188</v>
      </c>
      <c r="C65" s="131">
        <v>165</v>
      </c>
      <c r="D65" s="131">
        <f t="shared" si="246"/>
        <v>165</v>
      </c>
      <c r="E65" s="131">
        <v>254</v>
      </c>
      <c r="F65" s="132">
        <v>148</v>
      </c>
      <c r="G65" s="3524">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2720</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25">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2721</v>
      </c>
      <c r="B67" s="124">
        <f t="shared" si="268"/>
        <v>168.82017748715555</v>
      </c>
      <c r="C67" s="124">
        <f t="shared" si="268"/>
        <v>148.06267029972753</v>
      </c>
      <c r="D67" s="124">
        <f t="shared" si="246"/>
        <v>148.06267029972753</v>
      </c>
      <c r="E67" s="124">
        <f t="shared" si="269"/>
        <v>216.46288379323747</v>
      </c>
      <c r="F67" s="124">
        <f t="shared" si="269"/>
        <v>134.23529411764704</v>
      </c>
      <c r="G67" s="3525">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2722</v>
      </c>
      <c r="B68" s="124">
        <f t="shared" si="268"/>
        <v>163.84913591779542</v>
      </c>
      <c r="C68" s="124">
        <f t="shared" si="268"/>
        <v>145.0283378746594</v>
      </c>
      <c r="D68" s="124">
        <f t="shared" si="246"/>
        <v>145.0283378746594</v>
      </c>
      <c r="E68" s="124">
        <f t="shared" si="269"/>
        <v>204.95180722891567</v>
      </c>
      <c r="F68" s="124">
        <f t="shared" si="269"/>
        <v>125.95920303605313</v>
      </c>
      <c r="G68" s="3526">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2723</v>
      </c>
      <c r="B69" s="136">
        <v>159</v>
      </c>
      <c r="C69" s="136">
        <v>141</v>
      </c>
      <c r="D69" s="136">
        <f t="shared" si="246"/>
        <v>141</v>
      </c>
      <c r="E69" s="136">
        <v>195</v>
      </c>
      <c r="F69" s="137">
        <v>122</v>
      </c>
      <c r="G69" s="3524">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2724</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25">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2725</v>
      </c>
      <c r="B71" s="124">
        <f t="shared" si="272"/>
        <v>146.57412060301507</v>
      </c>
      <c r="C71" s="124">
        <f t="shared" si="272"/>
        <v>136.46831955922866</v>
      </c>
      <c r="D71" s="124">
        <f t="shared" si="246"/>
        <v>136.46831955922866</v>
      </c>
      <c r="E71" s="124">
        <f t="shared" si="273"/>
        <v>166.73864894795128</v>
      </c>
      <c r="F71" s="124">
        <f t="shared" si="273"/>
        <v>115.05882352941177</v>
      </c>
      <c r="G71" s="3525">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2726</v>
      </c>
      <c r="B72" s="124">
        <f t="shared" si="272"/>
        <v>144.04145728643215</v>
      </c>
      <c r="C72" s="124">
        <f t="shared" si="272"/>
        <v>136.12396694214877</v>
      </c>
      <c r="D72" s="124">
        <f t="shared" si="246"/>
        <v>136.12396694214877</v>
      </c>
      <c r="E72" s="124">
        <f t="shared" si="273"/>
        <v>158.32225913621264</v>
      </c>
      <c r="F72" s="124">
        <f t="shared" si="273"/>
        <v>114.04278074866311</v>
      </c>
      <c r="G72" s="3526">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2727</v>
      </c>
      <c r="B73" s="136">
        <v>138</v>
      </c>
      <c r="C73" s="136">
        <v>131</v>
      </c>
      <c r="D73" s="136">
        <f t="shared" si="246"/>
        <v>131</v>
      </c>
      <c r="E73" s="136">
        <v>155</v>
      </c>
      <c r="F73" s="137">
        <v>114</v>
      </c>
      <c r="G73" s="3524">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2728</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25">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2729</v>
      </c>
      <c r="B75" s="124">
        <f t="shared" si="276"/>
        <v>124.29032258064517</v>
      </c>
      <c r="C75" s="124">
        <f t="shared" si="276"/>
        <v>123.8968609865471</v>
      </c>
      <c r="D75" s="124">
        <f t="shared" si="246"/>
        <v>123.8968609865471</v>
      </c>
      <c r="E75" s="124">
        <f t="shared" si="277"/>
        <v>138.00507614213197</v>
      </c>
      <c r="F75" s="124">
        <f t="shared" si="277"/>
        <v>107.96106557377048</v>
      </c>
      <c r="G75" s="3525">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2730</v>
      </c>
      <c r="B76" s="124">
        <f t="shared" si="276"/>
        <v>122.57204301075269</v>
      </c>
      <c r="C76" s="124">
        <f t="shared" si="276"/>
        <v>123.4932735426009</v>
      </c>
      <c r="D76" s="124">
        <f t="shared" si="246"/>
        <v>123.4932735426009</v>
      </c>
      <c r="E76" s="124">
        <f t="shared" si="277"/>
        <v>129.82233502538071</v>
      </c>
      <c r="F76" s="124">
        <f t="shared" si="277"/>
        <v>107.39446721311475</v>
      </c>
      <c r="G76" s="3526">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2731</v>
      </c>
      <c r="B77" s="143">
        <v>121</v>
      </c>
      <c r="C77" s="143">
        <v>122</v>
      </c>
      <c r="D77" s="143">
        <f t="shared" si="246"/>
        <v>122</v>
      </c>
      <c r="E77" s="143">
        <v>124</v>
      </c>
      <c r="F77" s="144">
        <v>107</v>
      </c>
      <c r="G77" s="3524">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2732</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25">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2733</v>
      </c>
      <c r="B79" s="124">
        <f t="shared" si="280"/>
        <v>116.99099099099099</v>
      </c>
      <c r="C79" s="124">
        <f t="shared" si="280"/>
        <v>118.84848484848486</v>
      </c>
      <c r="D79" s="124">
        <f t="shared" si="246"/>
        <v>118.84848484848486</v>
      </c>
      <c r="E79" s="124">
        <f t="shared" si="281"/>
        <v>117.60960960960961</v>
      </c>
      <c r="F79" s="124">
        <f t="shared" si="281"/>
        <v>104</v>
      </c>
      <c r="G79" s="3525">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2734</v>
      </c>
      <c r="B80" s="146">
        <f t="shared" si="280"/>
        <v>112.48648648648648</v>
      </c>
      <c r="C80" s="146">
        <f t="shared" si="280"/>
        <v>115.21212121212122</v>
      </c>
      <c r="D80" s="146">
        <f t="shared" si="246"/>
        <v>115.21212121212122</v>
      </c>
      <c r="E80" s="146">
        <f t="shared" si="281"/>
        <v>110.4024024024024</v>
      </c>
      <c r="F80" s="146">
        <f t="shared" si="281"/>
        <v>104</v>
      </c>
      <c r="G80" s="3526">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2735</v>
      </c>
      <c r="B81" s="191">
        <v>111</v>
      </c>
      <c r="C81" s="191">
        <v>114</v>
      </c>
      <c r="D81" s="191">
        <f t="shared" si="246"/>
        <v>114</v>
      </c>
      <c r="E81" s="191">
        <v>108</v>
      </c>
      <c r="F81" s="192">
        <v>104</v>
      </c>
      <c r="G81" s="3524">
        <v>2003</v>
      </c>
      <c r="H81" s="190">
        <v>4</v>
      </c>
      <c r="I81" s="210"/>
      <c r="J81" s="210"/>
      <c r="K81" s="210"/>
      <c r="L81" s="210"/>
      <c r="N81" s="211"/>
      <c r="O81" s="210"/>
      <c r="P81" s="210"/>
      <c r="Q81" s="210"/>
      <c r="S81" s="211"/>
      <c r="T81" s="210"/>
      <c r="U81" s="210"/>
      <c r="V81" s="210"/>
      <c r="X81" s="216"/>
      <c r="Y81" s="216"/>
      <c r="Z81" s="216"/>
    </row>
    <row r="82" spans="1:26">
      <c r="A82" s="123" t="s">
        <v>2736</v>
      </c>
      <c r="B82" s="193">
        <f t="shared" ref="B82:C84" si="282">B83+(B$81-B$85)/4</f>
        <v>109.75</v>
      </c>
      <c r="C82" s="193">
        <f t="shared" si="282"/>
        <v>112.25</v>
      </c>
      <c r="D82" s="193">
        <f t="shared" si="246"/>
        <v>112.25</v>
      </c>
      <c r="E82" s="193">
        <f t="shared" ref="E82:F84" si="283">E83+(E$81-E$85)/4</f>
        <v>107.25</v>
      </c>
      <c r="F82" s="193">
        <f t="shared" si="283"/>
        <v>103.5</v>
      </c>
      <c r="G82" s="3525">
        <v>2003</v>
      </c>
      <c r="H82" s="135">
        <v>3</v>
      </c>
      <c r="I82" s="210"/>
      <c r="J82" s="210"/>
      <c r="K82" s="210"/>
      <c r="L82" s="210"/>
      <c r="X82" s="216"/>
      <c r="Y82" s="216"/>
      <c r="Z82" s="216"/>
    </row>
    <row r="83" spans="1:26">
      <c r="A83" s="123" t="s">
        <v>2737</v>
      </c>
      <c r="B83" s="193">
        <f t="shared" si="282"/>
        <v>108.5</v>
      </c>
      <c r="C83" s="193">
        <f t="shared" si="282"/>
        <v>110.5</v>
      </c>
      <c r="D83" s="193">
        <f t="shared" si="246"/>
        <v>110.5</v>
      </c>
      <c r="E83" s="193">
        <f t="shared" si="283"/>
        <v>106.5</v>
      </c>
      <c r="F83" s="193">
        <f t="shared" si="283"/>
        <v>103</v>
      </c>
      <c r="G83" s="3525">
        <v>2003</v>
      </c>
      <c r="H83" s="133">
        <v>2</v>
      </c>
      <c r="I83" s="210"/>
      <c r="J83" s="210"/>
      <c r="K83" s="210"/>
      <c r="L83" s="210"/>
      <c r="X83" s="216"/>
      <c r="Y83" s="216"/>
      <c r="Z83" s="216"/>
    </row>
    <row r="84" spans="1:26">
      <c r="A84" s="123" t="s">
        <v>2738</v>
      </c>
      <c r="B84" s="193">
        <f t="shared" si="282"/>
        <v>107.25</v>
      </c>
      <c r="C84" s="193">
        <f t="shared" si="282"/>
        <v>108.75</v>
      </c>
      <c r="D84" s="193">
        <f t="shared" si="246"/>
        <v>108.75</v>
      </c>
      <c r="E84" s="193">
        <f t="shared" si="283"/>
        <v>105.75</v>
      </c>
      <c r="F84" s="193">
        <f t="shared" si="283"/>
        <v>102.5</v>
      </c>
      <c r="G84" s="3526">
        <v>2003</v>
      </c>
      <c r="H84" s="194">
        <v>1</v>
      </c>
      <c r="I84" s="210"/>
      <c r="J84" s="210"/>
      <c r="K84" s="210"/>
      <c r="L84" s="210"/>
      <c r="S84" s="152"/>
      <c r="T84" s="153"/>
      <c r="U84" s="153"/>
      <c r="X84" s="216"/>
      <c r="Y84" s="216"/>
      <c r="Z84" s="216"/>
    </row>
    <row r="85" spans="1:26">
      <c r="A85" s="123" t="s">
        <v>2739</v>
      </c>
      <c r="B85" s="195">
        <v>106</v>
      </c>
      <c r="C85" s="195">
        <v>107</v>
      </c>
      <c r="D85" s="195">
        <f t="shared" si="246"/>
        <v>107</v>
      </c>
      <c r="E85" s="195">
        <v>105</v>
      </c>
      <c r="F85" s="196">
        <v>102</v>
      </c>
      <c r="G85" s="3524">
        <v>2002</v>
      </c>
      <c r="H85" s="134">
        <v>4</v>
      </c>
      <c r="I85" s="210"/>
      <c r="J85" s="210"/>
      <c r="K85" s="210"/>
      <c r="L85" s="210"/>
      <c r="N85" s="211"/>
      <c r="O85" s="210"/>
      <c r="P85" s="210"/>
      <c r="Q85" s="210"/>
      <c r="S85" s="211"/>
      <c r="T85" s="210"/>
      <c r="U85" s="210"/>
      <c r="V85" s="210"/>
      <c r="X85" s="216"/>
      <c r="Y85" s="216"/>
      <c r="Z85" s="216"/>
    </row>
    <row r="86" spans="1:26">
      <c r="A86" s="123" t="s">
        <v>2740</v>
      </c>
      <c r="B86" s="193">
        <f t="shared" ref="B86:C88" si="284">B87+(B$85-B$89)/4</f>
        <v>105</v>
      </c>
      <c r="C86" s="193">
        <f t="shared" si="284"/>
        <v>106</v>
      </c>
      <c r="D86" s="193">
        <f t="shared" si="246"/>
        <v>106</v>
      </c>
      <c r="E86" s="193">
        <f t="shared" ref="E86:F88" si="285">E87+(E$85-E$89)/4</f>
        <v>104.5</v>
      </c>
      <c r="F86" s="193">
        <f t="shared" si="285"/>
        <v>101.5</v>
      </c>
      <c r="G86" s="3525">
        <v>2002</v>
      </c>
      <c r="H86" s="135">
        <v>3</v>
      </c>
      <c r="I86" s="210"/>
      <c r="J86" s="210"/>
      <c r="K86" s="210"/>
      <c r="L86" s="210"/>
      <c r="X86" s="216"/>
      <c r="Y86" s="216"/>
      <c r="Z86" s="216"/>
    </row>
    <row r="87" spans="1:26">
      <c r="A87" s="123" t="s">
        <v>2741</v>
      </c>
      <c r="B87" s="193">
        <f t="shared" si="284"/>
        <v>104</v>
      </c>
      <c r="C87" s="193">
        <f t="shared" si="284"/>
        <v>105</v>
      </c>
      <c r="D87" s="193">
        <f t="shared" si="246"/>
        <v>105</v>
      </c>
      <c r="E87" s="193">
        <f t="shared" si="285"/>
        <v>104</v>
      </c>
      <c r="F87" s="193">
        <f t="shared" si="285"/>
        <v>101</v>
      </c>
      <c r="G87" s="3525">
        <v>2002</v>
      </c>
      <c r="H87" s="133">
        <v>2</v>
      </c>
      <c r="I87" s="210"/>
      <c r="J87" s="210"/>
      <c r="K87" s="210"/>
      <c r="L87" s="210"/>
      <c r="X87" s="216"/>
      <c r="Y87" s="216"/>
      <c r="Z87" s="216"/>
    </row>
    <row r="88" spans="1:26" s="108" customFormat="1">
      <c r="A88" s="139" t="s">
        <v>2742</v>
      </c>
      <c r="B88" s="181">
        <f t="shared" si="284"/>
        <v>103</v>
      </c>
      <c r="C88" s="181">
        <f t="shared" si="284"/>
        <v>104</v>
      </c>
      <c r="D88" s="181">
        <f t="shared" si="246"/>
        <v>104</v>
      </c>
      <c r="E88" s="181">
        <f t="shared" si="285"/>
        <v>103.5</v>
      </c>
      <c r="F88" s="181">
        <f t="shared" si="285"/>
        <v>100.5</v>
      </c>
      <c r="G88" s="3526">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2743</v>
      </c>
      <c r="G91" s="202"/>
      <c r="N91" s="202"/>
      <c r="S91" s="202"/>
    </row>
    <row r="92" spans="1:26" s="110" customFormat="1">
      <c r="A92" s="110" t="s">
        <v>2744</v>
      </c>
      <c r="G92" s="202"/>
      <c r="N92" s="202"/>
      <c r="S92" s="202"/>
    </row>
    <row r="93" spans="1:26" s="110" customFormat="1">
      <c r="A93" s="110" t="s">
        <v>2745</v>
      </c>
      <c r="G93" s="202"/>
      <c r="I93" s="214"/>
      <c r="J93" s="214"/>
      <c r="K93" s="214"/>
      <c r="L93" s="214"/>
      <c r="N93" s="215"/>
      <c r="O93" s="214"/>
      <c r="P93" s="214"/>
      <c r="Q93" s="214"/>
      <c r="S93" s="215"/>
      <c r="T93" s="214"/>
      <c r="U93" s="214"/>
      <c r="V93" s="214"/>
    </row>
    <row r="94" spans="1:26" s="110" customFormat="1">
      <c r="A94" s="110" t="s">
        <v>2746</v>
      </c>
      <c r="G94" s="202"/>
      <c r="N94" s="202"/>
      <c r="S94" s="202"/>
    </row>
    <row r="102" spans="7:22">
      <c r="G102" s="111"/>
      <c r="S102" s="219" t="s">
        <v>2747</v>
      </c>
      <c r="T102" s="135" t="s">
        <v>2748</v>
      </c>
      <c r="U102" s="135" t="s">
        <v>2749</v>
      </c>
      <c r="V102" s="135" t="s">
        <v>2750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33" t="s">
        <v>2751</v>
      </c>
      <c r="B1" s="3533"/>
      <c r="C1" s="3533"/>
      <c r="D1" s="3533"/>
      <c r="E1" s="3533"/>
      <c r="F1" s="3533"/>
      <c r="G1" s="3534"/>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2752</v>
      </c>
      <c r="B2" s="75"/>
      <c r="C2" s="75"/>
      <c r="D2" s="75"/>
      <c r="E2" s="75"/>
      <c r="F2" s="75"/>
      <c r="G2" s="76" t="s">
        <v>2753</v>
      </c>
      <c r="I2" s="83" t="s">
        <v>2247</v>
      </c>
      <c r="J2" s="83" t="s">
        <v>2252</v>
      </c>
      <c r="K2" s="83" t="s">
        <v>2272</v>
      </c>
      <c r="L2" s="83" t="s">
        <v>2297</v>
      </c>
      <c r="M2" s="83" t="s">
        <v>2329</v>
      </c>
      <c r="N2" s="83" t="s">
        <v>2369</v>
      </c>
      <c r="O2" s="83" t="s">
        <v>2432</v>
      </c>
      <c r="P2" s="83" t="s">
        <v>2475</v>
      </c>
      <c r="Q2" s="83" t="s">
        <v>2518</v>
      </c>
      <c r="R2" s="83" t="s">
        <v>2568</v>
      </c>
      <c r="S2" s="83" t="s">
        <v>2599</v>
      </c>
      <c r="T2" s="83" t="s">
        <v>2619</v>
      </c>
    </row>
    <row r="3" spans="1:20" s="72" customFormat="1">
      <c r="A3" s="3535" t="s">
        <v>2245</v>
      </c>
      <c r="B3" s="77"/>
      <c r="C3" s="78" t="s">
        <v>1923</v>
      </c>
      <c r="D3" s="78" t="s">
        <v>562</v>
      </c>
      <c r="E3" s="78" t="s">
        <v>412</v>
      </c>
      <c r="F3" s="78" t="s">
        <v>408</v>
      </c>
      <c r="G3" s="78" t="s">
        <v>280</v>
      </c>
      <c r="H3" s="79"/>
      <c r="I3" s="84" t="s">
        <v>2248</v>
      </c>
      <c r="J3" s="85" t="s">
        <v>2253</v>
      </c>
      <c r="K3" s="85" t="s">
        <v>2273</v>
      </c>
      <c r="L3" s="84" t="s">
        <v>2298</v>
      </c>
      <c r="M3" s="84" t="s">
        <v>2330</v>
      </c>
      <c r="N3" s="84" t="s">
        <v>2370</v>
      </c>
      <c r="O3" s="84" t="s">
        <v>2433</v>
      </c>
      <c r="P3" s="84" t="s">
        <v>2476</v>
      </c>
      <c r="Q3" s="84" t="s">
        <v>2519</v>
      </c>
      <c r="R3" s="84" t="s">
        <v>2569</v>
      </c>
      <c r="S3" s="84" t="s">
        <v>2600</v>
      </c>
      <c r="T3" s="84" t="s">
        <v>2620</v>
      </c>
    </row>
    <row r="4" spans="1:20" s="72" customFormat="1">
      <c r="A4" s="3536"/>
      <c r="B4" s="80" t="s">
        <v>2246</v>
      </c>
      <c r="C4" s="80" t="s">
        <v>2754</v>
      </c>
      <c r="D4" s="80" t="s">
        <v>2754</v>
      </c>
      <c r="E4" s="80" t="s">
        <v>2754</v>
      </c>
      <c r="F4" s="81" t="s">
        <v>2754</v>
      </c>
      <c r="G4" s="81" t="s">
        <v>2754</v>
      </c>
      <c r="H4" s="79"/>
      <c r="I4" s="85" t="s">
        <v>2249</v>
      </c>
      <c r="J4" s="85" t="s">
        <v>2254</v>
      </c>
      <c r="K4" s="85" t="s">
        <v>2274</v>
      </c>
      <c r="L4" s="84" t="s">
        <v>2299</v>
      </c>
      <c r="M4" s="84" t="s">
        <v>2331</v>
      </c>
      <c r="N4" s="84" t="s">
        <v>2371</v>
      </c>
      <c r="O4" s="84" t="s">
        <v>2434</v>
      </c>
      <c r="P4" s="84" t="s">
        <v>2477</v>
      </c>
      <c r="Q4" s="84" t="s">
        <v>2520</v>
      </c>
      <c r="R4" s="84" t="s">
        <v>2570</v>
      </c>
      <c r="S4" s="84" t="s">
        <v>2601</v>
      </c>
      <c r="T4" s="84" t="s">
        <v>2621</v>
      </c>
    </row>
    <row r="5" spans="1:20">
      <c r="A5" s="82" t="s">
        <v>230</v>
      </c>
      <c r="B5" s="83" t="s">
        <v>2247</v>
      </c>
      <c r="C5" s="83">
        <v>34550</v>
      </c>
      <c r="D5" s="83">
        <v>34470</v>
      </c>
      <c r="E5" s="83">
        <v>34330</v>
      </c>
      <c r="F5" s="83">
        <v>13400</v>
      </c>
      <c r="G5" s="83">
        <v>25450</v>
      </c>
      <c r="H5" s="79"/>
      <c r="I5" s="84" t="s">
        <v>2250</v>
      </c>
      <c r="J5" s="85" t="s">
        <v>2255</v>
      </c>
      <c r="K5" s="85" t="s">
        <v>2275</v>
      </c>
      <c r="L5" s="84" t="s">
        <v>2300</v>
      </c>
      <c r="M5" s="84" t="s">
        <v>2332</v>
      </c>
      <c r="N5" s="84" t="s">
        <v>2372</v>
      </c>
      <c r="O5" s="84" t="s">
        <v>2435</v>
      </c>
      <c r="P5" s="84" t="s">
        <v>2478</v>
      </c>
      <c r="Q5" s="84" t="s">
        <v>2521</v>
      </c>
      <c r="R5" s="84" t="s">
        <v>2571</v>
      </c>
      <c r="S5" s="84" t="s">
        <v>2602</v>
      </c>
      <c r="T5" s="84" t="s">
        <v>2622</v>
      </c>
    </row>
    <row r="6" spans="1:20">
      <c r="A6" s="84" t="s">
        <v>230</v>
      </c>
      <c r="B6" s="84" t="s">
        <v>2248</v>
      </c>
      <c r="C6" s="84">
        <v>36990</v>
      </c>
      <c r="D6" s="84">
        <v>36850</v>
      </c>
      <c r="E6" s="84">
        <v>36700</v>
      </c>
      <c r="F6" s="84">
        <v>14590</v>
      </c>
      <c r="G6" s="84">
        <v>27450</v>
      </c>
      <c r="H6" s="79"/>
      <c r="I6" s="87" t="s">
        <v>2251</v>
      </c>
      <c r="J6" s="85" t="s">
        <v>2256</v>
      </c>
      <c r="K6" s="85" t="s">
        <v>2276</v>
      </c>
      <c r="L6" s="84" t="s">
        <v>2301</v>
      </c>
      <c r="M6" s="84" t="s">
        <v>2333</v>
      </c>
      <c r="N6" s="84" t="s">
        <v>2373</v>
      </c>
      <c r="O6" s="84" t="s">
        <v>2436</v>
      </c>
      <c r="P6" s="84" t="s">
        <v>2479</v>
      </c>
      <c r="Q6" s="84" t="s">
        <v>2522</v>
      </c>
      <c r="R6" s="84" t="s">
        <v>2572</v>
      </c>
      <c r="S6" s="84" t="s">
        <v>2603</v>
      </c>
      <c r="T6" s="84" t="s">
        <v>2623</v>
      </c>
    </row>
    <row r="7" spans="1:20">
      <c r="A7" s="84" t="s">
        <v>230</v>
      </c>
      <c r="B7" s="85" t="s">
        <v>2249</v>
      </c>
      <c r="C7" s="84">
        <v>34850</v>
      </c>
      <c r="D7" s="84">
        <v>34690</v>
      </c>
      <c r="E7" s="84">
        <v>34550</v>
      </c>
      <c r="F7" s="84">
        <v>14360</v>
      </c>
      <c r="G7" s="84">
        <v>25620</v>
      </c>
      <c r="H7" s="79"/>
      <c r="J7" s="85" t="s">
        <v>2257</v>
      </c>
      <c r="K7" s="85" t="s">
        <v>2277</v>
      </c>
      <c r="L7" s="84" t="s">
        <v>2302</v>
      </c>
      <c r="M7" s="84" t="s">
        <v>2334</v>
      </c>
      <c r="N7" s="84" t="s">
        <v>2374</v>
      </c>
      <c r="O7" s="84" t="s">
        <v>2437</v>
      </c>
      <c r="P7" s="84" t="s">
        <v>2480</v>
      </c>
      <c r="Q7" s="84" t="s">
        <v>2523</v>
      </c>
      <c r="R7" s="84" t="s">
        <v>2573</v>
      </c>
      <c r="S7" s="84" t="s">
        <v>2604</v>
      </c>
      <c r="T7" s="84" t="s">
        <v>2624</v>
      </c>
    </row>
    <row r="8" spans="1:20">
      <c r="A8" s="84" t="s">
        <v>230</v>
      </c>
      <c r="B8" s="84" t="s">
        <v>2250</v>
      </c>
      <c r="C8" s="84">
        <v>32630</v>
      </c>
      <c r="D8" s="84">
        <v>32510</v>
      </c>
      <c r="E8" s="84">
        <v>32420</v>
      </c>
      <c r="F8" s="84">
        <v>13300</v>
      </c>
      <c r="G8" s="84">
        <v>24010</v>
      </c>
      <c r="H8" s="79"/>
      <c r="J8" s="85" t="s">
        <v>2258</v>
      </c>
      <c r="K8" s="85" t="s">
        <v>2278</v>
      </c>
      <c r="L8" s="84" t="s">
        <v>2303</v>
      </c>
      <c r="M8" s="84" t="s">
        <v>2335</v>
      </c>
      <c r="N8" s="84" t="s">
        <v>2375</v>
      </c>
      <c r="O8" s="84" t="s">
        <v>2438</v>
      </c>
      <c r="P8" s="84" t="s">
        <v>2481</v>
      </c>
      <c r="Q8" s="84" t="s">
        <v>2524</v>
      </c>
      <c r="R8" s="84" t="s">
        <v>2574</v>
      </c>
      <c r="S8" s="84" t="s">
        <v>2605</v>
      </c>
      <c r="T8" s="88" t="s">
        <v>2625</v>
      </c>
    </row>
    <row r="9" spans="1:20">
      <c r="A9" s="86" t="s">
        <v>230</v>
      </c>
      <c r="B9" s="87" t="s">
        <v>2251</v>
      </c>
      <c r="C9" s="88">
        <v>36370</v>
      </c>
      <c r="D9" s="88">
        <v>36210</v>
      </c>
      <c r="E9" s="88">
        <v>36050</v>
      </c>
      <c r="F9" s="88"/>
      <c r="G9" s="88">
        <v>26740</v>
      </c>
      <c r="H9" s="79"/>
      <c r="J9" s="85" t="s">
        <v>2259</v>
      </c>
      <c r="K9" s="85" t="s">
        <v>2279</v>
      </c>
      <c r="L9" s="84" t="s">
        <v>2304</v>
      </c>
      <c r="M9" s="84" t="s">
        <v>2336</v>
      </c>
      <c r="N9" s="84" t="s">
        <v>2376</v>
      </c>
      <c r="O9" s="84" t="s">
        <v>2439</v>
      </c>
      <c r="P9" s="84" t="s">
        <v>2482</v>
      </c>
      <c r="Q9" s="84" t="s">
        <v>2525</v>
      </c>
      <c r="R9" s="84" t="s">
        <v>2575</v>
      </c>
      <c r="S9" s="84" t="s">
        <v>2606</v>
      </c>
    </row>
    <row r="10" spans="1:20">
      <c r="A10" s="82" t="s">
        <v>241</v>
      </c>
      <c r="B10" s="83" t="s">
        <v>2252</v>
      </c>
      <c r="C10" s="84">
        <v>32350</v>
      </c>
      <c r="D10" s="84">
        <v>31430</v>
      </c>
      <c r="E10" s="84">
        <v>31320</v>
      </c>
      <c r="F10" s="84">
        <v>10850</v>
      </c>
      <c r="G10" s="84">
        <v>22860</v>
      </c>
      <c r="H10" s="79"/>
      <c r="J10" s="85" t="s">
        <v>2260</v>
      </c>
      <c r="K10" s="85" t="s">
        <v>2280</v>
      </c>
      <c r="L10" s="84" t="s">
        <v>2305</v>
      </c>
      <c r="M10" s="84" t="s">
        <v>2337</v>
      </c>
      <c r="N10" s="84" t="s">
        <v>2377</v>
      </c>
      <c r="O10" s="84" t="s">
        <v>2440</v>
      </c>
      <c r="P10" s="84" t="s">
        <v>2483</v>
      </c>
      <c r="Q10" s="84" t="s">
        <v>2526</v>
      </c>
      <c r="R10" s="84" t="s">
        <v>2576</v>
      </c>
      <c r="S10" s="84" t="s">
        <v>2607</v>
      </c>
    </row>
    <row r="11" spans="1:20">
      <c r="A11" s="84" t="s">
        <v>241</v>
      </c>
      <c r="B11" s="85" t="s">
        <v>2253</v>
      </c>
      <c r="C11" s="84">
        <v>31590</v>
      </c>
      <c r="D11" s="84">
        <v>29490</v>
      </c>
      <c r="E11" s="84">
        <v>28700</v>
      </c>
      <c r="F11" s="84">
        <v>10410</v>
      </c>
      <c r="G11" s="84">
        <v>21460</v>
      </c>
      <c r="H11" s="79"/>
      <c r="J11" s="85" t="s">
        <v>2261</v>
      </c>
      <c r="K11" s="85" t="s">
        <v>2281</v>
      </c>
      <c r="L11" s="84" t="s">
        <v>2306</v>
      </c>
      <c r="M11" s="84" t="s">
        <v>2338</v>
      </c>
      <c r="N11" s="84" t="s">
        <v>2378</v>
      </c>
      <c r="O11" s="84" t="s">
        <v>2441</v>
      </c>
      <c r="P11" s="84" t="s">
        <v>2484</v>
      </c>
      <c r="Q11" s="84" t="s">
        <v>2527</v>
      </c>
      <c r="R11" s="84" t="s">
        <v>2577</v>
      </c>
      <c r="S11" s="84" t="s">
        <v>2608</v>
      </c>
    </row>
    <row r="12" spans="1:20">
      <c r="A12" s="84" t="s">
        <v>241</v>
      </c>
      <c r="B12" s="85" t="s">
        <v>2254</v>
      </c>
      <c r="C12" s="84">
        <v>29640</v>
      </c>
      <c r="D12" s="84">
        <v>27550</v>
      </c>
      <c r="E12" s="84">
        <v>28010</v>
      </c>
      <c r="F12" s="84">
        <v>8730</v>
      </c>
      <c r="G12" s="84">
        <v>20050</v>
      </c>
      <c r="H12" s="79"/>
      <c r="J12" s="85" t="s">
        <v>2262</v>
      </c>
      <c r="K12" s="85" t="s">
        <v>2282</v>
      </c>
      <c r="L12" s="84" t="s">
        <v>2307</v>
      </c>
      <c r="M12" s="84" t="s">
        <v>2339</v>
      </c>
      <c r="N12" s="84" t="s">
        <v>2379</v>
      </c>
      <c r="O12" s="84" t="s">
        <v>2442</v>
      </c>
      <c r="P12" s="84" t="s">
        <v>2485</v>
      </c>
      <c r="Q12" s="84" t="s">
        <v>2528</v>
      </c>
      <c r="R12" s="84" t="s">
        <v>2578</v>
      </c>
      <c r="S12" s="84" t="s">
        <v>2609</v>
      </c>
    </row>
    <row r="13" spans="1:20">
      <c r="A13" s="84" t="s">
        <v>241</v>
      </c>
      <c r="B13" s="85" t="s">
        <v>2255</v>
      </c>
      <c r="C13" s="84">
        <v>29680</v>
      </c>
      <c r="D13" s="84">
        <v>27660</v>
      </c>
      <c r="E13" s="84">
        <v>28210</v>
      </c>
      <c r="F13" s="84">
        <v>9590</v>
      </c>
      <c r="G13" s="84">
        <v>20120</v>
      </c>
      <c r="H13" s="79"/>
      <c r="J13" s="85" t="s">
        <v>2263</v>
      </c>
      <c r="K13" s="85" t="s">
        <v>2283</v>
      </c>
      <c r="L13" s="84" t="s">
        <v>2308</v>
      </c>
      <c r="M13" s="84" t="s">
        <v>2340</v>
      </c>
      <c r="N13" s="84" t="s">
        <v>2380</v>
      </c>
      <c r="O13" s="84" t="s">
        <v>514</v>
      </c>
      <c r="P13" s="84" t="s">
        <v>2486</v>
      </c>
      <c r="Q13" s="84" t="s">
        <v>2529</v>
      </c>
      <c r="R13" s="84" t="s">
        <v>2579</v>
      </c>
      <c r="S13" s="84" t="s">
        <v>2610</v>
      </c>
    </row>
    <row r="14" spans="1:20">
      <c r="A14" s="84" t="s">
        <v>241</v>
      </c>
      <c r="B14" s="85" t="s">
        <v>2256</v>
      </c>
      <c r="C14" s="84">
        <v>30520</v>
      </c>
      <c r="D14" s="84">
        <v>29510</v>
      </c>
      <c r="E14" s="84">
        <v>29400</v>
      </c>
      <c r="F14" s="84">
        <v>9630</v>
      </c>
      <c r="G14" s="84">
        <v>21480</v>
      </c>
      <c r="H14" s="79"/>
      <c r="J14" s="85" t="s">
        <v>2264</v>
      </c>
      <c r="K14" s="85" t="s">
        <v>2284</v>
      </c>
      <c r="L14" s="84" t="s">
        <v>2309</v>
      </c>
      <c r="M14" s="84" t="s">
        <v>2341</v>
      </c>
      <c r="N14" s="84" t="s">
        <v>2381</v>
      </c>
      <c r="O14" s="84" t="s">
        <v>2443</v>
      </c>
      <c r="P14" s="84" t="s">
        <v>2487</v>
      </c>
      <c r="Q14" s="84" t="s">
        <v>2530</v>
      </c>
      <c r="R14" s="84" t="s">
        <v>2580</v>
      </c>
      <c r="S14" s="84" t="s">
        <v>2611</v>
      </c>
    </row>
    <row r="15" spans="1:20">
      <c r="A15" s="84" t="s">
        <v>241</v>
      </c>
      <c r="B15" s="85" t="s">
        <v>2257</v>
      </c>
      <c r="C15" s="84">
        <v>29090</v>
      </c>
      <c r="D15" s="84">
        <v>27590</v>
      </c>
      <c r="E15" s="84">
        <v>28120</v>
      </c>
      <c r="F15" s="84">
        <v>9110</v>
      </c>
      <c r="G15" s="84">
        <v>20070</v>
      </c>
      <c r="H15" s="79"/>
      <c r="J15" s="85" t="s">
        <v>2265</v>
      </c>
      <c r="K15" s="85" t="s">
        <v>2285</v>
      </c>
      <c r="L15" s="84" t="s">
        <v>2310</v>
      </c>
      <c r="M15" s="84" t="s">
        <v>2342</v>
      </c>
      <c r="N15" s="84" t="s">
        <v>2382</v>
      </c>
      <c r="O15" s="84" t="s">
        <v>2444</v>
      </c>
      <c r="P15" s="84" t="s">
        <v>2488</v>
      </c>
      <c r="Q15" s="84" t="s">
        <v>2531</v>
      </c>
      <c r="R15" s="84" t="s">
        <v>2581</v>
      </c>
      <c r="S15" s="84" t="s">
        <v>2612</v>
      </c>
    </row>
    <row r="16" spans="1:20">
      <c r="A16" s="84" t="s">
        <v>241</v>
      </c>
      <c r="B16" s="85" t="s">
        <v>2258</v>
      </c>
      <c r="C16" s="84">
        <v>26790</v>
      </c>
      <c r="D16" s="84">
        <v>30370</v>
      </c>
      <c r="E16" s="84">
        <v>30240</v>
      </c>
      <c r="F16" s="84">
        <v>11590</v>
      </c>
      <c r="G16" s="84">
        <v>22090</v>
      </c>
      <c r="H16" s="79"/>
      <c r="J16" s="85" t="s">
        <v>2266</v>
      </c>
      <c r="K16" s="85" t="s">
        <v>2286</v>
      </c>
      <c r="L16" s="84" t="s">
        <v>2311</v>
      </c>
      <c r="M16" s="84" t="s">
        <v>2343</v>
      </c>
      <c r="N16" s="84" t="s">
        <v>2383</v>
      </c>
      <c r="O16" s="84" t="s">
        <v>2445</v>
      </c>
      <c r="P16" s="84" t="s">
        <v>2489</v>
      </c>
      <c r="Q16" s="84" t="s">
        <v>2532</v>
      </c>
      <c r="R16" s="84" t="s">
        <v>2582</v>
      </c>
      <c r="S16" s="84" t="s">
        <v>2613</v>
      </c>
    </row>
    <row r="17" spans="1:19" ht="14.25" customHeight="1">
      <c r="A17" s="84" t="s">
        <v>241</v>
      </c>
      <c r="B17" s="85" t="s">
        <v>2259</v>
      </c>
      <c r="C17" s="84">
        <v>29180</v>
      </c>
      <c r="D17" s="84">
        <v>27620</v>
      </c>
      <c r="E17" s="84">
        <v>28180</v>
      </c>
      <c r="F17" s="84">
        <v>10790</v>
      </c>
      <c r="G17" s="84">
        <v>20090</v>
      </c>
      <c r="H17" s="79"/>
      <c r="J17" s="85" t="s">
        <v>2267</v>
      </c>
      <c r="K17" s="85" t="s">
        <v>2287</v>
      </c>
      <c r="L17" s="84" t="s">
        <v>2312</v>
      </c>
      <c r="M17" s="84" t="s">
        <v>2344</v>
      </c>
      <c r="N17" s="84" t="s">
        <v>2384</v>
      </c>
      <c r="O17" s="84" t="s">
        <v>2446</v>
      </c>
      <c r="P17" s="84" t="s">
        <v>2490</v>
      </c>
      <c r="Q17" s="84" t="s">
        <v>2533</v>
      </c>
      <c r="R17" s="84" t="s">
        <v>2583</v>
      </c>
      <c r="S17" s="84" t="s">
        <v>2614</v>
      </c>
    </row>
    <row r="18" spans="1:19" ht="14.25" customHeight="1">
      <c r="A18" s="84" t="s">
        <v>241</v>
      </c>
      <c r="B18" s="85" t="s">
        <v>2260</v>
      </c>
      <c r="C18" s="84">
        <v>26840</v>
      </c>
      <c r="D18" s="84">
        <v>28930</v>
      </c>
      <c r="E18" s="84">
        <v>28820</v>
      </c>
      <c r="F18" s="84"/>
      <c r="G18" s="84">
        <v>21050</v>
      </c>
      <c r="H18" s="79"/>
      <c r="J18" s="85" t="s">
        <v>2268</v>
      </c>
      <c r="K18" s="85" t="s">
        <v>2288</v>
      </c>
      <c r="L18" s="84" t="s">
        <v>2313</v>
      </c>
      <c r="M18" s="84" t="s">
        <v>2345</v>
      </c>
      <c r="N18" s="84" t="s">
        <v>2385</v>
      </c>
      <c r="O18" s="84" t="s">
        <v>2447</v>
      </c>
      <c r="P18" s="84" t="s">
        <v>2491</v>
      </c>
      <c r="Q18" s="84" t="s">
        <v>2534</v>
      </c>
      <c r="R18" s="84" t="s">
        <v>2584</v>
      </c>
      <c r="S18" s="84" t="s">
        <v>2615</v>
      </c>
    </row>
    <row r="19" spans="1:19" ht="14.25" customHeight="1">
      <c r="A19" s="84" t="s">
        <v>241</v>
      </c>
      <c r="B19" s="85" t="s">
        <v>2261</v>
      </c>
      <c r="C19" s="84">
        <v>27750</v>
      </c>
      <c r="D19" s="84">
        <v>26680</v>
      </c>
      <c r="E19" s="84">
        <v>26590</v>
      </c>
      <c r="F19" s="84"/>
      <c r="G19" s="84">
        <v>19420</v>
      </c>
      <c r="H19" s="79"/>
      <c r="J19" s="85" t="s">
        <v>2269</v>
      </c>
      <c r="K19" s="85" t="s">
        <v>2289</v>
      </c>
      <c r="L19" s="84" t="s">
        <v>2314</v>
      </c>
      <c r="M19" s="84" t="s">
        <v>2346</v>
      </c>
      <c r="N19" s="84" t="s">
        <v>2386</v>
      </c>
      <c r="O19" s="84" t="s">
        <v>2448</v>
      </c>
      <c r="P19" s="84" t="s">
        <v>2492</v>
      </c>
      <c r="Q19" s="84" t="s">
        <v>2535</v>
      </c>
      <c r="R19" s="84" t="s">
        <v>2585</v>
      </c>
      <c r="S19" s="84" t="s">
        <v>2616</v>
      </c>
    </row>
    <row r="20" spans="1:19" ht="14.25" customHeight="1">
      <c r="A20" s="84" t="s">
        <v>241</v>
      </c>
      <c r="B20" s="85" t="s">
        <v>2262</v>
      </c>
      <c r="C20" s="84">
        <v>27050</v>
      </c>
      <c r="D20" s="84">
        <v>29010</v>
      </c>
      <c r="E20" s="84">
        <v>28910</v>
      </c>
      <c r="F20" s="84"/>
      <c r="G20" s="84">
        <v>21110</v>
      </c>
      <c r="J20" s="85" t="s">
        <v>2270</v>
      </c>
      <c r="K20" s="85" t="s">
        <v>2290</v>
      </c>
      <c r="L20" s="84" t="s">
        <v>2315</v>
      </c>
      <c r="M20" s="84" t="s">
        <v>2347</v>
      </c>
      <c r="N20" s="84" t="s">
        <v>2387</v>
      </c>
      <c r="O20" s="84" t="s">
        <v>2449</v>
      </c>
      <c r="P20" s="84" t="s">
        <v>2493</v>
      </c>
      <c r="Q20" s="84" t="s">
        <v>2536</v>
      </c>
      <c r="R20" s="84" t="s">
        <v>2586</v>
      </c>
      <c r="S20" s="84" t="s">
        <v>2617</v>
      </c>
    </row>
    <row r="21" spans="1:19" ht="14.25" customHeight="1">
      <c r="A21" s="84" t="s">
        <v>241</v>
      </c>
      <c r="B21" s="85" t="s">
        <v>2263</v>
      </c>
      <c r="C21" s="84">
        <v>32370</v>
      </c>
      <c r="D21" s="84">
        <v>26730</v>
      </c>
      <c r="E21" s="84">
        <v>26640</v>
      </c>
      <c r="F21" s="84"/>
      <c r="G21" s="84">
        <v>19440</v>
      </c>
      <c r="J21" s="88" t="s">
        <v>2271</v>
      </c>
      <c r="K21" s="85" t="s">
        <v>2291</v>
      </c>
      <c r="L21" s="84" t="s">
        <v>2316</v>
      </c>
      <c r="M21" s="84" t="s">
        <v>2348</v>
      </c>
      <c r="N21" s="84" t="s">
        <v>2388</v>
      </c>
      <c r="O21" s="84" t="s">
        <v>2450</v>
      </c>
      <c r="P21" s="84" t="s">
        <v>2494</v>
      </c>
      <c r="Q21" s="84" t="s">
        <v>2537</v>
      </c>
      <c r="R21" s="84" t="s">
        <v>2587</v>
      </c>
      <c r="S21" s="88" t="s">
        <v>2618</v>
      </c>
    </row>
    <row r="22" spans="1:19" ht="14.25" customHeight="1">
      <c r="A22" s="84" t="s">
        <v>241</v>
      </c>
      <c r="B22" s="85" t="s">
        <v>2264</v>
      </c>
      <c r="C22" s="84">
        <v>29830</v>
      </c>
      <c r="D22" s="84">
        <v>27600</v>
      </c>
      <c r="E22" s="84">
        <v>28150</v>
      </c>
      <c r="F22" s="84"/>
      <c r="G22" s="84">
        <v>20080</v>
      </c>
      <c r="K22" s="85" t="s">
        <v>2292</v>
      </c>
      <c r="L22" s="84" t="s">
        <v>2317</v>
      </c>
      <c r="M22" s="84" t="s">
        <v>2349</v>
      </c>
      <c r="N22" s="84" t="s">
        <v>2389</v>
      </c>
      <c r="O22" s="84" t="s">
        <v>2451</v>
      </c>
      <c r="P22" s="84" t="s">
        <v>2495</v>
      </c>
      <c r="Q22" s="84" t="s">
        <v>2538</v>
      </c>
      <c r="R22" s="84" t="s">
        <v>2588</v>
      </c>
    </row>
    <row r="23" spans="1:19" ht="14.25" customHeight="1">
      <c r="A23" s="84" t="s">
        <v>241</v>
      </c>
      <c r="B23" s="85" t="s">
        <v>2265</v>
      </c>
      <c r="C23" s="84">
        <v>27800</v>
      </c>
      <c r="D23" s="84">
        <v>26900</v>
      </c>
      <c r="E23" s="84">
        <v>27170</v>
      </c>
      <c r="F23" s="84"/>
      <c r="G23" s="84">
        <v>19570</v>
      </c>
      <c r="K23" s="85" t="s">
        <v>2293</v>
      </c>
      <c r="L23" s="84" t="s">
        <v>2318</v>
      </c>
      <c r="M23" s="84" t="s">
        <v>2350</v>
      </c>
      <c r="N23" s="84" t="s">
        <v>2390</v>
      </c>
      <c r="O23" s="84" t="s">
        <v>2452</v>
      </c>
      <c r="P23" s="84" t="s">
        <v>2496</v>
      </c>
      <c r="Q23" s="84" t="s">
        <v>2539</v>
      </c>
      <c r="R23" s="84" t="s">
        <v>2589</v>
      </c>
    </row>
    <row r="24" spans="1:19" ht="14.25" customHeight="1">
      <c r="A24" s="84" t="s">
        <v>241</v>
      </c>
      <c r="B24" s="85" t="s">
        <v>2266</v>
      </c>
      <c r="C24" s="84">
        <v>27930</v>
      </c>
      <c r="D24" s="84">
        <v>32260</v>
      </c>
      <c r="E24" s="84">
        <v>32120</v>
      </c>
      <c r="F24" s="84"/>
      <c r="G24" s="84">
        <v>23470</v>
      </c>
      <c r="K24" s="85" t="s">
        <v>2294</v>
      </c>
      <c r="L24" s="84" t="s">
        <v>2319</v>
      </c>
      <c r="M24" s="84" t="s">
        <v>2351</v>
      </c>
      <c r="N24" s="84" t="s">
        <v>2391</v>
      </c>
      <c r="O24" s="84" t="s">
        <v>2453</v>
      </c>
      <c r="P24" s="84" t="s">
        <v>2497</v>
      </c>
      <c r="Q24" s="98" t="s">
        <v>2540</v>
      </c>
      <c r="R24" s="84" t="s">
        <v>2590</v>
      </c>
    </row>
    <row r="25" spans="1:19" ht="14.25" customHeight="1">
      <c r="A25" s="84" t="s">
        <v>241</v>
      </c>
      <c r="B25" s="85" t="s">
        <v>2267</v>
      </c>
      <c r="C25" s="84">
        <v>32230</v>
      </c>
      <c r="D25" s="84">
        <v>29640</v>
      </c>
      <c r="E25" s="84">
        <v>29510</v>
      </c>
      <c r="F25" s="84"/>
      <c r="G25" s="84">
        <v>21560</v>
      </c>
      <c r="K25" s="85" t="s">
        <v>2295</v>
      </c>
      <c r="L25" s="84" t="s">
        <v>2320</v>
      </c>
      <c r="M25" s="84" t="s">
        <v>2352</v>
      </c>
      <c r="N25" s="84" t="s">
        <v>2392</v>
      </c>
      <c r="O25" s="84" t="s">
        <v>2454</v>
      </c>
      <c r="P25" s="84" t="s">
        <v>2498</v>
      </c>
      <c r="Q25" s="98" t="s">
        <v>2541</v>
      </c>
      <c r="R25" s="84" t="s">
        <v>2591</v>
      </c>
    </row>
    <row r="26" spans="1:19" ht="14.25" customHeight="1">
      <c r="A26" s="84" t="s">
        <v>241</v>
      </c>
      <c r="B26" s="85" t="s">
        <v>2268</v>
      </c>
      <c r="C26" s="84">
        <v>31690</v>
      </c>
      <c r="D26" s="84">
        <v>27650</v>
      </c>
      <c r="E26" s="84">
        <v>28200</v>
      </c>
      <c r="F26" s="84"/>
      <c r="G26" s="84">
        <v>20110</v>
      </c>
      <c r="K26" s="87" t="s">
        <v>2296</v>
      </c>
      <c r="L26" s="84" t="s">
        <v>2321</v>
      </c>
      <c r="M26" s="84" t="s">
        <v>2353</v>
      </c>
      <c r="N26" s="84" t="s">
        <v>2393</v>
      </c>
      <c r="O26" s="84" t="s">
        <v>2455</v>
      </c>
      <c r="P26" s="84" t="s">
        <v>2499</v>
      </c>
      <c r="Q26" s="98" t="s">
        <v>2542</v>
      </c>
      <c r="R26" s="84" t="s">
        <v>2592</v>
      </c>
    </row>
    <row r="27" spans="1:19" ht="14.25" customHeight="1">
      <c r="A27" s="84" t="s">
        <v>241</v>
      </c>
      <c r="B27" s="85" t="s">
        <v>2269</v>
      </c>
      <c r="C27" s="84">
        <v>29610</v>
      </c>
      <c r="D27" s="84">
        <v>27770</v>
      </c>
      <c r="E27" s="84">
        <v>28300</v>
      </c>
      <c r="F27" s="84"/>
      <c r="G27" s="84">
        <v>20210</v>
      </c>
      <c r="L27" s="84" t="s">
        <v>2322</v>
      </c>
      <c r="M27" s="84" t="s">
        <v>2354</v>
      </c>
      <c r="N27" s="84" t="s">
        <v>2394</v>
      </c>
      <c r="O27" s="84" t="s">
        <v>2456</v>
      </c>
      <c r="P27" s="84" t="s">
        <v>2500</v>
      </c>
      <c r="Q27" s="84" t="s">
        <v>2543</v>
      </c>
      <c r="R27" s="84" t="s">
        <v>2593</v>
      </c>
    </row>
    <row r="28" spans="1:19" ht="14.25" customHeight="1">
      <c r="A28" s="84" t="s">
        <v>241</v>
      </c>
      <c r="B28" s="85" t="s">
        <v>2270</v>
      </c>
      <c r="C28" s="84"/>
      <c r="D28" s="84">
        <v>31520</v>
      </c>
      <c r="E28" s="84">
        <v>31410</v>
      </c>
      <c r="F28" s="84"/>
      <c r="G28" s="84">
        <v>22940</v>
      </c>
      <c r="L28" s="84" t="s">
        <v>2323</v>
      </c>
      <c r="M28" s="84" t="s">
        <v>2355</v>
      </c>
      <c r="N28" s="84" t="s">
        <v>2395</v>
      </c>
      <c r="O28" s="84" t="s">
        <v>2457</v>
      </c>
      <c r="P28" s="84" t="s">
        <v>2501</v>
      </c>
      <c r="Q28" s="84" t="s">
        <v>2544</v>
      </c>
      <c r="R28" s="84" t="s">
        <v>2594</v>
      </c>
    </row>
    <row r="29" spans="1:19" ht="14.25" customHeight="1">
      <c r="A29" s="86" t="s">
        <v>241</v>
      </c>
      <c r="B29" s="89" t="s">
        <v>2271</v>
      </c>
      <c r="C29" s="90"/>
      <c r="D29" s="90">
        <v>29460</v>
      </c>
      <c r="E29" s="90">
        <v>28640</v>
      </c>
      <c r="F29" s="90"/>
      <c r="G29" s="90">
        <v>21430</v>
      </c>
      <c r="L29" s="84" t="s">
        <v>2324</v>
      </c>
      <c r="M29" s="84" t="s">
        <v>2356</v>
      </c>
      <c r="N29" s="84" t="s">
        <v>2396</v>
      </c>
      <c r="O29" s="84" t="s">
        <v>2458</v>
      </c>
      <c r="P29" s="84" t="s">
        <v>2502</v>
      </c>
      <c r="Q29" s="84" t="s">
        <v>2545</v>
      </c>
      <c r="R29" s="84" t="s">
        <v>2595</v>
      </c>
    </row>
    <row r="30" spans="1:19" ht="14.25" customHeight="1">
      <c r="A30" s="82" t="s">
        <v>251</v>
      </c>
      <c r="B30" s="83" t="s">
        <v>2272</v>
      </c>
      <c r="C30" s="83">
        <v>26890</v>
      </c>
      <c r="D30" s="83">
        <v>26770</v>
      </c>
      <c r="E30" s="83">
        <v>25700</v>
      </c>
      <c r="F30" s="83">
        <v>8180</v>
      </c>
      <c r="G30" s="91">
        <v>18740</v>
      </c>
      <c r="L30" s="84" t="s">
        <v>2325</v>
      </c>
      <c r="M30" s="84" t="s">
        <v>2357</v>
      </c>
      <c r="N30" s="84" t="s">
        <v>2397</v>
      </c>
      <c r="O30" s="84" t="s">
        <v>2459</v>
      </c>
      <c r="P30" s="84" t="s">
        <v>2503</v>
      </c>
      <c r="Q30" s="84" t="s">
        <v>2546</v>
      </c>
      <c r="R30" s="84" t="s">
        <v>2596</v>
      </c>
    </row>
    <row r="31" spans="1:19" ht="14.25" customHeight="1">
      <c r="A31" s="84" t="s">
        <v>251</v>
      </c>
      <c r="B31" s="85" t="s">
        <v>2273</v>
      </c>
      <c r="C31" s="84">
        <v>24550</v>
      </c>
      <c r="D31" s="84">
        <v>23990</v>
      </c>
      <c r="E31" s="84">
        <v>22930</v>
      </c>
      <c r="F31" s="84">
        <v>7470</v>
      </c>
      <c r="G31" s="92">
        <v>16790</v>
      </c>
      <c r="L31" s="84" t="s">
        <v>2326</v>
      </c>
      <c r="M31" s="84" t="s">
        <v>2358</v>
      </c>
      <c r="N31" s="84" t="s">
        <v>2398</v>
      </c>
      <c r="O31" s="84" t="s">
        <v>2460</v>
      </c>
      <c r="P31" s="84" t="s">
        <v>2504</v>
      </c>
      <c r="Q31" s="84" t="s">
        <v>2547</v>
      </c>
      <c r="R31" s="84" t="s">
        <v>2597</v>
      </c>
    </row>
    <row r="32" spans="1:19" ht="14.25" customHeight="1">
      <c r="A32" s="84" t="s">
        <v>251</v>
      </c>
      <c r="B32" s="85" t="s">
        <v>2274</v>
      </c>
      <c r="C32" s="84">
        <v>27210</v>
      </c>
      <c r="D32" s="84">
        <v>23240</v>
      </c>
      <c r="E32" s="84">
        <v>23260</v>
      </c>
      <c r="F32" s="84">
        <v>7130</v>
      </c>
      <c r="G32" s="92">
        <v>16270</v>
      </c>
      <c r="L32" s="84" t="s">
        <v>2327</v>
      </c>
      <c r="M32" s="84" t="s">
        <v>2359</v>
      </c>
      <c r="N32" s="84" t="s">
        <v>2399</v>
      </c>
      <c r="O32" s="84" t="s">
        <v>2461</v>
      </c>
      <c r="P32" s="84" t="s">
        <v>2505</v>
      </c>
      <c r="Q32" s="84" t="s">
        <v>2548</v>
      </c>
      <c r="R32" s="88" t="s">
        <v>2598</v>
      </c>
    </row>
    <row r="33" spans="1:17" ht="14.25" customHeight="1">
      <c r="A33" s="84" t="s">
        <v>251</v>
      </c>
      <c r="B33" s="85" t="s">
        <v>2275</v>
      </c>
      <c r="C33" s="84">
        <v>27300</v>
      </c>
      <c r="D33" s="84">
        <v>22980</v>
      </c>
      <c r="E33" s="84">
        <v>24260</v>
      </c>
      <c r="F33" s="84">
        <v>5860</v>
      </c>
      <c r="G33" s="92">
        <v>16090</v>
      </c>
      <c r="L33" s="88" t="s">
        <v>2328</v>
      </c>
      <c r="M33" s="84" t="s">
        <v>2360</v>
      </c>
      <c r="N33" s="84" t="s">
        <v>2400</v>
      </c>
      <c r="O33" s="84" t="s">
        <v>2462</v>
      </c>
      <c r="P33" s="84" t="s">
        <v>2506</v>
      </c>
      <c r="Q33" s="84" t="s">
        <v>2549</v>
      </c>
    </row>
    <row r="34" spans="1:17" ht="14.25" customHeight="1">
      <c r="A34" s="84" t="s">
        <v>251</v>
      </c>
      <c r="B34" s="85" t="s">
        <v>2276</v>
      </c>
      <c r="C34" s="84">
        <v>23090</v>
      </c>
      <c r="D34" s="84">
        <v>23390</v>
      </c>
      <c r="E34" s="84">
        <v>23510</v>
      </c>
      <c r="F34" s="84">
        <v>6700</v>
      </c>
      <c r="G34" s="92">
        <v>16370</v>
      </c>
      <c r="M34" s="84" t="s">
        <v>2361</v>
      </c>
      <c r="N34" s="84" t="s">
        <v>2401</v>
      </c>
      <c r="O34" s="84" t="s">
        <v>2463</v>
      </c>
      <c r="P34" s="84" t="s">
        <v>2507</v>
      </c>
      <c r="Q34" s="84" t="s">
        <v>2550</v>
      </c>
    </row>
    <row r="35" spans="1:17" ht="14.25" customHeight="1">
      <c r="A35" s="84" t="s">
        <v>251</v>
      </c>
      <c r="B35" s="85" t="s">
        <v>2277</v>
      </c>
      <c r="C35" s="84">
        <v>27270</v>
      </c>
      <c r="D35" s="84">
        <v>24270</v>
      </c>
      <c r="E35" s="84">
        <v>24950</v>
      </c>
      <c r="F35" s="84">
        <v>6600</v>
      </c>
      <c r="G35" s="92">
        <v>16990</v>
      </c>
      <c r="M35" s="84" t="s">
        <v>2362</v>
      </c>
      <c r="N35" s="84" t="s">
        <v>2402</v>
      </c>
      <c r="O35" s="84" t="s">
        <v>2464</v>
      </c>
      <c r="P35" s="84" t="s">
        <v>2508</v>
      </c>
      <c r="Q35" s="84" t="s">
        <v>2551</v>
      </c>
    </row>
    <row r="36" spans="1:17" ht="14.25" customHeight="1">
      <c r="A36" s="84" t="s">
        <v>251</v>
      </c>
      <c r="B36" s="85" t="s">
        <v>2278</v>
      </c>
      <c r="C36" s="84">
        <v>23490</v>
      </c>
      <c r="D36" s="84">
        <v>23020</v>
      </c>
      <c r="E36" s="84">
        <v>25230</v>
      </c>
      <c r="F36" s="84">
        <v>6780</v>
      </c>
      <c r="G36" s="92">
        <v>16120</v>
      </c>
      <c r="M36" s="84" t="s">
        <v>2363</v>
      </c>
      <c r="N36" s="84" t="s">
        <v>2403</v>
      </c>
      <c r="O36" s="84" t="s">
        <v>2465</v>
      </c>
      <c r="P36" s="84" t="s">
        <v>2509</v>
      </c>
      <c r="Q36" s="84" t="s">
        <v>2552</v>
      </c>
    </row>
    <row r="37" spans="1:17" ht="14.25" customHeight="1">
      <c r="A37" s="84" t="s">
        <v>251</v>
      </c>
      <c r="B37" s="85" t="s">
        <v>2279</v>
      </c>
      <c r="C37" s="84">
        <v>24380</v>
      </c>
      <c r="D37" s="84">
        <v>22240</v>
      </c>
      <c r="E37" s="84">
        <v>25980</v>
      </c>
      <c r="F37" s="84">
        <v>8160</v>
      </c>
      <c r="G37" s="92">
        <v>15570</v>
      </c>
      <c r="M37" s="84" t="s">
        <v>2364</v>
      </c>
      <c r="N37" s="84" t="s">
        <v>2404</v>
      </c>
      <c r="O37" s="84" t="s">
        <v>2466</v>
      </c>
      <c r="P37" s="84" t="s">
        <v>2510</v>
      </c>
      <c r="Q37" s="84" t="s">
        <v>2553</v>
      </c>
    </row>
    <row r="38" spans="1:17" ht="14.25" customHeight="1">
      <c r="A38" s="84" t="s">
        <v>251</v>
      </c>
      <c r="B38" s="85" t="s">
        <v>2280</v>
      </c>
      <c r="C38" s="84">
        <v>23120</v>
      </c>
      <c r="D38" s="84">
        <v>24630</v>
      </c>
      <c r="E38" s="84">
        <v>25030</v>
      </c>
      <c r="F38" s="84">
        <v>7710</v>
      </c>
      <c r="G38" s="92">
        <v>17240</v>
      </c>
      <c r="M38" s="84" t="s">
        <v>2365</v>
      </c>
      <c r="N38" s="84" t="s">
        <v>2405</v>
      </c>
      <c r="O38" s="84" t="s">
        <v>2467</v>
      </c>
      <c r="P38" s="84" t="s">
        <v>2511</v>
      </c>
      <c r="Q38" s="84" t="s">
        <v>2554</v>
      </c>
    </row>
    <row r="39" spans="1:17" ht="14.25" customHeight="1">
      <c r="A39" s="84" t="s">
        <v>251</v>
      </c>
      <c r="B39" s="85" t="s">
        <v>2281</v>
      </c>
      <c r="C39" s="84">
        <v>22330</v>
      </c>
      <c r="D39" s="84">
        <v>21140</v>
      </c>
      <c r="E39" s="84">
        <v>23970</v>
      </c>
      <c r="F39" s="84">
        <v>7940</v>
      </c>
      <c r="G39" s="92">
        <v>14790</v>
      </c>
      <c r="M39" s="84" t="s">
        <v>2366</v>
      </c>
      <c r="N39" s="84" t="s">
        <v>2406</v>
      </c>
      <c r="O39" s="84" t="s">
        <v>2755</v>
      </c>
      <c r="P39" s="84" t="s">
        <v>2512</v>
      </c>
      <c r="Q39" s="84" t="s">
        <v>2555</v>
      </c>
    </row>
    <row r="40" spans="1:17" ht="14.25" customHeight="1">
      <c r="A40" s="84" t="s">
        <v>251</v>
      </c>
      <c r="B40" s="85" t="s">
        <v>2282</v>
      </c>
      <c r="C40" s="84">
        <v>24740</v>
      </c>
      <c r="D40" s="84">
        <v>24690</v>
      </c>
      <c r="E40" s="84">
        <v>22610</v>
      </c>
      <c r="F40" s="84"/>
      <c r="G40" s="92">
        <v>17280</v>
      </c>
      <c r="M40" s="84" t="s">
        <v>2367</v>
      </c>
      <c r="N40" s="84" t="s">
        <v>2407</v>
      </c>
      <c r="O40" s="84" t="s">
        <v>2756</v>
      </c>
      <c r="P40" s="84" t="s">
        <v>2513</v>
      </c>
      <c r="Q40" s="84" t="s">
        <v>2556</v>
      </c>
    </row>
    <row r="41" spans="1:17" ht="14.25" customHeight="1">
      <c r="A41" s="84" t="s">
        <v>251</v>
      </c>
      <c r="B41" s="85" t="s">
        <v>2283</v>
      </c>
      <c r="C41" s="84">
        <v>21220</v>
      </c>
      <c r="D41" s="84">
        <v>21120</v>
      </c>
      <c r="E41" s="84">
        <v>22590</v>
      </c>
      <c r="F41" s="84"/>
      <c r="G41" s="92">
        <v>14780</v>
      </c>
      <c r="M41" s="88" t="s">
        <v>2368</v>
      </c>
      <c r="N41" s="84" t="s">
        <v>2408</v>
      </c>
      <c r="O41" s="84" t="s">
        <v>2757</v>
      </c>
      <c r="P41" s="84" t="s">
        <v>2514</v>
      </c>
      <c r="Q41" s="84" t="s">
        <v>2557</v>
      </c>
    </row>
    <row r="42" spans="1:17" ht="14.25" customHeight="1">
      <c r="A42" s="84" t="s">
        <v>251</v>
      </c>
      <c r="B42" s="85" t="s">
        <v>2284</v>
      </c>
      <c r="C42" s="84">
        <v>24800</v>
      </c>
      <c r="D42" s="84">
        <v>22280</v>
      </c>
      <c r="E42" s="84">
        <v>24350</v>
      </c>
      <c r="F42" s="84"/>
      <c r="G42" s="92">
        <v>15590</v>
      </c>
      <c r="N42" s="84" t="s">
        <v>2409</v>
      </c>
      <c r="O42" s="84" t="s">
        <v>2471</v>
      </c>
      <c r="P42" s="84" t="s">
        <v>2515</v>
      </c>
      <c r="Q42" s="84" t="s">
        <v>2558</v>
      </c>
    </row>
    <row r="43" spans="1:17" ht="14.25" customHeight="1">
      <c r="A43" s="84" t="s">
        <v>251</v>
      </c>
      <c r="B43" s="85" t="s">
        <v>2285</v>
      </c>
      <c r="C43" s="84">
        <v>21210</v>
      </c>
      <c r="D43" s="84">
        <v>21160</v>
      </c>
      <c r="E43" s="84">
        <v>22650</v>
      </c>
      <c r="F43" s="84"/>
      <c r="G43" s="92">
        <v>14800</v>
      </c>
      <c r="N43" s="84" t="s">
        <v>2410</v>
      </c>
      <c r="O43" s="84" t="s">
        <v>2472</v>
      </c>
      <c r="P43" s="84" t="s">
        <v>2516</v>
      </c>
      <c r="Q43" s="84" t="s">
        <v>2559</v>
      </c>
    </row>
    <row r="44" spans="1:17" ht="14.25" customHeight="1">
      <c r="A44" s="84" t="s">
        <v>251</v>
      </c>
      <c r="B44" s="85" t="s">
        <v>2286</v>
      </c>
      <c r="C44" s="84">
        <v>22370</v>
      </c>
      <c r="D44" s="84">
        <v>23140</v>
      </c>
      <c r="E44" s="84">
        <v>25090</v>
      </c>
      <c r="F44" s="84"/>
      <c r="G44" s="92">
        <v>16190</v>
      </c>
      <c r="N44" s="84" t="s">
        <v>2411</v>
      </c>
      <c r="O44" s="84" t="s">
        <v>2758</v>
      </c>
      <c r="P44" s="88" t="s">
        <v>2517</v>
      </c>
      <c r="Q44" s="84" t="s">
        <v>2560</v>
      </c>
    </row>
    <row r="45" spans="1:17" ht="14.25" customHeight="1">
      <c r="A45" s="84" t="s">
        <v>251</v>
      </c>
      <c r="B45" s="85" t="s">
        <v>2287</v>
      </c>
      <c r="C45" s="84">
        <v>21240</v>
      </c>
      <c r="D45" s="84">
        <v>27050</v>
      </c>
      <c r="E45" s="84">
        <v>28000</v>
      </c>
      <c r="F45" s="84"/>
      <c r="G45" s="92">
        <v>18940</v>
      </c>
      <c r="N45" s="84" t="s">
        <v>2412</v>
      </c>
      <c r="O45" s="88" t="s">
        <v>2474</v>
      </c>
      <c r="Q45" s="84" t="s">
        <v>2561</v>
      </c>
    </row>
    <row r="46" spans="1:17" ht="14.25" customHeight="1">
      <c r="A46" s="84" t="s">
        <v>251</v>
      </c>
      <c r="B46" s="85" t="s">
        <v>2288</v>
      </c>
      <c r="C46" s="84">
        <v>23240</v>
      </c>
      <c r="D46" s="84">
        <v>23000</v>
      </c>
      <c r="E46" s="84">
        <v>24980</v>
      </c>
      <c r="F46" s="84"/>
      <c r="G46" s="92">
        <v>16100</v>
      </c>
      <c r="N46" s="84" t="s">
        <v>2413</v>
      </c>
      <c r="Q46" s="84" t="s">
        <v>2562</v>
      </c>
    </row>
    <row r="47" spans="1:17" ht="14.25" customHeight="1">
      <c r="A47" s="84" t="s">
        <v>251</v>
      </c>
      <c r="B47" s="85" t="s">
        <v>2289</v>
      </c>
      <c r="C47" s="84">
        <v>27150</v>
      </c>
      <c r="D47" s="84">
        <v>23310</v>
      </c>
      <c r="E47" s="84">
        <v>25150</v>
      </c>
      <c r="F47" s="84"/>
      <c r="G47" s="92">
        <v>16310</v>
      </c>
      <c r="N47" s="84" t="s">
        <v>2414</v>
      </c>
      <c r="Q47" s="84" t="s">
        <v>2563</v>
      </c>
    </row>
    <row r="48" spans="1:17" ht="14.25" customHeight="1">
      <c r="A48" s="84" t="s">
        <v>251</v>
      </c>
      <c r="B48" s="85" t="s">
        <v>2290</v>
      </c>
      <c r="C48" s="84">
        <v>23100</v>
      </c>
      <c r="D48" s="84">
        <v>21110</v>
      </c>
      <c r="E48" s="84">
        <v>23080</v>
      </c>
      <c r="F48" s="84"/>
      <c r="G48" s="92">
        <v>14780</v>
      </c>
      <c r="N48" s="84" t="s">
        <v>2415</v>
      </c>
      <c r="Q48" s="84" t="s">
        <v>2564</v>
      </c>
    </row>
    <row r="49" spans="1:17" ht="14.25" customHeight="1">
      <c r="A49" s="84" t="s">
        <v>251</v>
      </c>
      <c r="B49" s="85" t="s">
        <v>2291</v>
      </c>
      <c r="C49" s="84">
        <v>23400</v>
      </c>
      <c r="D49" s="84">
        <v>22920</v>
      </c>
      <c r="E49" s="84">
        <v>24900</v>
      </c>
      <c r="F49" s="84"/>
      <c r="G49" s="92">
        <v>16040</v>
      </c>
      <c r="N49" s="84" t="s">
        <v>2416</v>
      </c>
      <c r="Q49" s="84" t="s">
        <v>2565</v>
      </c>
    </row>
    <row r="50" spans="1:17" ht="14.25" customHeight="1">
      <c r="A50" s="84" t="s">
        <v>251</v>
      </c>
      <c r="B50" s="85" t="s">
        <v>2292</v>
      </c>
      <c r="C50" s="84">
        <v>21200</v>
      </c>
      <c r="D50" s="84">
        <v>26540</v>
      </c>
      <c r="E50" s="84">
        <v>23200</v>
      </c>
      <c r="F50" s="84"/>
      <c r="G50" s="92">
        <v>18580</v>
      </c>
      <c r="N50" s="84" t="s">
        <v>2417</v>
      </c>
      <c r="Q50" s="85" t="s">
        <v>2566</v>
      </c>
    </row>
    <row r="51" spans="1:17" ht="14.25" customHeight="1">
      <c r="A51" s="84" t="s">
        <v>251</v>
      </c>
      <c r="B51" s="85" t="s">
        <v>2293</v>
      </c>
      <c r="C51" s="84">
        <v>23000</v>
      </c>
      <c r="D51" s="84">
        <v>23460</v>
      </c>
      <c r="E51" s="84">
        <v>25290</v>
      </c>
      <c r="F51" s="84"/>
      <c r="G51" s="92">
        <v>16420</v>
      </c>
      <c r="N51" s="84" t="s">
        <v>2418</v>
      </c>
      <c r="Q51" s="88" t="s">
        <v>2567</v>
      </c>
    </row>
    <row r="52" spans="1:17" ht="14.25" customHeight="1">
      <c r="A52" s="84" t="s">
        <v>251</v>
      </c>
      <c r="B52" s="85" t="s">
        <v>2294</v>
      </c>
      <c r="C52" s="84">
        <v>26660</v>
      </c>
      <c r="D52" s="84">
        <v>22350</v>
      </c>
      <c r="E52" s="84">
        <v>22920</v>
      </c>
      <c r="F52" s="84"/>
      <c r="G52" s="92">
        <v>15640</v>
      </c>
      <c r="N52" s="84" t="s">
        <v>2419</v>
      </c>
    </row>
    <row r="53" spans="1:17" ht="14.25" customHeight="1">
      <c r="A53" s="84" t="s">
        <v>251</v>
      </c>
      <c r="B53" s="85" t="s">
        <v>2295</v>
      </c>
      <c r="C53" s="84">
        <v>23580</v>
      </c>
      <c r="D53" s="84"/>
      <c r="E53" s="84">
        <v>24280</v>
      </c>
      <c r="F53" s="84"/>
      <c r="G53" s="92"/>
      <c r="N53" s="84" t="s">
        <v>2420</v>
      </c>
    </row>
    <row r="54" spans="1:17" ht="14.25" customHeight="1">
      <c r="A54" s="93" t="s">
        <v>251</v>
      </c>
      <c r="B54" s="87" t="s">
        <v>2296</v>
      </c>
      <c r="C54" s="88">
        <v>22460</v>
      </c>
      <c r="D54" s="88"/>
      <c r="E54" s="88"/>
      <c r="F54" s="88"/>
      <c r="G54" s="94"/>
      <c r="N54" s="84" t="s">
        <v>2421</v>
      </c>
    </row>
    <row r="55" spans="1:17" ht="14.25" customHeight="1">
      <c r="A55" s="82" t="s">
        <v>259</v>
      </c>
      <c r="B55" s="83" t="s">
        <v>2297</v>
      </c>
      <c r="C55" s="84">
        <v>21970</v>
      </c>
      <c r="D55" s="84">
        <v>20370</v>
      </c>
      <c r="E55" s="84">
        <v>20180</v>
      </c>
      <c r="F55" s="84">
        <v>5730</v>
      </c>
      <c r="G55" s="84">
        <v>13820</v>
      </c>
      <c r="N55" s="84" t="s">
        <v>2422</v>
      </c>
    </row>
    <row r="56" spans="1:17" ht="14.25" customHeight="1">
      <c r="A56" s="84" t="s">
        <v>259</v>
      </c>
      <c r="B56" s="84" t="s">
        <v>2298</v>
      </c>
      <c r="C56" s="84">
        <v>20470</v>
      </c>
      <c r="D56" s="84">
        <v>20700</v>
      </c>
      <c r="E56" s="84">
        <v>20380</v>
      </c>
      <c r="F56" s="84">
        <v>4760</v>
      </c>
      <c r="G56" s="84">
        <v>14050</v>
      </c>
      <c r="N56" s="84" t="s">
        <v>2423</v>
      </c>
    </row>
    <row r="57" spans="1:17" ht="14.25" customHeight="1">
      <c r="A57" s="84" t="s">
        <v>259</v>
      </c>
      <c r="B57" s="84" t="s">
        <v>2299</v>
      </c>
      <c r="C57" s="84">
        <v>20790</v>
      </c>
      <c r="D57" s="84">
        <v>21370</v>
      </c>
      <c r="E57" s="84">
        <v>20890</v>
      </c>
      <c r="F57" s="84">
        <v>4910</v>
      </c>
      <c r="G57" s="84">
        <v>14510</v>
      </c>
      <c r="N57" s="84" t="s">
        <v>2424</v>
      </c>
    </row>
    <row r="58" spans="1:17" ht="14.25" customHeight="1">
      <c r="A58" s="84" t="s">
        <v>259</v>
      </c>
      <c r="B58" s="84" t="s">
        <v>2300</v>
      </c>
      <c r="C58" s="84">
        <v>21460</v>
      </c>
      <c r="D58" s="84">
        <v>20920</v>
      </c>
      <c r="E58" s="84">
        <v>23410</v>
      </c>
      <c r="F58" s="84">
        <v>5100</v>
      </c>
      <c r="G58" s="84">
        <v>14200</v>
      </c>
      <c r="N58" s="84" t="s">
        <v>2425</v>
      </c>
    </row>
    <row r="59" spans="1:17" ht="14.25" customHeight="1">
      <c r="A59" s="84" t="s">
        <v>259</v>
      </c>
      <c r="B59" s="84" t="s">
        <v>2301</v>
      </c>
      <c r="C59" s="84">
        <v>21000</v>
      </c>
      <c r="D59" s="84">
        <v>21550</v>
      </c>
      <c r="E59" s="84">
        <v>21150</v>
      </c>
      <c r="F59" s="84">
        <v>5250</v>
      </c>
      <c r="G59" s="84">
        <v>14630</v>
      </c>
      <c r="N59" s="84" t="s">
        <v>2426</v>
      </c>
    </row>
    <row r="60" spans="1:17" ht="14.25" customHeight="1">
      <c r="A60" s="84" t="s">
        <v>259</v>
      </c>
      <c r="B60" s="84" t="s">
        <v>2302</v>
      </c>
      <c r="C60" s="84">
        <v>21640</v>
      </c>
      <c r="D60" s="84">
        <v>21260</v>
      </c>
      <c r="E60" s="84">
        <v>24040</v>
      </c>
      <c r="F60" s="84">
        <v>4470</v>
      </c>
      <c r="G60" s="84">
        <v>14430</v>
      </c>
      <c r="N60" s="84" t="s">
        <v>2427</v>
      </c>
    </row>
    <row r="61" spans="1:17" ht="14.25" customHeight="1">
      <c r="A61" s="84" t="s">
        <v>259</v>
      </c>
      <c r="B61" s="84" t="s">
        <v>2303</v>
      </c>
      <c r="C61" s="84">
        <v>21330</v>
      </c>
      <c r="D61" s="84">
        <v>18640</v>
      </c>
      <c r="E61" s="84">
        <v>21190</v>
      </c>
      <c r="F61" s="84">
        <v>4180</v>
      </c>
      <c r="G61" s="84">
        <v>12650</v>
      </c>
      <c r="N61" s="84" t="s">
        <v>2428</v>
      </c>
    </row>
    <row r="62" spans="1:17" ht="14.25" customHeight="1">
      <c r="A62" s="84" t="s">
        <v>259</v>
      </c>
      <c r="B62" s="84" t="s">
        <v>2304</v>
      </c>
      <c r="C62" s="84">
        <v>18710</v>
      </c>
      <c r="D62" s="84">
        <v>19400</v>
      </c>
      <c r="E62" s="84">
        <v>23750</v>
      </c>
      <c r="F62" s="84">
        <v>4860</v>
      </c>
      <c r="G62" s="84">
        <v>13170</v>
      </c>
      <c r="N62" s="84" t="s">
        <v>2429</v>
      </c>
    </row>
    <row r="63" spans="1:17" ht="14.25" customHeight="1">
      <c r="A63" s="84" t="s">
        <v>259</v>
      </c>
      <c r="B63" s="84" t="s">
        <v>2305</v>
      </c>
      <c r="C63" s="84">
        <v>19480</v>
      </c>
      <c r="D63" s="84">
        <v>16830</v>
      </c>
      <c r="E63" s="84">
        <v>21590</v>
      </c>
      <c r="F63" s="84">
        <v>4560</v>
      </c>
      <c r="G63" s="84">
        <v>11420</v>
      </c>
      <c r="N63" s="84" t="s">
        <v>2430</v>
      </c>
    </row>
    <row r="64" spans="1:17" ht="14.25" customHeight="1">
      <c r="A64" s="84" t="s">
        <v>259</v>
      </c>
      <c r="B64" s="84" t="s">
        <v>2306</v>
      </c>
      <c r="C64" s="84">
        <v>16920</v>
      </c>
      <c r="D64" s="84">
        <v>19190</v>
      </c>
      <c r="E64" s="84">
        <v>22200</v>
      </c>
      <c r="F64" s="84">
        <v>4390</v>
      </c>
      <c r="G64" s="84">
        <v>13030</v>
      </c>
      <c r="N64" s="88" t="s">
        <v>2431</v>
      </c>
    </row>
    <row r="65" spans="1:7" s="73" customFormat="1" ht="14.25" customHeight="1">
      <c r="A65" s="84" t="s">
        <v>259</v>
      </c>
      <c r="B65" s="84" t="s">
        <v>2307</v>
      </c>
      <c r="C65" s="84">
        <v>19290</v>
      </c>
      <c r="D65" s="84">
        <v>17020</v>
      </c>
      <c r="E65" s="84">
        <v>19880</v>
      </c>
      <c r="F65" s="84">
        <v>4070</v>
      </c>
      <c r="G65" s="84">
        <v>11550</v>
      </c>
    </row>
    <row r="66" spans="1:7" s="73" customFormat="1" ht="14.25" customHeight="1">
      <c r="A66" s="84" t="s">
        <v>259</v>
      </c>
      <c r="B66" s="84" t="s">
        <v>2308</v>
      </c>
      <c r="C66" s="84">
        <v>17090</v>
      </c>
      <c r="D66" s="84">
        <v>18340</v>
      </c>
      <c r="E66" s="84">
        <v>21830</v>
      </c>
      <c r="F66" s="84">
        <v>4690</v>
      </c>
      <c r="G66" s="84">
        <v>12450</v>
      </c>
    </row>
    <row r="67" spans="1:7" s="73" customFormat="1" ht="14.25" customHeight="1">
      <c r="A67" s="84" t="s">
        <v>259</v>
      </c>
      <c r="B67" s="84" t="s">
        <v>2309</v>
      </c>
      <c r="C67" s="84">
        <v>18420</v>
      </c>
      <c r="D67" s="84">
        <v>16360</v>
      </c>
      <c r="E67" s="84">
        <v>20020</v>
      </c>
      <c r="F67" s="84">
        <v>5150</v>
      </c>
      <c r="G67" s="84">
        <v>11110</v>
      </c>
    </row>
    <row r="68" spans="1:7" s="73" customFormat="1" ht="14.25" customHeight="1">
      <c r="A68" s="84" t="s">
        <v>259</v>
      </c>
      <c r="B68" s="84" t="s">
        <v>2310</v>
      </c>
      <c r="C68" s="84">
        <v>16450</v>
      </c>
      <c r="D68" s="84">
        <v>18430</v>
      </c>
      <c r="E68" s="84">
        <v>21010</v>
      </c>
      <c r="F68" s="84">
        <v>4720</v>
      </c>
      <c r="G68" s="84">
        <v>12510</v>
      </c>
    </row>
    <row r="69" spans="1:7" s="73" customFormat="1" ht="14.25" customHeight="1">
      <c r="A69" s="84" t="s">
        <v>259</v>
      </c>
      <c r="B69" s="84" t="s">
        <v>2311</v>
      </c>
      <c r="C69" s="84">
        <v>18510</v>
      </c>
      <c r="D69" s="84">
        <v>16300</v>
      </c>
      <c r="E69" s="84">
        <v>18830</v>
      </c>
      <c r="F69" s="84">
        <v>5400</v>
      </c>
      <c r="G69" s="84">
        <v>11070</v>
      </c>
    </row>
    <row r="70" spans="1:7" s="73" customFormat="1" ht="14.25" customHeight="1">
      <c r="A70" s="84" t="s">
        <v>259</v>
      </c>
      <c r="B70" s="84" t="s">
        <v>2312</v>
      </c>
      <c r="C70" s="84">
        <v>16370</v>
      </c>
      <c r="D70" s="84">
        <v>18620</v>
      </c>
      <c r="E70" s="84">
        <v>21100</v>
      </c>
      <c r="F70" s="84">
        <v>5700</v>
      </c>
      <c r="G70" s="84">
        <v>12640</v>
      </c>
    </row>
    <row r="71" spans="1:7" s="73" customFormat="1" ht="14.25" customHeight="1">
      <c r="A71" s="84" t="s">
        <v>259</v>
      </c>
      <c r="B71" s="84" t="s">
        <v>2313</v>
      </c>
      <c r="C71" s="84">
        <v>18700</v>
      </c>
      <c r="D71" s="84">
        <v>16290</v>
      </c>
      <c r="E71" s="84">
        <v>18760</v>
      </c>
      <c r="F71" s="84">
        <v>4780</v>
      </c>
      <c r="G71" s="84">
        <v>11050</v>
      </c>
    </row>
    <row r="72" spans="1:7" s="73" customFormat="1" ht="14.25" customHeight="1">
      <c r="A72" s="84" t="s">
        <v>259</v>
      </c>
      <c r="B72" s="84" t="s">
        <v>2314</v>
      </c>
      <c r="C72" s="84">
        <v>16340</v>
      </c>
      <c r="D72" s="84">
        <v>17520</v>
      </c>
      <c r="E72" s="84">
        <v>21170</v>
      </c>
      <c r="F72" s="84"/>
      <c r="G72" s="84">
        <v>11900</v>
      </c>
    </row>
    <row r="73" spans="1:7" s="73" customFormat="1" ht="14.25" customHeight="1">
      <c r="A73" s="84" t="s">
        <v>259</v>
      </c>
      <c r="B73" s="84" t="s">
        <v>2315</v>
      </c>
      <c r="C73" s="84">
        <v>17610</v>
      </c>
      <c r="D73" s="84">
        <v>18520</v>
      </c>
      <c r="E73" s="84">
        <v>18720</v>
      </c>
      <c r="F73" s="84"/>
      <c r="G73" s="84">
        <v>12570</v>
      </c>
    </row>
    <row r="74" spans="1:7" s="73" customFormat="1" ht="14.25" customHeight="1">
      <c r="A74" s="84" t="s">
        <v>259</v>
      </c>
      <c r="B74" s="84" t="s">
        <v>2316</v>
      </c>
      <c r="C74" s="84">
        <v>18600</v>
      </c>
      <c r="D74" s="84">
        <v>16480</v>
      </c>
      <c r="E74" s="84">
        <v>20100</v>
      </c>
      <c r="F74" s="84"/>
      <c r="G74" s="84">
        <v>11190</v>
      </c>
    </row>
    <row r="75" spans="1:7" s="73" customFormat="1" ht="14.25" customHeight="1">
      <c r="A75" s="84" t="s">
        <v>259</v>
      </c>
      <c r="B75" s="84" t="s">
        <v>2317</v>
      </c>
      <c r="C75" s="84">
        <v>16570</v>
      </c>
      <c r="D75" s="84">
        <v>17530</v>
      </c>
      <c r="E75" s="84">
        <v>21030</v>
      </c>
      <c r="F75" s="84"/>
      <c r="G75" s="84">
        <v>11900</v>
      </c>
    </row>
    <row r="76" spans="1:7" s="73" customFormat="1" ht="14.25" customHeight="1">
      <c r="A76" s="84" t="s">
        <v>259</v>
      </c>
      <c r="B76" s="84" t="s">
        <v>2318</v>
      </c>
      <c r="C76" s="84">
        <v>17610</v>
      </c>
      <c r="D76" s="84">
        <v>20800</v>
      </c>
      <c r="E76" s="84">
        <v>18920</v>
      </c>
      <c r="F76" s="84"/>
      <c r="G76" s="84">
        <v>14120</v>
      </c>
    </row>
    <row r="77" spans="1:7" s="73" customFormat="1" ht="14.25" customHeight="1">
      <c r="A77" s="84" t="s">
        <v>259</v>
      </c>
      <c r="B77" s="84" t="s">
        <v>2319</v>
      </c>
      <c r="C77" s="84">
        <v>20890</v>
      </c>
      <c r="D77" s="84">
        <v>19740</v>
      </c>
      <c r="E77" s="84">
        <v>20110</v>
      </c>
      <c r="F77" s="84"/>
      <c r="G77" s="84">
        <v>13400</v>
      </c>
    </row>
    <row r="78" spans="1:7" s="73" customFormat="1" ht="14.25" customHeight="1">
      <c r="A78" s="84" t="s">
        <v>259</v>
      </c>
      <c r="B78" s="84" t="s">
        <v>2320</v>
      </c>
      <c r="C78" s="84">
        <v>19820</v>
      </c>
      <c r="D78" s="84">
        <v>19780</v>
      </c>
      <c r="E78" s="84">
        <v>18560</v>
      </c>
      <c r="F78" s="84"/>
      <c r="G78" s="84">
        <v>13430</v>
      </c>
    </row>
    <row r="79" spans="1:7" s="73" customFormat="1" ht="14.25" customHeight="1">
      <c r="A79" s="84" t="s">
        <v>259</v>
      </c>
      <c r="B79" s="84" t="s">
        <v>2321</v>
      </c>
      <c r="C79" s="84">
        <v>21660</v>
      </c>
      <c r="D79" s="84">
        <v>18000</v>
      </c>
      <c r="E79" s="84">
        <v>22570</v>
      </c>
      <c r="F79" s="84"/>
      <c r="G79" s="84">
        <v>12220</v>
      </c>
    </row>
    <row r="80" spans="1:7" s="73" customFormat="1" ht="14.25" customHeight="1">
      <c r="A80" s="84" t="s">
        <v>259</v>
      </c>
      <c r="B80" s="84" t="s">
        <v>2322</v>
      </c>
      <c r="C80" s="84">
        <v>19850</v>
      </c>
      <c r="D80" s="84"/>
      <c r="E80" s="84">
        <v>21700</v>
      </c>
      <c r="F80" s="84"/>
      <c r="G80" s="84"/>
    </row>
    <row r="81" spans="1:7" s="73" customFormat="1" ht="14.25" customHeight="1">
      <c r="A81" s="84" t="s">
        <v>259</v>
      </c>
      <c r="B81" s="84" t="s">
        <v>2323</v>
      </c>
      <c r="C81" s="84">
        <v>18080</v>
      </c>
      <c r="D81" s="84"/>
      <c r="E81" s="84">
        <v>20900</v>
      </c>
      <c r="F81" s="84"/>
      <c r="G81" s="84"/>
    </row>
    <row r="82" spans="1:7" s="73" customFormat="1" ht="14.25" customHeight="1">
      <c r="A82" s="84" t="s">
        <v>259</v>
      </c>
      <c r="B82" s="84" t="s">
        <v>2324</v>
      </c>
      <c r="C82" s="84"/>
      <c r="D82" s="84"/>
      <c r="E82" s="84">
        <v>20840</v>
      </c>
      <c r="F82" s="84"/>
      <c r="G82" s="84"/>
    </row>
    <row r="83" spans="1:7" s="73" customFormat="1" ht="14.25" customHeight="1">
      <c r="A83" s="84" t="s">
        <v>259</v>
      </c>
      <c r="B83" s="84" t="s">
        <v>2325</v>
      </c>
      <c r="C83" s="84"/>
      <c r="D83" s="84"/>
      <c r="E83" s="84"/>
      <c r="F83" s="84">
        <v>4770</v>
      </c>
      <c r="G83" s="84"/>
    </row>
    <row r="84" spans="1:7" s="73" customFormat="1" ht="14.25" customHeight="1">
      <c r="A84" s="84" t="s">
        <v>259</v>
      </c>
      <c r="B84" s="84" t="s">
        <v>2326</v>
      </c>
      <c r="C84" s="84"/>
      <c r="D84" s="84"/>
      <c r="E84" s="84"/>
      <c r="F84" s="84">
        <v>4600</v>
      </c>
      <c r="G84" s="84"/>
    </row>
    <row r="85" spans="1:7" s="73" customFormat="1" ht="14.25" customHeight="1">
      <c r="A85" s="84" t="s">
        <v>259</v>
      </c>
      <c r="B85" s="84" t="s">
        <v>2327</v>
      </c>
      <c r="C85" s="84"/>
      <c r="D85" s="84"/>
      <c r="E85" s="84"/>
      <c r="F85" s="84">
        <v>4680</v>
      </c>
      <c r="G85" s="84"/>
    </row>
    <row r="86" spans="1:7" s="73" customFormat="1" ht="14.25" customHeight="1">
      <c r="A86" s="86" t="s">
        <v>259</v>
      </c>
      <c r="B86" s="89" t="s">
        <v>2328</v>
      </c>
      <c r="C86" s="90">
        <v>16610</v>
      </c>
      <c r="D86" s="90">
        <v>16540</v>
      </c>
      <c r="E86" s="90">
        <v>18850</v>
      </c>
      <c r="F86" s="90"/>
      <c r="G86" s="90">
        <v>11220</v>
      </c>
    </row>
    <row r="87" spans="1:7" s="73" customFormat="1" ht="14.25" customHeight="1">
      <c r="A87" s="82" t="s">
        <v>267</v>
      </c>
      <c r="B87" s="83" t="s">
        <v>2329</v>
      </c>
      <c r="C87" s="83">
        <v>15240</v>
      </c>
      <c r="D87" s="83">
        <v>15170</v>
      </c>
      <c r="E87" s="83">
        <v>18260</v>
      </c>
      <c r="F87" s="83">
        <v>3830</v>
      </c>
      <c r="G87" s="91">
        <v>10020</v>
      </c>
    </row>
    <row r="88" spans="1:7" s="73" customFormat="1" ht="14.25" customHeight="1">
      <c r="A88" s="84" t="s">
        <v>267</v>
      </c>
      <c r="B88" s="84" t="s">
        <v>2330</v>
      </c>
      <c r="C88" s="84">
        <v>17310</v>
      </c>
      <c r="D88" s="84">
        <v>17220</v>
      </c>
      <c r="E88" s="84">
        <v>18610</v>
      </c>
      <c r="F88" s="84">
        <v>3990</v>
      </c>
      <c r="G88" s="92">
        <v>11380</v>
      </c>
    </row>
    <row r="89" spans="1:7" s="73" customFormat="1" ht="14.25" customHeight="1">
      <c r="A89" s="84" t="s">
        <v>267</v>
      </c>
      <c r="B89" s="84" t="s">
        <v>2331</v>
      </c>
      <c r="C89" s="84">
        <v>15600</v>
      </c>
      <c r="D89" s="84">
        <v>15550</v>
      </c>
      <c r="E89" s="84">
        <v>19200</v>
      </c>
      <c r="F89" s="84">
        <v>4110</v>
      </c>
      <c r="G89" s="92">
        <v>10270</v>
      </c>
    </row>
    <row r="90" spans="1:7" s="73" customFormat="1" ht="14.25" customHeight="1">
      <c r="A90" s="84" t="s">
        <v>267</v>
      </c>
      <c r="B90" s="84" t="s">
        <v>2332</v>
      </c>
      <c r="C90" s="84">
        <v>17330</v>
      </c>
      <c r="D90" s="84">
        <v>17240</v>
      </c>
      <c r="E90" s="84">
        <v>18570</v>
      </c>
      <c r="F90" s="84">
        <v>4070</v>
      </c>
      <c r="G90" s="92">
        <v>11390</v>
      </c>
    </row>
    <row r="91" spans="1:7" s="73" customFormat="1" ht="14.25" customHeight="1">
      <c r="A91" s="84" t="s">
        <v>267</v>
      </c>
      <c r="B91" s="84" t="s">
        <v>2333</v>
      </c>
      <c r="C91" s="84">
        <v>16330</v>
      </c>
      <c r="D91" s="84">
        <v>16260</v>
      </c>
      <c r="E91" s="84">
        <v>16800</v>
      </c>
      <c r="F91" s="84">
        <v>3410</v>
      </c>
      <c r="G91" s="92">
        <v>10740</v>
      </c>
    </row>
    <row r="92" spans="1:7" s="73" customFormat="1" ht="14.25" customHeight="1">
      <c r="A92" s="84" t="s">
        <v>267</v>
      </c>
      <c r="B92" s="84" t="s">
        <v>2334</v>
      </c>
      <c r="C92" s="84">
        <v>15570</v>
      </c>
      <c r="D92" s="84">
        <v>15500</v>
      </c>
      <c r="E92" s="84">
        <v>17360</v>
      </c>
      <c r="F92" s="84">
        <v>3510</v>
      </c>
      <c r="G92" s="92">
        <v>10240</v>
      </c>
    </row>
    <row r="93" spans="1:7" s="73" customFormat="1" ht="14.25" customHeight="1">
      <c r="A93" s="84" t="s">
        <v>267</v>
      </c>
      <c r="B93" s="84" t="s">
        <v>2335</v>
      </c>
      <c r="C93" s="84">
        <v>14000</v>
      </c>
      <c r="D93" s="84">
        <v>13930</v>
      </c>
      <c r="E93" s="84">
        <v>18200</v>
      </c>
      <c r="F93" s="84">
        <v>3640</v>
      </c>
      <c r="G93" s="92">
        <v>9210</v>
      </c>
    </row>
    <row r="94" spans="1:7" s="73" customFormat="1" ht="14.25" customHeight="1">
      <c r="A94" s="84" t="s">
        <v>267</v>
      </c>
      <c r="B94" s="84" t="s">
        <v>2336</v>
      </c>
      <c r="C94" s="84">
        <v>14530</v>
      </c>
      <c r="D94" s="84">
        <v>14470</v>
      </c>
      <c r="E94" s="84">
        <v>18240</v>
      </c>
      <c r="F94" s="84">
        <v>3180</v>
      </c>
      <c r="G94" s="92">
        <v>9560</v>
      </c>
    </row>
    <row r="95" spans="1:7" s="73" customFormat="1" ht="14.25" customHeight="1">
      <c r="A95" s="84" t="s">
        <v>267</v>
      </c>
      <c r="B95" s="84" t="s">
        <v>2337</v>
      </c>
      <c r="C95" s="84">
        <v>17330</v>
      </c>
      <c r="D95" s="84">
        <v>17260</v>
      </c>
      <c r="E95" s="84">
        <v>18420</v>
      </c>
      <c r="F95" s="84">
        <v>3060</v>
      </c>
      <c r="G95" s="92">
        <v>11410</v>
      </c>
    </row>
    <row r="96" spans="1:7" s="73" customFormat="1" ht="14.25" customHeight="1">
      <c r="A96" s="84" t="s">
        <v>267</v>
      </c>
      <c r="B96" s="84" t="s">
        <v>2338</v>
      </c>
      <c r="C96" s="84">
        <v>15030</v>
      </c>
      <c r="D96" s="84">
        <v>14970</v>
      </c>
      <c r="E96" s="84">
        <v>17580</v>
      </c>
      <c r="F96" s="84">
        <v>2970</v>
      </c>
      <c r="G96" s="92">
        <v>9890</v>
      </c>
    </row>
    <row r="97" spans="1:7" s="73" customFormat="1" ht="14.25" customHeight="1">
      <c r="A97" s="84" t="s">
        <v>267</v>
      </c>
      <c r="B97" s="84" t="s">
        <v>2339</v>
      </c>
      <c r="C97" s="84">
        <v>17400</v>
      </c>
      <c r="D97" s="84">
        <v>17330</v>
      </c>
      <c r="E97" s="84">
        <v>16430</v>
      </c>
      <c r="F97" s="84">
        <v>2950</v>
      </c>
      <c r="G97" s="92">
        <v>11450</v>
      </c>
    </row>
    <row r="98" spans="1:7" s="73" customFormat="1" ht="14.25" customHeight="1">
      <c r="A98" s="84" t="s">
        <v>267</v>
      </c>
      <c r="B98" s="84" t="s">
        <v>2340</v>
      </c>
      <c r="C98" s="84">
        <v>15200</v>
      </c>
      <c r="D98" s="84">
        <v>15120</v>
      </c>
      <c r="E98" s="84">
        <v>17550</v>
      </c>
      <c r="F98" s="84">
        <v>3080</v>
      </c>
      <c r="G98" s="92">
        <v>9990</v>
      </c>
    </row>
    <row r="99" spans="1:7" s="73" customFormat="1" ht="14.25" customHeight="1">
      <c r="A99" s="84" t="s">
        <v>267</v>
      </c>
      <c r="B99" s="84" t="s">
        <v>2341</v>
      </c>
      <c r="C99" s="84">
        <v>17520</v>
      </c>
      <c r="D99" s="84">
        <v>17430</v>
      </c>
      <c r="E99" s="84">
        <v>16350</v>
      </c>
      <c r="F99" s="84">
        <v>3260</v>
      </c>
      <c r="G99" s="92">
        <v>11510</v>
      </c>
    </row>
    <row r="100" spans="1:7" s="73" customFormat="1" ht="14.25" customHeight="1">
      <c r="A100" s="84" t="s">
        <v>267</v>
      </c>
      <c r="B100" s="84" t="s">
        <v>2342</v>
      </c>
      <c r="C100" s="84">
        <v>15340</v>
      </c>
      <c r="D100" s="84">
        <v>15260</v>
      </c>
      <c r="E100" s="84">
        <v>15930</v>
      </c>
      <c r="F100" s="84">
        <v>2740</v>
      </c>
      <c r="G100" s="92">
        <v>10080</v>
      </c>
    </row>
    <row r="101" spans="1:7" s="73" customFormat="1" ht="14.25" customHeight="1">
      <c r="A101" s="84" t="s">
        <v>267</v>
      </c>
      <c r="B101" s="84" t="s">
        <v>2343</v>
      </c>
      <c r="C101" s="84">
        <v>14620</v>
      </c>
      <c r="D101" s="84">
        <v>14560</v>
      </c>
      <c r="E101" s="84">
        <v>15570</v>
      </c>
      <c r="F101" s="84">
        <v>3500</v>
      </c>
      <c r="G101" s="92">
        <v>9630</v>
      </c>
    </row>
    <row r="102" spans="1:7" s="73" customFormat="1" ht="14.25" customHeight="1">
      <c r="A102" s="84" t="s">
        <v>267</v>
      </c>
      <c r="B102" s="84" t="s">
        <v>2344</v>
      </c>
      <c r="C102" s="84">
        <v>13680</v>
      </c>
      <c r="D102" s="84">
        <v>13610</v>
      </c>
      <c r="E102" s="84">
        <v>15690</v>
      </c>
      <c r="F102" s="84">
        <v>2870</v>
      </c>
      <c r="G102" s="92">
        <v>8990</v>
      </c>
    </row>
    <row r="103" spans="1:7" s="73" customFormat="1" ht="14.25" customHeight="1">
      <c r="A103" s="84" t="s">
        <v>267</v>
      </c>
      <c r="B103" s="84" t="s">
        <v>2345</v>
      </c>
      <c r="C103" s="84">
        <v>14620</v>
      </c>
      <c r="D103" s="84">
        <v>14540</v>
      </c>
      <c r="E103" s="84">
        <v>15240</v>
      </c>
      <c r="F103" s="84">
        <v>2840</v>
      </c>
      <c r="G103" s="92">
        <v>9610</v>
      </c>
    </row>
    <row r="104" spans="1:7" s="73" customFormat="1" ht="14.25" customHeight="1">
      <c r="A104" s="84" t="s">
        <v>267</v>
      </c>
      <c r="B104" s="84" t="s">
        <v>2346</v>
      </c>
      <c r="C104" s="84">
        <v>13610</v>
      </c>
      <c r="D104" s="84">
        <v>13540</v>
      </c>
      <c r="E104" s="84">
        <v>15750</v>
      </c>
      <c r="F104" s="84">
        <v>2770</v>
      </c>
      <c r="G104" s="92">
        <v>8940</v>
      </c>
    </row>
    <row r="105" spans="1:7" s="73" customFormat="1" ht="14.25" customHeight="1">
      <c r="A105" s="84" t="s">
        <v>267</v>
      </c>
      <c r="B105" s="84" t="s">
        <v>2347</v>
      </c>
      <c r="C105" s="84">
        <v>13310</v>
      </c>
      <c r="D105" s="84">
        <v>13240</v>
      </c>
      <c r="E105" s="84">
        <v>16280</v>
      </c>
      <c r="F105" s="84">
        <v>3210</v>
      </c>
      <c r="G105" s="92">
        <v>8750</v>
      </c>
    </row>
    <row r="106" spans="1:7" s="73" customFormat="1" ht="14.25" customHeight="1">
      <c r="A106" s="84" t="s">
        <v>267</v>
      </c>
      <c r="B106" s="84" t="s">
        <v>2348</v>
      </c>
      <c r="C106" s="84">
        <v>13010</v>
      </c>
      <c r="D106" s="84">
        <v>12930</v>
      </c>
      <c r="E106" s="84">
        <v>14960</v>
      </c>
      <c r="F106" s="84">
        <v>3530</v>
      </c>
      <c r="G106" s="92">
        <v>8550</v>
      </c>
    </row>
    <row r="107" spans="1:7" s="73" customFormat="1" ht="14.25" customHeight="1">
      <c r="A107" s="84" t="s">
        <v>267</v>
      </c>
      <c r="B107" s="84" t="s">
        <v>2349</v>
      </c>
      <c r="C107" s="84">
        <v>13070</v>
      </c>
      <c r="D107" s="84">
        <v>13000</v>
      </c>
      <c r="E107" s="84">
        <v>15910</v>
      </c>
      <c r="F107" s="84">
        <v>3990</v>
      </c>
      <c r="G107" s="92">
        <v>8580</v>
      </c>
    </row>
    <row r="108" spans="1:7" s="73" customFormat="1" ht="14.25" customHeight="1">
      <c r="A108" s="84" t="s">
        <v>267</v>
      </c>
      <c r="B108" s="84" t="s">
        <v>2350</v>
      </c>
      <c r="C108" s="84">
        <v>12640</v>
      </c>
      <c r="D108" s="84">
        <v>12580</v>
      </c>
      <c r="E108" s="84">
        <v>15730</v>
      </c>
      <c r="F108" s="84"/>
      <c r="G108" s="92">
        <v>8310</v>
      </c>
    </row>
    <row r="109" spans="1:7" s="73" customFormat="1" ht="14.25" customHeight="1">
      <c r="A109" s="84" t="s">
        <v>267</v>
      </c>
      <c r="B109" s="84" t="s">
        <v>2351</v>
      </c>
      <c r="C109" s="84">
        <v>13130</v>
      </c>
      <c r="D109" s="84">
        <v>13070</v>
      </c>
      <c r="E109" s="84">
        <v>15000</v>
      </c>
      <c r="F109" s="84"/>
      <c r="G109" s="92">
        <v>8630</v>
      </c>
    </row>
    <row r="110" spans="1:7" s="73" customFormat="1" ht="14.25" customHeight="1">
      <c r="A110" s="84" t="s">
        <v>267</v>
      </c>
      <c r="B110" s="84" t="s">
        <v>2352</v>
      </c>
      <c r="C110" s="84">
        <v>13560</v>
      </c>
      <c r="D110" s="84">
        <v>13490</v>
      </c>
      <c r="E110" s="84">
        <v>16300</v>
      </c>
      <c r="F110" s="84"/>
      <c r="G110" s="92">
        <v>8920</v>
      </c>
    </row>
    <row r="111" spans="1:7" s="73" customFormat="1" ht="14.25" customHeight="1">
      <c r="A111" s="84" t="s">
        <v>267</v>
      </c>
      <c r="B111" s="84" t="s">
        <v>2353</v>
      </c>
      <c r="C111" s="84">
        <v>12440</v>
      </c>
      <c r="D111" s="84">
        <v>12380</v>
      </c>
      <c r="E111" s="84">
        <v>17850</v>
      </c>
      <c r="F111" s="84"/>
      <c r="G111" s="92">
        <v>8180</v>
      </c>
    </row>
    <row r="112" spans="1:7" s="73" customFormat="1" ht="14.25" customHeight="1">
      <c r="A112" s="84" t="s">
        <v>267</v>
      </c>
      <c r="B112" s="84" t="s">
        <v>2354</v>
      </c>
      <c r="C112" s="84">
        <v>13260</v>
      </c>
      <c r="D112" s="84">
        <v>13180</v>
      </c>
      <c r="E112" s="84">
        <v>19740</v>
      </c>
      <c r="F112" s="84"/>
      <c r="G112" s="92">
        <v>8710</v>
      </c>
    </row>
    <row r="113" spans="1:7" s="73" customFormat="1" ht="14.25" customHeight="1">
      <c r="A113" s="84" t="s">
        <v>267</v>
      </c>
      <c r="B113" s="84" t="s">
        <v>2355</v>
      </c>
      <c r="C113" s="84">
        <v>15520</v>
      </c>
      <c r="D113" s="84">
        <v>15450</v>
      </c>
      <c r="E113" s="84"/>
      <c r="F113" s="84"/>
      <c r="G113" s="92">
        <v>10210</v>
      </c>
    </row>
    <row r="114" spans="1:7" s="73" customFormat="1" ht="14.25" customHeight="1">
      <c r="A114" s="84" t="s">
        <v>267</v>
      </c>
      <c r="B114" s="84" t="s">
        <v>2356</v>
      </c>
      <c r="C114" s="84">
        <v>13110</v>
      </c>
      <c r="D114" s="84">
        <v>13050</v>
      </c>
      <c r="E114" s="84"/>
      <c r="F114" s="84"/>
      <c r="G114" s="92">
        <v>8620</v>
      </c>
    </row>
    <row r="115" spans="1:7" s="73" customFormat="1" ht="14.25" customHeight="1">
      <c r="A115" s="84" t="s">
        <v>267</v>
      </c>
      <c r="B115" s="84" t="s">
        <v>2357</v>
      </c>
      <c r="C115" s="84">
        <v>12460</v>
      </c>
      <c r="D115" s="84">
        <v>12390</v>
      </c>
      <c r="E115" s="84"/>
      <c r="F115" s="84"/>
      <c r="G115" s="92">
        <v>8190</v>
      </c>
    </row>
    <row r="116" spans="1:7" s="73" customFormat="1" ht="14.25" customHeight="1">
      <c r="A116" s="84" t="s">
        <v>267</v>
      </c>
      <c r="B116" s="84" t="s">
        <v>2358</v>
      </c>
      <c r="C116" s="84">
        <v>13580</v>
      </c>
      <c r="D116" s="84">
        <v>13520</v>
      </c>
      <c r="E116" s="84"/>
      <c r="F116" s="84"/>
      <c r="G116" s="92">
        <v>8930</v>
      </c>
    </row>
    <row r="117" spans="1:7" s="73" customFormat="1" ht="14.25" customHeight="1">
      <c r="A117" s="84" t="s">
        <v>267</v>
      </c>
      <c r="B117" s="84" t="s">
        <v>2359</v>
      </c>
      <c r="C117" s="84">
        <v>17120</v>
      </c>
      <c r="D117" s="84">
        <v>17040</v>
      </c>
      <c r="E117" s="84"/>
      <c r="F117" s="84"/>
      <c r="G117" s="92">
        <v>11260</v>
      </c>
    </row>
    <row r="118" spans="1:7" s="73" customFormat="1" ht="14.25" customHeight="1">
      <c r="A118" s="84" t="s">
        <v>267</v>
      </c>
      <c r="B118" s="84" t="s">
        <v>2360</v>
      </c>
      <c r="C118" s="84">
        <v>14860</v>
      </c>
      <c r="D118" s="84">
        <v>14790</v>
      </c>
      <c r="E118" s="84"/>
      <c r="F118" s="84"/>
      <c r="G118" s="92">
        <v>9780</v>
      </c>
    </row>
    <row r="119" spans="1:7" s="73" customFormat="1" ht="14.25" customHeight="1">
      <c r="A119" s="84" t="s">
        <v>267</v>
      </c>
      <c r="B119" s="84" t="s">
        <v>2361</v>
      </c>
      <c r="C119" s="84">
        <v>16470</v>
      </c>
      <c r="D119" s="84">
        <v>16400</v>
      </c>
      <c r="E119" s="84"/>
      <c r="F119" s="84"/>
      <c r="G119" s="92">
        <v>10840</v>
      </c>
    </row>
    <row r="120" spans="1:7" s="73" customFormat="1" ht="14.25" customHeight="1">
      <c r="A120" s="84" t="s">
        <v>267</v>
      </c>
      <c r="B120" s="84" t="s">
        <v>2362</v>
      </c>
      <c r="C120" s="84"/>
      <c r="D120" s="84"/>
      <c r="E120" s="84"/>
      <c r="F120" s="84">
        <v>4160</v>
      </c>
      <c r="G120" s="92"/>
    </row>
    <row r="121" spans="1:7" s="73" customFormat="1" ht="14.25" customHeight="1">
      <c r="A121" s="84" t="s">
        <v>267</v>
      </c>
      <c r="B121" s="84" t="s">
        <v>2363</v>
      </c>
      <c r="C121" s="84"/>
      <c r="D121" s="84"/>
      <c r="E121" s="84"/>
      <c r="F121" s="84">
        <v>3880</v>
      </c>
      <c r="G121" s="92"/>
    </row>
    <row r="122" spans="1:7" s="73" customFormat="1" ht="14.25" customHeight="1">
      <c r="A122" s="84" t="s">
        <v>267</v>
      </c>
      <c r="B122" s="84" t="s">
        <v>2364</v>
      </c>
      <c r="C122" s="84">
        <v>13750</v>
      </c>
      <c r="D122" s="84">
        <v>13680</v>
      </c>
      <c r="E122" s="84">
        <v>16460</v>
      </c>
      <c r="F122" s="84">
        <v>2880</v>
      </c>
      <c r="G122" s="92">
        <v>9040</v>
      </c>
    </row>
    <row r="123" spans="1:7" s="73" customFormat="1" ht="14.25" customHeight="1">
      <c r="A123" s="84" t="s">
        <v>267</v>
      </c>
      <c r="B123" s="84" t="s">
        <v>2365</v>
      </c>
      <c r="C123" s="84">
        <v>13590</v>
      </c>
      <c r="D123" s="84">
        <v>13520</v>
      </c>
      <c r="E123" s="84">
        <v>16290</v>
      </c>
      <c r="F123" s="84">
        <v>2790</v>
      </c>
      <c r="G123" s="92">
        <v>8930</v>
      </c>
    </row>
    <row r="124" spans="1:7" s="73" customFormat="1" ht="14.25" customHeight="1">
      <c r="A124" s="84" t="s">
        <v>267</v>
      </c>
      <c r="B124" s="84" t="s">
        <v>2366</v>
      </c>
      <c r="C124" s="84">
        <v>13400</v>
      </c>
      <c r="D124" s="84">
        <v>13320</v>
      </c>
      <c r="E124" s="84">
        <v>16100</v>
      </c>
      <c r="F124" s="84">
        <v>2320</v>
      </c>
      <c r="G124" s="92">
        <v>8800</v>
      </c>
    </row>
    <row r="125" spans="1:7" s="73" customFormat="1" ht="14.25" customHeight="1">
      <c r="A125" s="84" t="s">
        <v>267</v>
      </c>
      <c r="B125" s="84" t="s">
        <v>2367</v>
      </c>
      <c r="C125" s="84">
        <v>12860</v>
      </c>
      <c r="D125" s="84">
        <v>12790</v>
      </c>
      <c r="E125" s="84">
        <v>15370</v>
      </c>
      <c r="F125" s="84">
        <v>2280</v>
      </c>
      <c r="G125" s="92">
        <v>8450</v>
      </c>
    </row>
    <row r="126" spans="1:7" s="73" customFormat="1" ht="14.25" customHeight="1">
      <c r="A126" s="93" t="s">
        <v>267</v>
      </c>
      <c r="B126" s="88" t="s">
        <v>2368</v>
      </c>
      <c r="C126" s="88">
        <v>12960</v>
      </c>
      <c r="D126" s="88">
        <v>12890</v>
      </c>
      <c r="E126" s="88">
        <v>15530</v>
      </c>
      <c r="F126" s="88">
        <v>2910</v>
      </c>
      <c r="G126" s="94">
        <v>8520</v>
      </c>
    </row>
    <row r="127" spans="1:7" s="73" customFormat="1" ht="14.25" customHeight="1">
      <c r="A127" s="82" t="s">
        <v>273</v>
      </c>
      <c r="B127" s="83" t="s">
        <v>2369</v>
      </c>
      <c r="C127" s="84">
        <v>12280</v>
      </c>
      <c r="D127" s="84">
        <v>12250</v>
      </c>
      <c r="E127" s="84">
        <v>15130</v>
      </c>
      <c r="F127" s="84">
        <v>2710</v>
      </c>
      <c r="G127" s="84">
        <v>7870</v>
      </c>
    </row>
    <row r="128" spans="1:7" s="73" customFormat="1" ht="14.25" customHeight="1">
      <c r="A128" s="84" t="s">
        <v>273</v>
      </c>
      <c r="B128" s="84" t="s">
        <v>2370</v>
      </c>
      <c r="C128" s="84">
        <v>13180</v>
      </c>
      <c r="D128" s="84">
        <v>13150</v>
      </c>
      <c r="E128" s="84">
        <v>16190</v>
      </c>
      <c r="F128" s="84">
        <v>2820</v>
      </c>
      <c r="G128" s="84">
        <v>8460</v>
      </c>
    </row>
    <row r="129" spans="1:7" s="73" customFormat="1" ht="14.25" customHeight="1">
      <c r="A129" s="84" t="s">
        <v>273</v>
      </c>
      <c r="B129" s="84" t="s">
        <v>2371</v>
      </c>
      <c r="C129" s="84">
        <v>10950</v>
      </c>
      <c r="D129" s="84">
        <v>10920</v>
      </c>
      <c r="E129" s="84">
        <v>13820</v>
      </c>
      <c r="F129" s="84">
        <v>2500</v>
      </c>
      <c r="G129" s="84">
        <v>7020</v>
      </c>
    </row>
    <row r="130" spans="1:7" s="73" customFormat="1" ht="14.25" customHeight="1">
      <c r="A130" s="84" t="s">
        <v>273</v>
      </c>
      <c r="B130" s="84" t="s">
        <v>2372</v>
      </c>
      <c r="C130" s="84">
        <v>10910</v>
      </c>
      <c r="D130" s="84">
        <v>10860</v>
      </c>
      <c r="E130" s="84">
        <v>13730</v>
      </c>
      <c r="F130" s="84">
        <v>2760</v>
      </c>
      <c r="G130" s="84">
        <v>6990</v>
      </c>
    </row>
    <row r="131" spans="1:7" s="73" customFormat="1" ht="14.25" customHeight="1">
      <c r="A131" s="84" t="s">
        <v>273</v>
      </c>
      <c r="B131" s="84" t="s">
        <v>2373</v>
      </c>
      <c r="C131" s="84">
        <v>12910</v>
      </c>
      <c r="D131" s="84">
        <v>12870</v>
      </c>
      <c r="E131" s="84">
        <v>15720</v>
      </c>
      <c r="F131" s="84">
        <v>2750</v>
      </c>
      <c r="G131" s="84">
        <v>8280</v>
      </c>
    </row>
    <row r="132" spans="1:7" s="73" customFormat="1" ht="14.25" customHeight="1">
      <c r="A132" s="84" t="s">
        <v>273</v>
      </c>
      <c r="B132" s="84" t="s">
        <v>2374</v>
      </c>
      <c r="C132" s="84">
        <v>11910</v>
      </c>
      <c r="D132" s="84">
        <v>11860</v>
      </c>
      <c r="E132" s="84">
        <v>14730</v>
      </c>
      <c r="F132" s="84">
        <v>2360</v>
      </c>
      <c r="G132" s="84">
        <v>7630</v>
      </c>
    </row>
    <row r="133" spans="1:7" s="73" customFormat="1" ht="14.25" customHeight="1">
      <c r="A133" s="84" t="s">
        <v>273</v>
      </c>
      <c r="B133" s="84" t="s">
        <v>2375</v>
      </c>
      <c r="C133" s="84">
        <v>12270</v>
      </c>
      <c r="D133" s="84">
        <v>12210</v>
      </c>
      <c r="E133" s="84">
        <v>15010</v>
      </c>
      <c r="F133" s="84">
        <v>2580</v>
      </c>
      <c r="G133" s="84">
        <v>7860</v>
      </c>
    </row>
    <row r="134" spans="1:7" s="73" customFormat="1" ht="14.25" customHeight="1">
      <c r="A134" s="84" t="s">
        <v>273</v>
      </c>
      <c r="B134" s="84" t="s">
        <v>2376</v>
      </c>
      <c r="C134" s="84">
        <v>10800</v>
      </c>
      <c r="D134" s="84">
        <v>10780</v>
      </c>
      <c r="E134" s="84">
        <v>13640</v>
      </c>
      <c r="F134" s="84">
        <v>2110</v>
      </c>
      <c r="G134" s="84">
        <v>6930</v>
      </c>
    </row>
    <row r="135" spans="1:7" s="73" customFormat="1" ht="14.25" customHeight="1">
      <c r="A135" s="84" t="s">
        <v>273</v>
      </c>
      <c r="B135" s="84" t="s">
        <v>2377</v>
      </c>
      <c r="C135" s="84">
        <v>10430</v>
      </c>
      <c r="D135" s="84">
        <v>10390</v>
      </c>
      <c r="E135" s="84">
        <v>13140</v>
      </c>
      <c r="F135" s="84">
        <v>2240</v>
      </c>
      <c r="G135" s="84">
        <v>6680</v>
      </c>
    </row>
    <row r="136" spans="1:7" s="73" customFormat="1" ht="14.25" customHeight="1">
      <c r="A136" s="84" t="s">
        <v>273</v>
      </c>
      <c r="B136" s="84" t="s">
        <v>2378</v>
      </c>
      <c r="C136" s="84">
        <v>11930</v>
      </c>
      <c r="D136" s="84">
        <v>11880</v>
      </c>
      <c r="E136" s="84">
        <v>14770</v>
      </c>
      <c r="F136" s="84">
        <v>1970</v>
      </c>
      <c r="G136" s="84">
        <v>7640</v>
      </c>
    </row>
    <row r="137" spans="1:7" s="73" customFormat="1" ht="14.25" customHeight="1">
      <c r="A137" s="84" t="s">
        <v>273</v>
      </c>
      <c r="B137" s="84" t="s">
        <v>2379</v>
      </c>
      <c r="C137" s="84">
        <v>10470</v>
      </c>
      <c r="D137" s="84">
        <v>10430</v>
      </c>
      <c r="E137" s="84">
        <v>13190</v>
      </c>
      <c r="F137" s="84">
        <v>1990</v>
      </c>
      <c r="G137" s="84">
        <v>6710</v>
      </c>
    </row>
    <row r="138" spans="1:7" s="73" customFormat="1" ht="14.25" customHeight="1">
      <c r="A138" s="84" t="s">
        <v>273</v>
      </c>
      <c r="B138" s="84" t="s">
        <v>2380</v>
      </c>
      <c r="C138" s="84">
        <v>10410</v>
      </c>
      <c r="D138" s="84">
        <v>10380</v>
      </c>
      <c r="E138" s="84">
        <v>13130</v>
      </c>
      <c r="F138" s="84">
        <v>2030</v>
      </c>
      <c r="G138" s="84">
        <v>6680</v>
      </c>
    </row>
    <row r="139" spans="1:7" s="73" customFormat="1" ht="14.25" customHeight="1">
      <c r="A139" s="84" t="s">
        <v>273</v>
      </c>
      <c r="B139" s="84" t="s">
        <v>2381</v>
      </c>
      <c r="C139" s="84">
        <v>9460</v>
      </c>
      <c r="D139" s="84">
        <v>9410</v>
      </c>
      <c r="E139" s="84">
        <v>12050</v>
      </c>
      <c r="F139" s="84">
        <v>2140</v>
      </c>
      <c r="G139" s="84">
        <v>6050</v>
      </c>
    </row>
    <row r="140" spans="1:7" s="73" customFormat="1" ht="14.25" customHeight="1">
      <c r="A140" s="84" t="s">
        <v>273</v>
      </c>
      <c r="B140" s="84" t="s">
        <v>2382</v>
      </c>
      <c r="C140" s="84">
        <v>11030</v>
      </c>
      <c r="D140" s="84">
        <v>10980</v>
      </c>
      <c r="E140" s="84">
        <v>13880</v>
      </c>
      <c r="F140" s="84">
        <v>2210</v>
      </c>
      <c r="G140" s="84">
        <v>7060</v>
      </c>
    </row>
    <row r="141" spans="1:7" s="73" customFormat="1" ht="14.25" customHeight="1">
      <c r="A141" s="84" t="s">
        <v>273</v>
      </c>
      <c r="B141" s="84" t="s">
        <v>2383</v>
      </c>
      <c r="C141" s="84">
        <v>11200</v>
      </c>
      <c r="D141" s="84">
        <v>11150</v>
      </c>
      <c r="E141" s="84">
        <v>14100</v>
      </c>
      <c r="F141" s="84">
        <v>2470</v>
      </c>
      <c r="G141" s="84">
        <v>7170</v>
      </c>
    </row>
    <row r="142" spans="1:7" s="73" customFormat="1" ht="14.25" customHeight="1">
      <c r="A142" s="84" t="s">
        <v>273</v>
      </c>
      <c r="B142" s="84" t="s">
        <v>2384</v>
      </c>
      <c r="C142" s="84">
        <v>10780</v>
      </c>
      <c r="D142" s="84">
        <v>10730</v>
      </c>
      <c r="E142" s="84">
        <v>13540</v>
      </c>
      <c r="F142" s="84">
        <v>2280</v>
      </c>
      <c r="G142" s="84">
        <v>6900</v>
      </c>
    </row>
    <row r="143" spans="1:7" s="73" customFormat="1" ht="14.25" customHeight="1">
      <c r="A143" s="84" t="s">
        <v>273</v>
      </c>
      <c r="B143" s="84" t="s">
        <v>2385</v>
      </c>
      <c r="C143" s="84">
        <v>11550</v>
      </c>
      <c r="D143" s="84">
        <v>11490</v>
      </c>
      <c r="E143" s="84">
        <v>14480</v>
      </c>
      <c r="F143" s="84">
        <v>2070</v>
      </c>
      <c r="G143" s="84">
        <v>7390</v>
      </c>
    </row>
    <row r="144" spans="1:7" s="73" customFormat="1" ht="14.25" customHeight="1">
      <c r="A144" s="84" t="s">
        <v>273</v>
      </c>
      <c r="B144" s="84" t="s">
        <v>2386</v>
      </c>
      <c r="C144" s="84">
        <v>10720</v>
      </c>
      <c r="D144" s="84">
        <v>10680</v>
      </c>
      <c r="E144" s="84">
        <v>13480</v>
      </c>
      <c r="F144" s="84">
        <v>2440</v>
      </c>
      <c r="G144" s="84">
        <v>6870</v>
      </c>
    </row>
    <row r="145" spans="1:7" s="73" customFormat="1" ht="14.25" customHeight="1">
      <c r="A145" s="84" t="s">
        <v>273</v>
      </c>
      <c r="B145" s="84" t="s">
        <v>2387</v>
      </c>
      <c r="C145" s="84">
        <v>10340</v>
      </c>
      <c r="D145" s="84">
        <v>10290</v>
      </c>
      <c r="E145" s="84">
        <v>12880</v>
      </c>
      <c r="F145" s="84">
        <v>2650</v>
      </c>
      <c r="G145" s="84">
        <v>6620</v>
      </c>
    </row>
    <row r="146" spans="1:7" s="73" customFormat="1" ht="14.25" customHeight="1">
      <c r="A146" s="84" t="s">
        <v>273</v>
      </c>
      <c r="B146" s="84" t="s">
        <v>2388</v>
      </c>
      <c r="C146" s="84">
        <v>11890</v>
      </c>
      <c r="D146" s="84">
        <v>11830</v>
      </c>
      <c r="E146" s="84">
        <v>14670</v>
      </c>
      <c r="F146" s="84"/>
      <c r="G146" s="84">
        <v>7610</v>
      </c>
    </row>
    <row r="147" spans="1:7" s="73" customFormat="1" ht="14.25" customHeight="1">
      <c r="A147" s="84" t="s">
        <v>273</v>
      </c>
      <c r="B147" s="84" t="s">
        <v>2389</v>
      </c>
      <c r="C147" s="84">
        <v>12650</v>
      </c>
      <c r="D147" s="84">
        <v>12600</v>
      </c>
      <c r="E147" s="84">
        <v>15440</v>
      </c>
      <c r="F147" s="84"/>
      <c r="G147" s="84">
        <v>8110</v>
      </c>
    </row>
    <row r="148" spans="1:7" s="73" customFormat="1" ht="14.25" customHeight="1">
      <c r="A148" s="84" t="s">
        <v>273</v>
      </c>
      <c r="B148" s="84" t="s">
        <v>2390</v>
      </c>
      <c r="C148" s="84">
        <v>10370</v>
      </c>
      <c r="D148" s="84">
        <v>10310</v>
      </c>
      <c r="E148" s="84">
        <v>12970</v>
      </c>
      <c r="F148" s="84"/>
      <c r="G148" s="84">
        <v>6630</v>
      </c>
    </row>
    <row r="149" spans="1:7" s="73" customFormat="1" ht="14.25" customHeight="1">
      <c r="A149" s="84" t="s">
        <v>273</v>
      </c>
      <c r="B149" s="84" t="s">
        <v>2391</v>
      </c>
      <c r="C149" s="84">
        <v>11600</v>
      </c>
      <c r="D149" s="84">
        <v>11560</v>
      </c>
      <c r="E149" s="84">
        <v>14540</v>
      </c>
      <c r="F149" s="84">
        <v>2390</v>
      </c>
      <c r="G149" s="84">
        <v>7430</v>
      </c>
    </row>
    <row r="150" spans="1:7" s="73" customFormat="1" ht="14.25" customHeight="1">
      <c r="A150" s="84" t="s">
        <v>273</v>
      </c>
      <c r="B150" s="84" t="s">
        <v>2392</v>
      </c>
      <c r="C150" s="84">
        <v>9950</v>
      </c>
      <c r="D150" s="84">
        <v>9890</v>
      </c>
      <c r="E150" s="84">
        <v>12590</v>
      </c>
      <c r="F150" s="84">
        <v>1970</v>
      </c>
      <c r="G150" s="84">
        <v>6360</v>
      </c>
    </row>
    <row r="151" spans="1:7" s="73" customFormat="1" ht="14.25" customHeight="1">
      <c r="A151" s="84" t="s">
        <v>273</v>
      </c>
      <c r="B151" s="84" t="s">
        <v>2393</v>
      </c>
      <c r="C151" s="84">
        <v>10700</v>
      </c>
      <c r="D151" s="84">
        <v>10650</v>
      </c>
      <c r="E151" s="84">
        <v>13420</v>
      </c>
      <c r="F151" s="84">
        <v>2020</v>
      </c>
      <c r="G151" s="84">
        <v>6850</v>
      </c>
    </row>
    <row r="152" spans="1:7" s="73" customFormat="1" ht="14.25" customHeight="1">
      <c r="A152" s="84" t="s">
        <v>273</v>
      </c>
      <c r="B152" s="84" t="s">
        <v>2394</v>
      </c>
      <c r="C152" s="84">
        <v>10310</v>
      </c>
      <c r="D152" s="84">
        <v>10260</v>
      </c>
      <c r="E152" s="84">
        <v>12820</v>
      </c>
      <c r="F152" s="84">
        <v>1980</v>
      </c>
      <c r="G152" s="84">
        <v>6600</v>
      </c>
    </row>
    <row r="153" spans="1:7" s="73" customFormat="1" ht="14.25" customHeight="1">
      <c r="A153" s="84" t="s">
        <v>273</v>
      </c>
      <c r="B153" s="84" t="s">
        <v>2395</v>
      </c>
      <c r="C153" s="84">
        <v>10880</v>
      </c>
      <c r="D153" s="84">
        <v>10820</v>
      </c>
      <c r="E153" s="84">
        <v>13660</v>
      </c>
      <c r="F153" s="84">
        <v>2260</v>
      </c>
      <c r="G153" s="84">
        <v>6970</v>
      </c>
    </row>
    <row r="154" spans="1:7" s="73" customFormat="1" ht="14.25" customHeight="1">
      <c r="A154" s="84" t="s">
        <v>273</v>
      </c>
      <c r="B154" s="84" t="s">
        <v>2396</v>
      </c>
      <c r="C154" s="84">
        <v>11220</v>
      </c>
      <c r="D154" s="84">
        <v>11160</v>
      </c>
      <c r="E154" s="84">
        <v>14130</v>
      </c>
      <c r="F154" s="84">
        <v>2230</v>
      </c>
      <c r="G154" s="84">
        <v>7180</v>
      </c>
    </row>
    <row r="155" spans="1:7" s="73" customFormat="1" ht="14.25" customHeight="1">
      <c r="A155" s="84" t="s">
        <v>273</v>
      </c>
      <c r="B155" s="84" t="s">
        <v>2397</v>
      </c>
      <c r="C155" s="84">
        <v>10430</v>
      </c>
      <c r="D155" s="84">
        <v>10380</v>
      </c>
      <c r="E155" s="84">
        <v>13140</v>
      </c>
      <c r="F155" s="84">
        <v>2080</v>
      </c>
      <c r="G155" s="84">
        <v>6650</v>
      </c>
    </row>
    <row r="156" spans="1:7" s="73" customFormat="1" ht="14.25" customHeight="1">
      <c r="A156" s="84" t="s">
        <v>273</v>
      </c>
      <c r="B156" s="84" t="s">
        <v>2398</v>
      </c>
      <c r="C156" s="84">
        <v>10440</v>
      </c>
      <c r="D156" s="84">
        <v>10400</v>
      </c>
      <c r="E156" s="84">
        <v>13150</v>
      </c>
      <c r="F156" s="84">
        <v>2490</v>
      </c>
      <c r="G156" s="84">
        <v>6690</v>
      </c>
    </row>
    <row r="157" spans="1:7" s="73" customFormat="1" ht="14.25" customHeight="1">
      <c r="A157" s="84" t="s">
        <v>273</v>
      </c>
      <c r="B157" s="84" t="s">
        <v>2399</v>
      </c>
      <c r="C157" s="84">
        <v>10970</v>
      </c>
      <c r="D157" s="84">
        <v>10920</v>
      </c>
      <c r="E157" s="84">
        <v>13840</v>
      </c>
      <c r="F157" s="84">
        <v>2420</v>
      </c>
      <c r="G157" s="84">
        <v>7020</v>
      </c>
    </row>
    <row r="158" spans="1:7" s="73" customFormat="1" ht="14.25" customHeight="1">
      <c r="A158" s="84" t="s">
        <v>273</v>
      </c>
      <c r="B158" s="84" t="s">
        <v>2400</v>
      </c>
      <c r="C158" s="84">
        <v>9590</v>
      </c>
      <c r="D158" s="84">
        <v>9540</v>
      </c>
      <c r="E158" s="84">
        <v>12210</v>
      </c>
      <c r="F158" s="84">
        <v>2100</v>
      </c>
      <c r="G158" s="84">
        <v>6130</v>
      </c>
    </row>
    <row r="159" spans="1:7" s="73" customFormat="1" ht="14.25" customHeight="1">
      <c r="A159" s="84" t="s">
        <v>273</v>
      </c>
      <c r="B159" s="84" t="s">
        <v>2401</v>
      </c>
      <c r="C159" s="84">
        <v>11190</v>
      </c>
      <c r="D159" s="84">
        <v>11140</v>
      </c>
      <c r="E159" s="84">
        <v>14090</v>
      </c>
      <c r="F159" s="84">
        <v>2470</v>
      </c>
      <c r="G159" s="84">
        <v>7170</v>
      </c>
    </row>
    <row r="160" spans="1:7" s="73" customFormat="1" ht="14.25" customHeight="1">
      <c r="A160" s="84" t="s">
        <v>273</v>
      </c>
      <c r="B160" s="84" t="s">
        <v>2402</v>
      </c>
      <c r="C160" s="84">
        <v>11180</v>
      </c>
      <c r="D160" s="84">
        <v>11140</v>
      </c>
      <c r="E160" s="84">
        <v>14050</v>
      </c>
      <c r="F160" s="84">
        <v>2270</v>
      </c>
      <c r="G160" s="84">
        <v>7170</v>
      </c>
    </row>
    <row r="161" spans="1:7" s="73" customFormat="1" ht="14.25" customHeight="1">
      <c r="A161" s="84" t="s">
        <v>273</v>
      </c>
      <c r="B161" s="84" t="s">
        <v>2403</v>
      </c>
      <c r="C161" s="84">
        <v>11160</v>
      </c>
      <c r="D161" s="84">
        <v>11120</v>
      </c>
      <c r="E161" s="84">
        <v>14020</v>
      </c>
      <c r="F161" s="84">
        <v>2150</v>
      </c>
      <c r="G161" s="84">
        <v>7160</v>
      </c>
    </row>
    <row r="162" spans="1:7" s="73" customFormat="1" ht="14.25" customHeight="1">
      <c r="A162" s="84" t="s">
        <v>273</v>
      </c>
      <c r="B162" s="84" t="s">
        <v>2404</v>
      </c>
      <c r="C162" s="84">
        <v>9620</v>
      </c>
      <c r="D162" s="84">
        <v>9570</v>
      </c>
      <c r="E162" s="84">
        <v>12320</v>
      </c>
      <c r="F162" s="84">
        <v>2010</v>
      </c>
      <c r="G162" s="84">
        <v>6160</v>
      </c>
    </row>
    <row r="163" spans="1:7" s="73" customFormat="1" ht="14.25" customHeight="1">
      <c r="A163" s="84" t="s">
        <v>273</v>
      </c>
      <c r="B163" s="84" t="s">
        <v>2405</v>
      </c>
      <c r="C163" s="84">
        <v>9320</v>
      </c>
      <c r="D163" s="84">
        <v>9270</v>
      </c>
      <c r="E163" s="84">
        <v>11790</v>
      </c>
      <c r="F163" s="84">
        <v>1920</v>
      </c>
      <c r="G163" s="84">
        <v>5960</v>
      </c>
    </row>
    <row r="164" spans="1:7" s="73" customFormat="1" ht="14.25" customHeight="1">
      <c r="A164" s="84" t="s">
        <v>273</v>
      </c>
      <c r="B164" s="84" t="s">
        <v>2406</v>
      </c>
      <c r="C164" s="84"/>
      <c r="D164" s="84"/>
      <c r="E164" s="84"/>
      <c r="F164" s="84">
        <v>1980</v>
      </c>
      <c r="G164" s="84"/>
    </row>
    <row r="165" spans="1:7" s="73" customFormat="1" ht="14.25" customHeight="1">
      <c r="A165" s="84" t="s">
        <v>273</v>
      </c>
      <c r="B165" s="84" t="s">
        <v>2407</v>
      </c>
      <c r="C165" s="84">
        <v>11060</v>
      </c>
      <c r="D165" s="84">
        <v>11030</v>
      </c>
      <c r="E165" s="84">
        <v>13850</v>
      </c>
      <c r="F165" s="84">
        <v>2170</v>
      </c>
      <c r="G165" s="84">
        <v>7090</v>
      </c>
    </row>
    <row r="166" spans="1:7" s="73" customFormat="1" ht="14.25" customHeight="1">
      <c r="A166" s="84" t="s">
        <v>273</v>
      </c>
      <c r="B166" s="84" t="s">
        <v>2408</v>
      </c>
      <c r="C166" s="84">
        <v>11050</v>
      </c>
      <c r="D166" s="84">
        <v>11010</v>
      </c>
      <c r="E166" s="84">
        <v>13920</v>
      </c>
      <c r="F166" s="84">
        <v>2140</v>
      </c>
      <c r="G166" s="84">
        <v>7080</v>
      </c>
    </row>
    <row r="167" spans="1:7" s="73" customFormat="1" ht="14.25" customHeight="1">
      <c r="A167" s="84" t="s">
        <v>273</v>
      </c>
      <c r="B167" s="84" t="s">
        <v>2409</v>
      </c>
      <c r="C167" s="84">
        <v>10930</v>
      </c>
      <c r="D167" s="84">
        <v>10890</v>
      </c>
      <c r="E167" s="84">
        <v>13790</v>
      </c>
      <c r="F167" s="84">
        <v>2010</v>
      </c>
      <c r="G167" s="84">
        <v>7000</v>
      </c>
    </row>
    <row r="168" spans="1:7" s="73" customFormat="1" ht="14.25" customHeight="1">
      <c r="A168" s="84" t="s">
        <v>273</v>
      </c>
      <c r="B168" s="84" t="s">
        <v>2410</v>
      </c>
      <c r="C168" s="84">
        <v>9420</v>
      </c>
      <c r="D168" s="84">
        <v>9380</v>
      </c>
      <c r="E168" s="84">
        <v>11970</v>
      </c>
      <c r="F168" s="84"/>
      <c r="G168" s="84">
        <v>6040</v>
      </c>
    </row>
    <row r="169" spans="1:7" s="73" customFormat="1" ht="14.25" customHeight="1">
      <c r="A169" s="84" t="s">
        <v>273</v>
      </c>
      <c r="B169" s="84" t="s">
        <v>2411</v>
      </c>
      <c r="C169" s="84"/>
      <c r="D169" s="84"/>
      <c r="E169" s="84"/>
      <c r="F169" s="84">
        <v>2880</v>
      </c>
      <c r="G169" s="84"/>
    </row>
    <row r="170" spans="1:7" s="73" customFormat="1" ht="14.25" customHeight="1">
      <c r="A170" s="84" t="s">
        <v>273</v>
      </c>
      <c r="B170" s="84" t="s">
        <v>2412</v>
      </c>
      <c r="C170" s="84"/>
      <c r="D170" s="84"/>
      <c r="E170" s="84"/>
      <c r="F170" s="84">
        <v>2880</v>
      </c>
      <c r="G170" s="84"/>
    </row>
    <row r="171" spans="1:7" s="73" customFormat="1" ht="14.25" customHeight="1">
      <c r="A171" s="84" t="s">
        <v>273</v>
      </c>
      <c r="B171" s="84" t="s">
        <v>2413</v>
      </c>
      <c r="C171" s="84"/>
      <c r="D171" s="84"/>
      <c r="E171" s="84"/>
      <c r="F171" s="84">
        <v>2880</v>
      </c>
      <c r="G171" s="84"/>
    </row>
    <row r="172" spans="1:7" s="73" customFormat="1" ht="14.25" customHeight="1">
      <c r="A172" s="84" t="s">
        <v>273</v>
      </c>
      <c r="B172" s="84" t="s">
        <v>2414</v>
      </c>
      <c r="C172" s="84"/>
      <c r="D172" s="84"/>
      <c r="E172" s="84"/>
      <c r="F172" s="84">
        <v>2880</v>
      </c>
      <c r="G172" s="84"/>
    </row>
    <row r="173" spans="1:7" s="73" customFormat="1" ht="14.25" customHeight="1">
      <c r="A173" s="84" t="s">
        <v>273</v>
      </c>
      <c r="B173" s="84" t="s">
        <v>2415</v>
      </c>
      <c r="C173" s="84"/>
      <c r="D173" s="84"/>
      <c r="E173" s="84"/>
      <c r="F173" s="84">
        <v>2150</v>
      </c>
      <c r="G173" s="84"/>
    </row>
    <row r="174" spans="1:7" s="73" customFormat="1" ht="14.25" customHeight="1">
      <c r="A174" s="84" t="s">
        <v>273</v>
      </c>
      <c r="B174" s="84" t="s">
        <v>2416</v>
      </c>
      <c r="C174" s="84"/>
      <c r="D174" s="84"/>
      <c r="E174" s="84"/>
      <c r="F174" s="84">
        <v>2030</v>
      </c>
      <c r="G174" s="84"/>
    </row>
    <row r="175" spans="1:7" s="73" customFormat="1" ht="14.25" customHeight="1">
      <c r="A175" s="84" t="s">
        <v>273</v>
      </c>
      <c r="B175" s="84" t="s">
        <v>2417</v>
      </c>
      <c r="C175" s="84"/>
      <c r="D175" s="84"/>
      <c r="E175" s="84"/>
      <c r="F175" s="84">
        <v>2780</v>
      </c>
      <c r="G175" s="84"/>
    </row>
    <row r="176" spans="1:7" s="73" customFormat="1" ht="14.25" customHeight="1">
      <c r="A176" s="84" t="s">
        <v>273</v>
      </c>
      <c r="B176" s="84" t="s">
        <v>2418</v>
      </c>
      <c r="C176" s="84"/>
      <c r="D176" s="84"/>
      <c r="E176" s="84"/>
      <c r="F176" s="84">
        <v>2780</v>
      </c>
      <c r="G176" s="84"/>
    </row>
    <row r="177" spans="1:7" s="73" customFormat="1" ht="14.25" customHeight="1">
      <c r="A177" s="84" t="s">
        <v>273</v>
      </c>
      <c r="B177" s="84" t="s">
        <v>2419</v>
      </c>
      <c r="C177" s="84"/>
      <c r="D177" s="84"/>
      <c r="E177" s="84"/>
      <c r="F177" s="84">
        <v>2780</v>
      </c>
      <c r="G177" s="84"/>
    </row>
    <row r="178" spans="1:7" s="73" customFormat="1" ht="14.25" customHeight="1">
      <c r="A178" s="84" t="s">
        <v>273</v>
      </c>
      <c r="B178" s="84" t="s">
        <v>2420</v>
      </c>
      <c r="C178" s="84"/>
      <c r="D178" s="84"/>
      <c r="E178" s="84"/>
      <c r="F178" s="84">
        <v>2060</v>
      </c>
      <c r="G178" s="84"/>
    </row>
    <row r="179" spans="1:7" s="73" customFormat="1" ht="14.25" customHeight="1">
      <c r="A179" s="84" t="s">
        <v>273</v>
      </c>
      <c r="B179" s="84" t="s">
        <v>2421</v>
      </c>
      <c r="C179" s="84"/>
      <c r="D179" s="84"/>
      <c r="E179" s="84"/>
      <c r="F179" s="84">
        <v>2120</v>
      </c>
      <c r="G179" s="84"/>
    </row>
    <row r="180" spans="1:7" s="73" customFormat="1" ht="14.25" customHeight="1">
      <c r="A180" s="84" t="s">
        <v>273</v>
      </c>
      <c r="B180" s="84" t="s">
        <v>2422</v>
      </c>
      <c r="C180" s="84"/>
      <c r="D180" s="84"/>
      <c r="E180" s="84"/>
      <c r="F180" s="84">
        <v>2340</v>
      </c>
      <c r="G180" s="84"/>
    </row>
    <row r="181" spans="1:7" s="73" customFormat="1" ht="14.25" customHeight="1">
      <c r="A181" s="84" t="s">
        <v>273</v>
      </c>
      <c r="B181" s="84" t="s">
        <v>2423</v>
      </c>
      <c r="C181" s="84"/>
      <c r="D181" s="84"/>
      <c r="E181" s="84"/>
      <c r="F181" s="84">
        <v>2340</v>
      </c>
      <c r="G181" s="84"/>
    </row>
    <row r="182" spans="1:7" s="73" customFormat="1" ht="14.25" customHeight="1">
      <c r="A182" s="84" t="s">
        <v>273</v>
      </c>
      <c r="B182" s="84" t="s">
        <v>2424</v>
      </c>
      <c r="C182" s="84"/>
      <c r="D182" s="84"/>
      <c r="E182" s="84"/>
      <c r="F182" s="84">
        <v>2340</v>
      </c>
      <c r="G182" s="84"/>
    </row>
    <row r="183" spans="1:7" s="73" customFormat="1" ht="14.25" customHeight="1">
      <c r="A183" s="84" t="s">
        <v>273</v>
      </c>
      <c r="B183" s="84" t="s">
        <v>2425</v>
      </c>
      <c r="C183" s="84"/>
      <c r="D183" s="84"/>
      <c r="E183" s="84"/>
      <c r="F183" s="84">
        <v>2340</v>
      </c>
      <c r="G183" s="84"/>
    </row>
    <row r="184" spans="1:7" s="73" customFormat="1" ht="14.25" customHeight="1">
      <c r="A184" s="84" t="s">
        <v>273</v>
      </c>
      <c r="B184" s="84" t="s">
        <v>2426</v>
      </c>
      <c r="C184" s="84"/>
      <c r="D184" s="84"/>
      <c r="E184" s="84"/>
      <c r="F184" s="84">
        <v>2340</v>
      </c>
      <c r="G184" s="84"/>
    </row>
    <row r="185" spans="1:7" s="73" customFormat="1" ht="14.25" customHeight="1">
      <c r="A185" s="84" t="s">
        <v>273</v>
      </c>
      <c r="B185" s="84" t="s">
        <v>2427</v>
      </c>
      <c r="C185" s="84"/>
      <c r="D185" s="84"/>
      <c r="E185" s="84"/>
      <c r="F185" s="84">
        <v>2530</v>
      </c>
      <c r="G185" s="84"/>
    </row>
    <row r="186" spans="1:7" s="73" customFormat="1" ht="14.25" customHeight="1">
      <c r="A186" s="84" t="s">
        <v>273</v>
      </c>
      <c r="B186" s="84" t="s">
        <v>2428</v>
      </c>
      <c r="C186" s="84"/>
      <c r="D186" s="84"/>
      <c r="E186" s="84"/>
      <c r="F186" s="84">
        <v>2550</v>
      </c>
      <c r="G186" s="84"/>
    </row>
    <row r="187" spans="1:7" s="73" customFormat="1" ht="14.25" customHeight="1">
      <c r="A187" s="84" t="s">
        <v>273</v>
      </c>
      <c r="B187" s="84" t="s">
        <v>2429</v>
      </c>
      <c r="C187" s="84"/>
      <c r="D187" s="84"/>
      <c r="E187" s="84"/>
      <c r="F187" s="84">
        <v>2070</v>
      </c>
      <c r="G187" s="84"/>
    </row>
    <row r="188" spans="1:7" s="73" customFormat="1" ht="14.25" customHeight="1">
      <c r="A188" s="84" t="s">
        <v>273</v>
      </c>
      <c r="B188" s="84" t="s">
        <v>2430</v>
      </c>
      <c r="C188" s="84"/>
      <c r="D188" s="84"/>
      <c r="E188" s="84"/>
      <c r="F188" s="84">
        <v>2340</v>
      </c>
      <c r="G188" s="84"/>
    </row>
    <row r="189" spans="1:7" s="73" customFormat="1" ht="14.25" customHeight="1">
      <c r="A189" s="86" t="s">
        <v>273</v>
      </c>
      <c r="B189" s="90" t="s">
        <v>2431</v>
      </c>
      <c r="C189" s="90"/>
      <c r="D189" s="90"/>
      <c r="E189" s="90"/>
      <c r="F189" s="90">
        <v>2050</v>
      </c>
      <c r="G189" s="90"/>
    </row>
    <row r="190" spans="1:7" s="73" customFormat="1" ht="14.25" customHeight="1">
      <c r="A190" s="82" t="s">
        <v>278</v>
      </c>
      <c r="B190" s="83" t="s">
        <v>2432</v>
      </c>
      <c r="C190" s="83">
        <v>8830</v>
      </c>
      <c r="D190" s="83">
        <v>8790</v>
      </c>
      <c r="E190" s="83">
        <v>11630</v>
      </c>
      <c r="F190" s="83">
        <v>1790</v>
      </c>
      <c r="G190" s="91">
        <v>5550</v>
      </c>
    </row>
    <row r="191" spans="1:7" s="73" customFormat="1" ht="14.25" customHeight="1">
      <c r="A191" s="84" t="s">
        <v>278</v>
      </c>
      <c r="B191" s="84" t="s">
        <v>2433</v>
      </c>
      <c r="C191" s="84">
        <v>9780</v>
      </c>
      <c r="D191" s="84">
        <v>9710</v>
      </c>
      <c r="E191" s="84">
        <v>12550</v>
      </c>
      <c r="F191" s="84">
        <v>1980</v>
      </c>
      <c r="G191" s="92">
        <v>6130</v>
      </c>
    </row>
    <row r="192" spans="1:7" s="73" customFormat="1" ht="14.25" customHeight="1">
      <c r="A192" s="84" t="s">
        <v>278</v>
      </c>
      <c r="B192" s="84" t="s">
        <v>2434</v>
      </c>
      <c r="C192" s="84">
        <v>8180</v>
      </c>
      <c r="D192" s="84">
        <v>8140</v>
      </c>
      <c r="E192" s="84">
        <v>10870</v>
      </c>
      <c r="F192" s="84">
        <v>1690</v>
      </c>
      <c r="G192" s="92">
        <v>5140</v>
      </c>
    </row>
    <row r="193" spans="1:7" s="73" customFormat="1" ht="14.25" customHeight="1">
      <c r="A193" s="84" t="s">
        <v>278</v>
      </c>
      <c r="B193" s="84" t="s">
        <v>2435</v>
      </c>
      <c r="C193" s="84">
        <v>8440</v>
      </c>
      <c r="D193" s="84">
        <v>8390</v>
      </c>
      <c r="E193" s="84">
        <v>11210</v>
      </c>
      <c r="F193" s="84">
        <v>1600</v>
      </c>
      <c r="G193" s="92">
        <v>5300</v>
      </c>
    </row>
    <row r="194" spans="1:7" s="73" customFormat="1" ht="14.25" customHeight="1">
      <c r="A194" s="84" t="s">
        <v>278</v>
      </c>
      <c r="B194" s="84" t="s">
        <v>2436</v>
      </c>
      <c r="C194" s="84">
        <v>8780</v>
      </c>
      <c r="D194" s="84">
        <v>8730</v>
      </c>
      <c r="E194" s="84">
        <v>11550</v>
      </c>
      <c r="F194" s="84">
        <v>1660</v>
      </c>
      <c r="G194" s="92">
        <v>5520</v>
      </c>
    </row>
    <row r="195" spans="1:7" s="73" customFormat="1" ht="14.25" customHeight="1">
      <c r="A195" s="84" t="s">
        <v>278</v>
      </c>
      <c r="B195" s="84" t="s">
        <v>2437</v>
      </c>
      <c r="C195" s="84">
        <v>8720</v>
      </c>
      <c r="D195" s="84">
        <v>8670</v>
      </c>
      <c r="E195" s="84">
        <v>11450</v>
      </c>
      <c r="F195" s="84">
        <v>1720</v>
      </c>
      <c r="G195" s="92">
        <v>5480</v>
      </c>
    </row>
    <row r="196" spans="1:7" s="73" customFormat="1" ht="14.25" customHeight="1">
      <c r="A196" s="84" t="s">
        <v>278</v>
      </c>
      <c r="B196" s="84" t="s">
        <v>2438</v>
      </c>
      <c r="C196" s="84">
        <v>8460</v>
      </c>
      <c r="D196" s="84">
        <v>8410</v>
      </c>
      <c r="E196" s="84">
        <v>11230</v>
      </c>
      <c r="F196" s="84">
        <v>1730</v>
      </c>
      <c r="G196" s="92">
        <v>5310</v>
      </c>
    </row>
    <row r="197" spans="1:7" s="73" customFormat="1" ht="14.25" customHeight="1">
      <c r="A197" s="84" t="s">
        <v>278</v>
      </c>
      <c r="B197" s="84" t="s">
        <v>2439</v>
      </c>
      <c r="C197" s="84">
        <v>8790</v>
      </c>
      <c r="D197" s="84">
        <v>8730</v>
      </c>
      <c r="E197" s="84">
        <v>11560</v>
      </c>
      <c r="F197" s="84">
        <v>1750</v>
      </c>
      <c r="G197" s="92">
        <v>5520</v>
      </c>
    </row>
    <row r="198" spans="1:7" s="73" customFormat="1" ht="14.25" customHeight="1">
      <c r="A198" s="84" t="s">
        <v>278</v>
      </c>
      <c r="B198" s="84" t="s">
        <v>2440</v>
      </c>
      <c r="C198" s="84">
        <v>8720</v>
      </c>
      <c r="D198" s="84">
        <v>8680</v>
      </c>
      <c r="E198" s="84">
        <v>11470</v>
      </c>
      <c r="F198" s="84"/>
      <c r="G198" s="92">
        <v>5480</v>
      </c>
    </row>
    <row r="199" spans="1:7" s="73" customFormat="1" ht="14.25" customHeight="1">
      <c r="A199" s="84" t="s">
        <v>278</v>
      </c>
      <c r="B199" s="84" t="s">
        <v>2441</v>
      </c>
      <c r="C199" s="84">
        <v>8690</v>
      </c>
      <c r="D199" s="84">
        <v>8630</v>
      </c>
      <c r="E199" s="84">
        <v>11350</v>
      </c>
      <c r="F199" s="84">
        <v>1600</v>
      </c>
      <c r="G199" s="92">
        <v>5450</v>
      </c>
    </row>
    <row r="200" spans="1:7" s="73" customFormat="1" ht="14.25" customHeight="1">
      <c r="A200" s="84" t="s">
        <v>278</v>
      </c>
      <c r="B200" s="84" t="s">
        <v>2442</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2443</v>
      </c>
      <c r="C202" s="84">
        <v>8530</v>
      </c>
      <c r="D202" s="84">
        <v>8490</v>
      </c>
      <c r="E202" s="84">
        <v>11160</v>
      </c>
      <c r="F202" s="84">
        <v>1580</v>
      </c>
      <c r="G202" s="92">
        <v>5360</v>
      </c>
    </row>
    <row r="203" spans="1:7" s="73" customFormat="1" ht="14.25" customHeight="1">
      <c r="A203" s="84" t="s">
        <v>278</v>
      </c>
      <c r="B203" s="84" t="s">
        <v>2444</v>
      </c>
      <c r="C203" s="84">
        <v>8130</v>
      </c>
      <c r="D203" s="84">
        <v>8070</v>
      </c>
      <c r="E203" s="84">
        <v>10820</v>
      </c>
      <c r="F203" s="84">
        <v>1690</v>
      </c>
      <c r="G203" s="92">
        <v>5100</v>
      </c>
    </row>
    <row r="204" spans="1:7" s="73" customFormat="1" ht="14.25" customHeight="1">
      <c r="A204" s="84" t="s">
        <v>278</v>
      </c>
      <c r="B204" s="84" t="s">
        <v>2445</v>
      </c>
      <c r="C204" s="84">
        <v>8350</v>
      </c>
      <c r="D204" s="84">
        <v>8290</v>
      </c>
      <c r="E204" s="84">
        <v>11080</v>
      </c>
      <c r="F204" s="84">
        <v>1450</v>
      </c>
      <c r="G204" s="92">
        <v>5240</v>
      </c>
    </row>
    <row r="205" spans="1:7" s="73" customFormat="1" ht="14.25" customHeight="1">
      <c r="A205" s="84" t="s">
        <v>278</v>
      </c>
      <c r="B205" s="84" t="s">
        <v>2446</v>
      </c>
      <c r="C205" s="84">
        <v>7190</v>
      </c>
      <c r="D205" s="84">
        <v>7130</v>
      </c>
      <c r="E205" s="84">
        <v>9490</v>
      </c>
      <c r="F205" s="84">
        <v>1470</v>
      </c>
      <c r="G205" s="92">
        <v>4510</v>
      </c>
    </row>
    <row r="206" spans="1:7" s="73" customFormat="1" ht="14.25" customHeight="1">
      <c r="A206" s="84" t="s">
        <v>278</v>
      </c>
      <c r="B206" s="84" t="s">
        <v>2447</v>
      </c>
      <c r="C206" s="84">
        <v>7000</v>
      </c>
      <c r="D206" s="84">
        <v>6950</v>
      </c>
      <c r="E206" s="84">
        <v>9170</v>
      </c>
      <c r="F206" s="84">
        <v>1400</v>
      </c>
      <c r="G206" s="92">
        <v>4380</v>
      </c>
    </row>
    <row r="207" spans="1:7" s="73" customFormat="1" ht="14.25" customHeight="1">
      <c r="A207" s="84" t="s">
        <v>278</v>
      </c>
      <c r="B207" s="84" t="s">
        <v>2448</v>
      </c>
      <c r="C207" s="84">
        <v>6950</v>
      </c>
      <c r="D207" s="84">
        <v>6900</v>
      </c>
      <c r="E207" s="84">
        <v>9110</v>
      </c>
      <c r="F207" s="84">
        <v>1790</v>
      </c>
      <c r="G207" s="92">
        <v>4360</v>
      </c>
    </row>
    <row r="208" spans="1:7" s="73" customFormat="1" ht="14.25" customHeight="1">
      <c r="A208" s="84" t="s">
        <v>278</v>
      </c>
      <c r="B208" s="84" t="s">
        <v>2449</v>
      </c>
      <c r="C208" s="84">
        <v>9470</v>
      </c>
      <c r="D208" s="84">
        <v>9410</v>
      </c>
      <c r="E208" s="84">
        <v>12330</v>
      </c>
      <c r="F208" s="84">
        <v>1770</v>
      </c>
      <c r="G208" s="92">
        <v>5940</v>
      </c>
    </row>
    <row r="209" spans="1:7" s="73" customFormat="1" ht="14.25" customHeight="1">
      <c r="A209" s="84" t="s">
        <v>278</v>
      </c>
      <c r="B209" s="84" t="s">
        <v>2450</v>
      </c>
      <c r="C209" s="84">
        <v>8740</v>
      </c>
      <c r="D209" s="84">
        <v>8700</v>
      </c>
      <c r="E209" s="84">
        <v>11500</v>
      </c>
      <c r="F209" s="84">
        <v>1730</v>
      </c>
      <c r="G209" s="92">
        <v>5490</v>
      </c>
    </row>
    <row r="210" spans="1:7" s="73" customFormat="1" ht="14.25" customHeight="1">
      <c r="A210" s="84" t="s">
        <v>278</v>
      </c>
      <c r="B210" s="84" t="s">
        <v>2451</v>
      </c>
      <c r="C210" s="84">
        <v>8710</v>
      </c>
      <c r="D210" s="84">
        <v>8660</v>
      </c>
      <c r="E210" s="84">
        <v>11440</v>
      </c>
      <c r="F210" s="84">
        <v>1740</v>
      </c>
      <c r="G210" s="92">
        <v>5470</v>
      </c>
    </row>
    <row r="211" spans="1:7" s="73" customFormat="1" ht="14.25" customHeight="1">
      <c r="A211" s="84" t="s">
        <v>278</v>
      </c>
      <c r="B211" s="84" t="s">
        <v>2452</v>
      </c>
      <c r="C211" s="84">
        <v>9480</v>
      </c>
      <c r="D211" s="84">
        <v>9430</v>
      </c>
      <c r="E211" s="84">
        <v>12360</v>
      </c>
      <c r="F211" s="84">
        <v>1820</v>
      </c>
      <c r="G211" s="92">
        <v>5950</v>
      </c>
    </row>
    <row r="212" spans="1:7" s="73" customFormat="1" ht="14.25" customHeight="1">
      <c r="A212" s="84" t="s">
        <v>278</v>
      </c>
      <c r="B212" s="84" t="s">
        <v>2453</v>
      </c>
      <c r="C212" s="84">
        <v>9070</v>
      </c>
      <c r="D212" s="84">
        <v>9020</v>
      </c>
      <c r="E212" s="84">
        <v>11720</v>
      </c>
      <c r="F212" s="84">
        <v>1850</v>
      </c>
      <c r="G212" s="92">
        <v>5700</v>
      </c>
    </row>
    <row r="213" spans="1:7" s="73" customFormat="1" ht="14.25" customHeight="1">
      <c r="A213" s="84" t="s">
        <v>278</v>
      </c>
      <c r="B213" s="84" t="s">
        <v>2454</v>
      </c>
      <c r="C213" s="84">
        <v>9030</v>
      </c>
      <c r="D213" s="84">
        <v>8980</v>
      </c>
      <c r="E213" s="84">
        <v>11670</v>
      </c>
      <c r="F213" s="84">
        <v>1690</v>
      </c>
      <c r="G213" s="92">
        <v>5670</v>
      </c>
    </row>
    <row r="214" spans="1:7" s="73" customFormat="1" ht="14.25" customHeight="1">
      <c r="A214" s="84" t="s">
        <v>278</v>
      </c>
      <c r="B214" s="84" t="s">
        <v>2455</v>
      </c>
      <c r="C214" s="84">
        <v>8090</v>
      </c>
      <c r="D214" s="84">
        <v>8030</v>
      </c>
      <c r="E214" s="84">
        <v>10780</v>
      </c>
      <c r="F214" s="84">
        <v>1570</v>
      </c>
      <c r="G214" s="92">
        <v>5070</v>
      </c>
    </row>
    <row r="215" spans="1:7" s="73" customFormat="1" ht="14.25" customHeight="1">
      <c r="A215" s="84" t="s">
        <v>278</v>
      </c>
      <c r="B215" s="84" t="s">
        <v>2456</v>
      </c>
      <c r="C215" s="84">
        <v>7950</v>
      </c>
      <c r="D215" s="84">
        <v>7900</v>
      </c>
      <c r="E215" s="84">
        <v>10560</v>
      </c>
      <c r="F215" s="84">
        <v>1630</v>
      </c>
      <c r="G215" s="92">
        <v>4990</v>
      </c>
    </row>
    <row r="216" spans="1:7" s="73" customFormat="1" ht="14.25" customHeight="1">
      <c r="A216" s="84" t="s">
        <v>278</v>
      </c>
      <c r="B216" s="84" t="s">
        <v>2457</v>
      </c>
      <c r="C216" s="84">
        <v>8490</v>
      </c>
      <c r="D216" s="84">
        <v>8440</v>
      </c>
      <c r="E216" s="84">
        <v>11260</v>
      </c>
      <c r="F216" s="84">
        <v>1690</v>
      </c>
      <c r="G216" s="92">
        <v>5330</v>
      </c>
    </row>
    <row r="217" spans="1:7" s="73" customFormat="1" ht="14.25" customHeight="1">
      <c r="A217" s="84" t="s">
        <v>278</v>
      </c>
      <c r="B217" s="84" t="s">
        <v>2458</v>
      </c>
      <c r="C217" s="84">
        <v>8200</v>
      </c>
      <c r="D217" s="84">
        <v>8150</v>
      </c>
      <c r="E217" s="84">
        <v>10910</v>
      </c>
      <c r="F217" s="84">
        <v>1670</v>
      </c>
      <c r="G217" s="92">
        <v>5150</v>
      </c>
    </row>
    <row r="218" spans="1:7" s="73" customFormat="1" ht="14.25" customHeight="1">
      <c r="A218" s="84" t="s">
        <v>278</v>
      </c>
      <c r="B218" s="84" t="s">
        <v>2459</v>
      </c>
      <c r="C218" s="84"/>
      <c r="D218" s="84"/>
      <c r="E218" s="84"/>
      <c r="F218" s="84">
        <v>2040</v>
      </c>
      <c r="G218" s="92"/>
    </row>
    <row r="219" spans="1:7" s="73" customFormat="1" ht="14.25" customHeight="1">
      <c r="A219" s="84" t="s">
        <v>278</v>
      </c>
      <c r="B219" s="84" t="s">
        <v>2460</v>
      </c>
      <c r="C219" s="84"/>
      <c r="D219" s="84"/>
      <c r="E219" s="84"/>
      <c r="F219" s="84">
        <v>2040</v>
      </c>
      <c r="G219" s="92"/>
    </row>
    <row r="220" spans="1:7" s="73" customFormat="1" ht="14.25" customHeight="1">
      <c r="A220" s="84" t="s">
        <v>278</v>
      </c>
      <c r="B220" s="84" t="s">
        <v>2461</v>
      </c>
      <c r="C220" s="84"/>
      <c r="D220" s="84"/>
      <c r="E220" s="84"/>
      <c r="F220" s="84">
        <v>2040</v>
      </c>
      <c r="G220" s="92"/>
    </row>
    <row r="221" spans="1:7" s="73" customFormat="1" ht="14.25" customHeight="1">
      <c r="A221" s="84" t="s">
        <v>278</v>
      </c>
      <c r="B221" s="84" t="s">
        <v>2462</v>
      </c>
      <c r="C221" s="84"/>
      <c r="D221" s="84"/>
      <c r="E221" s="84"/>
      <c r="F221" s="84">
        <v>2040</v>
      </c>
      <c r="G221" s="92"/>
    </row>
    <row r="222" spans="1:7" s="73" customFormat="1" ht="14.25" customHeight="1">
      <c r="A222" s="84" t="s">
        <v>278</v>
      </c>
      <c r="B222" s="84" t="s">
        <v>2463</v>
      </c>
      <c r="C222" s="84"/>
      <c r="D222" s="84"/>
      <c r="E222" s="84"/>
      <c r="F222" s="84">
        <v>2040</v>
      </c>
      <c r="G222" s="92"/>
    </row>
    <row r="223" spans="1:7" s="73" customFormat="1" ht="14.25" customHeight="1">
      <c r="A223" s="84" t="s">
        <v>278</v>
      </c>
      <c r="B223" s="84" t="s">
        <v>2464</v>
      </c>
      <c r="C223" s="84"/>
      <c r="D223" s="84"/>
      <c r="E223" s="84"/>
      <c r="F223" s="84">
        <v>1930</v>
      </c>
      <c r="G223" s="92"/>
    </row>
    <row r="224" spans="1:7" s="73" customFormat="1" ht="14.25" customHeight="1">
      <c r="A224" s="84" t="s">
        <v>278</v>
      </c>
      <c r="B224" s="84" t="s">
        <v>2465</v>
      </c>
      <c r="C224" s="84"/>
      <c r="D224" s="84"/>
      <c r="E224" s="84"/>
      <c r="F224" s="84">
        <v>1930</v>
      </c>
      <c r="G224" s="92"/>
    </row>
    <row r="225" spans="1:7" s="73" customFormat="1" ht="14.25" customHeight="1">
      <c r="A225" s="84" t="s">
        <v>278</v>
      </c>
      <c r="B225" s="84" t="s">
        <v>2466</v>
      </c>
      <c r="C225" s="84"/>
      <c r="D225" s="84"/>
      <c r="E225" s="84"/>
      <c r="F225" s="84">
        <v>1930</v>
      </c>
      <c r="G225" s="92"/>
    </row>
    <row r="226" spans="1:7" s="73" customFormat="1" ht="14.25" customHeight="1">
      <c r="A226" s="84" t="s">
        <v>278</v>
      </c>
      <c r="B226" s="84" t="s">
        <v>2467</v>
      </c>
      <c r="C226" s="84"/>
      <c r="D226" s="84"/>
      <c r="E226" s="84"/>
      <c r="F226" s="84">
        <v>1700</v>
      </c>
      <c r="G226" s="92"/>
    </row>
    <row r="227" spans="1:7" s="73" customFormat="1" ht="14.25" customHeight="1">
      <c r="A227" s="84" t="s">
        <v>278</v>
      </c>
      <c r="B227" s="84" t="s">
        <v>2755</v>
      </c>
      <c r="C227" s="84"/>
      <c r="D227" s="84"/>
      <c r="E227" s="84"/>
      <c r="F227" s="84">
        <v>1520</v>
      </c>
      <c r="G227" s="92"/>
    </row>
    <row r="228" spans="1:7" s="73" customFormat="1" ht="14.25" customHeight="1">
      <c r="A228" s="84" t="s">
        <v>278</v>
      </c>
      <c r="B228" s="84" t="s">
        <v>2756</v>
      </c>
      <c r="C228" s="84"/>
      <c r="D228" s="84"/>
      <c r="E228" s="84"/>
      <c r="F228" s="84">
        <v>1520</v>
      </c>
      <c r="G228" s="92"/>
    </row>
    <row r="229" spans="1:7" s="73" customFormat="1" ht="14.25" customHeight="1">
      <c r="A229" s="84" t="s">
        <v>278</v>
      </c>
      <c r="B229" s="84" t="s">
        <v>2757</v>
      </c>
      <c r="C229" s="84"/>
      <c r="D229" s="84"/>
      <c r="E229" s="84"/>
      <c r="F229" s="84">
        <v>1520</v>
      </c>
      <c r="G229" s="92"/>
    </row>
    <row r="230" spans="1:7" s="73" customFormat="1" ht="14.25" customHeight="1">
      <c r="A230" s="84" t="s">
        <v>278</v>
      </c>
      <c r="B230" s="84" t="s">
        <v>2471</v>
      </c>
      <c r="C230" s="84"/>
      <c r="D230" s="84"/>
      <c r="E230" s="84"/>
      <c r="F230" s="84">
        <v>1820</v>
      </c>
      <c r="G230" s="92"/>
    </row>
    <row r="231" spans="1:7" s="73" customFormat="1" ht="14.25" customHeight="1">
      <c r="A231" s="84" t="s">
        <v>278</v>
      </c>
      <c r="B231" s="84" t="s">
        <v>2472</v>
      </c>
      <c r="C231" s="84"/>
      <c r="D231" s="84"/>
      <c r="E231" s="84"/>
      <c r="F231" s="84">
        <v>1760</v>
      </c>
      <c r="G231" s="92"/>
    </row>
    <row r="232" spans="1:7" s="73" customFormat="1" ht="14.25" customHeight="1">
      <c r="A232" s="84" t="s">
        <v>278</v>
      </c>
      <c r="B232" s="84" t="s">
        <v>2758</v>
      </c>
      <c r="C232" s="84"/>
      <c r="D232" s="84"/>
      <c r="E232" s="84"/>
      <c r="F232" s="84">
        <v>1840</v>
      </c>
      <c r="G232" s="92"/>
    </row>
    <row r="233" spans="1:7" s="73" customFormat="1" ht="14.25" customHeight="1">
      <c r="A233" s="93" t="s">
        <v>278</v>
      </c>
      <c r="B233" s="88" t="s">
        <v>2474</v>
      </c>
      <c r="C233" s="88"/>
      <c r="D233" s="88"/>
      <c r="E233" s="88"/>
      <c r="F233" s="88">
        <v>1770</v>
      </c>
      <c r="G233" s="94"/>
    </row>
    <row r="234" spans="1:7" s="73" customFormat="1" ht="14.25" customHeight="1">
      <c r="A234" s="82" t="s">
        <v>284</v>
      </c>
      <c r="B234" s="83" t="s">
        <v>2475</v>
      </c>
      <c r="C234" s="84">
        <v>6980</v>
      </c>
      <c r="D234" s="84">
        <v>6970</v>
      </c>
      <c r="E234" s="84">
        <v>8720</v>
      </c>
      <c r="F234" s="84">
        <v>1350</v>
      </c>
      <c r="G234" s="84">
        <v>4280</v>
      </c>
    </row>
    <row r="235" spans="1:7" s="73" customFormat="1" ht="14.25" customHeight="1">
      <c r="A235" s="84" t="s">
        <v>284</v>
      </c>
      <c r="B235" s="84" t="s">
        <v>2476</v>
      </c>
      <c r="C235" s="84">
        <v>7620</v>
      </c>
      <c r="D235" s="84">
        <v>7580</v>
      </c>
      <c r="E235" s="84">
        <v>9360</v>
      </c>
      <c r="F235" s="84">
        <v>1490</v>
      </c>
      <c r="G235" s="84">
        <v>4650</v>
      </c>
    </row>
    <row r="236" spans="1:7" s="73" customFormat="1" ht="14.25" customHeight="1">
      <c r="A236" s="84" t="s">
        <v>284</v>
      </c>
      <c r="B236" s="84" t="s">
        <v>2477</v>
      </c>
      <c r="C236" s="84">
        <v>6650</v>
      </c>
      <c r="D236" s="84">
        <v>6630</v>
      </c>
      <c r="E236" s="84">
        <v>8330</v>
      </c>
      <c r="F236" s="84">
        <v>1250</v>
      </c>
      <c r="G236" s="84">
        <v>4070</v>
      </c>
    </row>
    <row r="237" spans="1:7" s="73" customFormat="1" ht="14.25" customHeight="1">
      <c r="A237" s="84" t="s">
        <v>284</v>
      </c>
      <c r="B237" s="84" t="s">
        <v>2478</v>
      </c>
      <c r="C237" s="84">
        <v>5850</v>
      </c>
      <c r="D237" s="84">
        <v>5820</v>
      </c>
      <c r="E237" s="84">
        <v>7260</v>
      </c>
      <c r="F237" s="84">
        <v>1140</v>
      </c>
      <c r="G237" s="84">
        <v>3570</v>
      </c>
    </row>
    <row r="238" spans="1:7" s="73" customFormat="1" ht="14.25" customHeight="1">
      <c r="A238" s="84" t="s">
        <v>284</v>
      </c>
      <c r="B238" s="84" t="s">
        <v>2479</v>
      </c>
      <c r="C238" s="84">
        <v>6920</v>
      </c>
      <c r="D238" s="84">
        <v>6890</v>
      </c>
      <c r="E238" s="84">
        <v>8640</v>
      </c>
      <c r="F238" s="84">
        <v>1310</v>
      </c>
      <c r="G238" s="84">
        <v>4230</v>
      </c>
    </row>
    <row r="239" spans="1:7" s="73" customFormat="1" ht="14.25" customHeight="1">
      <c r="A239" s="84" t="s">
        <v>284</v>
      </c>
      <c r="B239" s="84" t="s">
        <v>2480</v>
      </c>
      <c r="C239" s="84">
        <v>6780</v>
      </c>
      <c r="D239" s="84">
        <v>6750</v>
      </c>
      <c r="E239" s="84">
        <v>8440</v>
      </c>
      <c r="F239" s="84">
        <v>1160</v>
      </c>
      <c r="G239" s="84">
        <v>4140</v>
      </c>
    </row>
    <row r="240" spans="1:7" s="73" customFormat="1" ht="14.25" customHeight="1">
      <c r="A240" s="84" t="s">
        <v>284</v>
      </c>
      <c r="B240" s="84" t="s">
        <v>2481</v>
      </c>
      <c r="C240" s="84">
        <v>5420</v>
      </c>
      <c r="D240" s="84">
        <v>5380</v>
      </c>
      <c r="E240" s="84">
        <v>6640</v>
      </c>
      <c r="F240" s="84">
        <v>1020</v>
      </c>
      <c r="G240" s="84">
        <v>3300</v>
      </c>
    </row>
    <row r="241" spans="1:7" s="73" customFormat="1" ht="14.25" customHeight="1">
      <c r="A241" s="84" t="s">
        <v>284</v>
      </c>
      <c r="B241" s="84" t="s">
        <v>2482</v>
      </c>
      <c r="C241" s="84">
        <v>6660</v>
      </c>
      <c r="D241" s="84">
        <v>6640</v>
      </c>
      <c r="E241" s="84">
        <v>8340</v>
      </c>
      <c r="F241" s="84">
        <v>1130</v>
      </c>
      <c r="G241" s="84">
        <v>4080</v>
      </c>
    </row>
    <row r="242" spans="1:7" s="73" customFormat="1" ht="14.25" customHeight="1">
      <c r="A242" s="84" t="s">
        <v>284</v>
      </c>
      <c r="B242" s="84" t="s">
        <v>2483</v>
      </c>
      <c r="C242" s="84">
        <v>6580</v>
      </c>
      <c r="D242" s="84">
        <v>6550</v>
      </c>
      <c r="E242" s="84">
        <v>8090</v>
      </c>
      <c r="F242" s="84">
        <v>1240</v>
      </c>
      <c r="G242" s="84">
        <v>4020</v>
      </c>
    </row>
    <row r="243" spans="1:7" s="73" customFormat="1" ht="14.25" customHeight="1">
      <c r="A243" s="84" t="s">
        <v>284</v>
      </c>
      <c r="B243" s="84" t="s">
        <v>2484</v>
      </c>
      <c r="C243" s="84">
        <v>6000</v>
      </c>
      <c r="D243" s="84">
        <v>5970</v>
      </c>
      <c r="E243" s="84">
        <v>7370</v>
      </c>
      <c r="F243" s="84">
        <v>1070</v>
      </c>
      <c r="G243" s="84">
        <v>3670</v>
      </c>
    </row>
    <row r="244" spans="1:7" s="73" customFormat="1" ht="14.25" customHeight="1">
      <c r="A244" s="84" t="s">
        <v>284</v>
      </c>
      <c r="B244" s="84" t="s">
        <v>2485</v>
      </c>
      <c r="C244" s="84">
        <v>5840</v>
      </c>
      <c r="D244" s="84">
        <v>5810</v>
      </c>
      <c r="E244" s="84">
        <v>7240</v>
      </c>
      <c r="F244" s="84">
        <v>1100</v>
      </c>
      <c r="G244" s="84">
        <v>3560</v>
      </c>
    </row>
    <row r="245" spans="1:7" s="73" customFormat="1" ht="14.25" customHeight="1">
      <c r="A245" s="84" t="s">
        <v>284</v>
      </c>
      <c r="B245" s="84" t="s">
        <v>2486</v>
      </c>
      <c r="C245" s="84">
        <v>6040</v>
      </c>
      <c r="D245" s="84">
        <v>6000</v>
      </c>
      <c r="E245" s="84">
        <v>7420</v>
      </c>
      <c r="F245" s="84">
        <v>1140</v>
      </c>
      <c r="G245" s="84">
        <v>3690</v>
      </c>
    </row>
    <row r="246" spans="1:7" s="73" customFormat="1" ht="14.25" customHeight="1">
      <c r="A246" s="84" t="s">
        <v>284</v>
      </c>
      <c r="B246" s="84" t="s">
        <v>2487</v>
      </c>
      <c r="C246" s="84">
        <v>5890</v>
      </c>
      <c r="D246" s="84">
        <v>5860</v>
      </c>
      <c r="E246" s="84">
        <v>7300</v>
      </c>
      <c r="F246" s="84">
        <v>1110</v>
      </c>
      <c r="G246" s="84">
        <v>3590</v>
      </c>
    </row>
    <row r="247" spans="1:7" s="73" customFormat="1" ht="14.25" customHeight="1">
      <c r="A247" s="84" t="s">
        <v>284</v>
      </c>
      <c r="B247" s="84" t="s">
        <v>2488</v>
      </c>
      <c r="C247" s="84">
        <v>6480</v>
      </c>
      <c r="D247" s="84">
        <v>6450</v>
      </c>
      <c r="E247" s="84">
        <v>8010</v>
      </c>
      <c r="F247" s="84">
        <v>1170</v>
      </c>
      <c r="G247" s="84">
        <v>3960</v>
      </c>
    </row>
    <row r="248" spans="1:7" s="73" customFormat="1" ht="14.25" customHeight="1">
      <c r="A248" s="84" t="s">
        <v>284</v>
      </c>
      <c r="B248" s="84" t="s">
        <v>2489</v>
      </c>
      <c r="C248" s="84">
        <v>6860</v>
      </c>
      <c r="D248" s="84">
        <v>6840</v>
      </c>
      <c r="E248" s="84">
        <v>8520</v>
      </c>
      <c r="F248" s="84">
        <v>1240</v>
      </c>
      <c r="G248" s="84">
        <v>4200</v>
      </c>
    </row>
    <row r="249" spans="1:7" s="73" customFormat="1" ht="14.25" customHeight="1">
      <c r="A249" s="84" t="s">
        <v>284</v>
      </c>
      <c r="B249" s="84" t="s">
        <v>2490</v>
      </c>
      <c r="C249" s="84">
        <v>7180</v>
      </c>
      <c r="D249" s="84">
        <v>7140</v>
      </c>
      <c r="E249" s="84">
        <v>8900</v>
      </c>
      <c r="F249" s="84">
        <v>1350</v>
      </c>
      <c r="G249" s="84">
        <v>4380</v>
      </c>
    </row>
    <row r="250" spans="1:7" s="73" customFormat="1" ht="14.25" customHeight="1">
      <c r="A250" s="84" t="s">
        <v>284</v>
      </c>
      <c r="B250" s="84" t="s">
        <v>2491</v>
      </c>
      <c r="C250" s="84">
        <v>6880</v>
      </c>
      <c r="D250" s="84">
        <v>6860</v>
      </c>
      <c r="E250" s="84">
        <v>8550</v>
      </c>
      <c r="F250" s="84">
        <v>1220</v>
      </c>
      <c r="G250" s="84">
        <v>4210</v>
      </c>
    </row>
    <row r="251" spans="1:7" s="73" customFormat="1" ht="14.25" customHeight="1">
      <c r="A251" s="84" t="s">
        <v>284</v>
      </c>
      <c r="B251" s="84" t="s">
        <v>2492</v>
      </c>
      <c r="C251" s="84"/>
      <c r="D251" s="84"/>
      <c r="E251" s="84"/>
      <c r="F251" s="84">
        <v>1100</v>
      </c>
      <c r="G251" s="84"/>
    </row>
    <row r="252" spans="1:7" s="73" customFormat="1" ht="14.25" customHeight="1">
      <c r="A252" s="84" t="s">
        <v>284</v>
      </c>
      <c r="B252" s="84" t="s">
        <v>2493</v>
      </c>
      <c r="C252" s="84">
        <v>7240</v>
      </c>
      <c r="D252" s="84">
        <v>7200</v>
      </c>
      <c r="E252" s="84">
        <v>9040</v>
      </c>
      <c r="F252" s="84">
        <v>1380</v>
      </c>
      <c r="G252" s="84">
        <v>4420</v>
      </c>
    </row>
    <row r="253" spans="1:7" s="73" customFormat="1" ht="14.25" customHeight="1">
      <c r="A253" s="84" t="s">
        <v>284</v>
      </c>
      <c r="B253" s="84" t="s">
        <v>2494</v>
      </c>
      <c r="C253" s="84">
        <v>6670</v>
      </c>
      <c r="D253" s="84">
        <v>6650</v>
      </c>
      <c r="E253" s="84">
        <v>8350</v>
      </c>
      <c r="F253" s="84">
        <v>1260</v>
      </c>
      <c r="G253" s="84">
        <v>4080</v>
      </c>
    </row>
    <row r="254" spans="1:7" s="73" customFormat="1" ht="14.25" customHeight="1">
      <c r="A254" s="84" t="s">
        <v>284</v>
      </c>
      <c r="B254" s="84" t="s">
        <v>2495</v>
      </c>
      <c r="C254" s="84">
        <v>7630</v>
      </c>
      <c r="D254" s="84">
        <v>7590</v>
      </c>
      <c r="E254" s="84">
        <v>9380</v>
      </c>
      <c r="F254" s="84">
        <v>1320</v>
      </c>
      <c r="G254" s="84">
        <v>4660</v>
      </c>
    </row>
    <row r="255" spans="1:7" s="73" customFormat="1" ht="14.25" customHeight="1">
      <c r="A255" s="84" t="s">
        <v>284</v>
      </c>
      <c r="B255" s="84" t="s">
        <v>2496</v>
      </c>
      <c r="C255" s="84">
        <v>6940</v>
      </c>
      <c r="D255" s="84">
        <v>6890</v>
      </c>
      <c r="E255" s="84">
        <v>8650</v>
      </c>
      <c r="F255" s="84">
        <v>1210</v>
      </c>
      <c r="G255" s="84">
        <v>4230</v>
      </c>
    </row>
    <row r="256" spans="1:7" s="73" customFormat="1" ht="14.25" customHeight="1">
      <c r="A256" s="84" t="s">
        <v>284</v>
      </c>
      <c r="B256" s="84" t="s">
        <v>2497</v>
      </c>
      <c r="C256" s="84">
        <v>7520</v>
      </c>
      <c r="D256" s="84">
        <v>7490</v>
      </c>
      <c r="E256" s="84">
        <v>9240</v>
      </c>
      <c r="F256" s="84">
        <v>1270</v>
      </c>
      <c r="G256" s="84">
        <v>4590</v>
      </c>
    </row>
    <row r="257" spans="1:7" s="73" customFormat="1" ht="14.25" customHeight="1">
      <c r="A257" s="84" t="s">
        <v>284</v>
      </c>
      <c r="B257" s="84" t="s">
        <v>2498</v>
      </c>
      <c r="C257" s="84">
        <v>6280</v>
      </c>
      <c r="D257" s="84">
        <v>6230</v>
      </c>
      <c r="E257" s="84">
        <v>7740</v>
      </c>
      <c r="F257" s="84">
        <v>1080</v>
      </c>
      <c r="G257" s="84">
        <v>3830</v>
      </c>
    </row>
    <row r="258" spans="1:7" s="73" customFormat="1" ht="14.25" customHeight="1">
      <c r="A258" s="84" t="s">
        <v>284</v>
      </c>
      <c r="B258" s="84" t="s">
        <v>2499</v>
      </c>
      <c r="C258" s="84">
        <v>6190</v>
      </c>
      <c r="D258" s="84">
        <v>6160</v>
      </c>
      <c r="E258" s="84">
        <v>7680</v>
      </c>
      <c r="F258" s="84">
        <v>1170</v>
      </c>
      <c r="G258" s="84">
        <v>3780</v>
      </c>
    </row>
    <row r="259" spans="1:7" s="73" customFormat="1" ht="14.25" customHeight="1">
      <c r="A259" s="84" t="s">
        <v>284</v>
      </c>
      <c r="B259" s="84" t="s">
        <v>2500</v>
      </c>
      <c r="C259" s="84">
        <v>7610</v>
      </c>
      <c r="D259" s="84">
        <v>7570</v>
      </c>
      <c r="E259" s="84">
        <v>9350</v>
      </c>
      <c r="F259" s="84">
        <v>1350</v>
      </c>
      <c r="G259" s="84">
        <v>4650</v>
      </c>
    </row>
    <row r="260" spans="1:7" s="73" customFormat="1" ht="14.25" customHeight="1">
      <c r="A260" s="84" t="s">
        <v>284</v>
      </c>
      <c r="B260" s="84" t="s">
        <v>2501</v>
      </c>
      <c r="C260" s="84">
        <v>6920</v>
      </c>
      <c r="D260" s="84">
        <v>6880</v>
      </c>
      <c r="E260" s="84">
        <v>8380</v>
      </c>
      <c r="F260" s="84">
        <v>1160</v>
      </c>
      <c r="G260" s="84">
        <v>4220</v>
      </c>
    </row>
    <row r="261" spans="1:7" s="73" customFormat="1" ht="14.25" customHeight="1">
      <c r="A261" s="84" t="s">
        <v>284</v>
      </c>
      <c r="B261" s="84" t="s">
        <v>2502</v>
      </c>
      <c r="C261" s="84">
        <v>6850</v>
      </c>
      <c r="D261" s="84">
        <v>6810</v>
      </c>
      <c r="E261" s="84">
        <v>8290</v>
      </c>
      <c r="F261" s="84">
        <v>1130</v>
      </c>
      <c r="G261" s="84">
        <v>4180</v>
      </c>
    </row>
    <row r="262" spans="1:7" s="73" customFormat="1" ht="14.25" customHeight="1">
      <c r="A262" s="84" t="s">
        <v>284</v>
      </c>
      <c r="B262" s="84" t="s">
        <v>2503</v>
      </c>
      <c r="C262" s="84">
        <v>5860</v>
      </c>
      <c r="D262" s="84">
        <v>5820</v>
      </c>
      <c r="E262" s="84">
        <v>7640</v>
      </c>
      <c r="F262" s="84">
        <v>1070</v>
      </c>
      <c r="G262" s="84">
        <v>3570</v>
      </c>
    </row>
    <row r="263" spans="1:7" s="73" customFormat="1" ht="14.25" customHeight="1">
      <c r="A263" s="84" t="s">
        <v>284</v>
      </c>
      <c r="B263" s="84" t="s">
        <v>2504</v>
      </c>
      <c r="C263" s="84">
        <v>5870</v>
      </c>
      <c r="D263" s="84">
        <v>5840</v>
      </c>
      <c r="E263" s="84">
        <v>7270</v>
      </c>
      <c r="F263" s="84">
        <v>1190</v>
      </c>
      <c r="G263" s="84">
        <v>3580</v>
      </c>
    </row>
    <row r="264" spans="1:7" s="73" customFormat="1" ht="14.25" customHeight="1">
      <c r="A264" s="84" t="s">
        <v>284</v>
      </c>
      <c r="B264" s="84" t="s">
        <v>2505</v>
      </c>
      <c r="C264" s="84">
        <v>6190</v>
      </c>
      <c r="D264" s="84">
        <v>6150</v>
      </c>
      <c r="E264" s="84">
        <v>7660</v>
      </c>
      <c r="F264" s="84">
        <v>1160</v>
      </c>
      <c r="G264" s="84">
        <v>3770</v>
      </c>
    </row>
    <row r="265" spans="1:7" s="73" customFormat="1" ht="14.25" customHeight="1">
      <c r="A265" s="84" t="s">
        <v>284</v>
      </c>
      <c r="B265" s="84" t="s">
        <v>2506</v>
      </c>
      <c r="C265" s="84"/>
      <c r="D265" s="84"/>
      <c r="E265" s="84"/>
      <c r="F265" s="84">
        <v>1500</v>
      </c>
      <c r="G265" s="84"/>
    </row>
    <row r="266" spans="1:7" s="73" customFormat="1" ht="14.25" customHeight="1">
      <c r="A266" s="84" t="s">
        <v>284</v>
      </c>
      <c r="B266" s="84" t="s">
        <v>2507</v>
      </c>
      <c r="C266" s="84"/>
      <c r="D266" s="84"/>
      <c r="E266" s="84"/>
      <c r="F266" s="84">
        <v>1500</v>
      </c>
      <c r="G266" s="84"/>
    </row>
    <row r="267" spans="1:7" s="73" customFormat="1" ht="14.25" customHeight="1">
      <c r="A267" s="84" t="s">
        <v>284</v>
      </c>
      <c r="B267" s="84" t="s">
        <v>2508</v>
      </c>
      <c r="C267" s="84"/>
      <c r="D267" s="84"/>
      <c r="E267" s="84"/>
      <c r="F267" s="84">
        <v>1500</v>
      </c>
      <c r="G267" s="84"/>
    </row>
    <row r="268" spans="1:7" s="73" customFormat="1" ht="14.25" customHeight="1">
      <c r="A268" s="84" t="s">
        <v>284</v>
      </c>
      <c r="B268" s="84" t="s">
        <v>2509</v>
      </c>
      <c r="C268" s="84"/>
      <c r="D268" s="84"/>
      <c r="E268" s="84"/>
      <c r="F268" s="84">
        <v>1290</v>
      </c>
      <c r="G268" s="84"/>
    </row>
    <row r="269" spans="1:7" s="73" customFormat="1" ht="14.25" customHeight="1">
      <c r="A269" s="84" t="s">
        <v>284</v>
      </c>
      <c r="B269" s="84" t="s">
        <v>2510</v>
      </c>
      <c r="C269" s="84"/>
      <c r="D269" s="84"/>
      <c r="E269" s="84"/>
      <c r="F269" s="84">
        <v>1150</v>
      </c>
      <c r="G269" s="84"/>
    </row>
    <row r="270" spans="1:7" s="73" customFormat="1" ht="14.25" customHeight="1">
      <c r="A270" s="84" t="s">
        <v>284</v>
      </c>
      <c r="B270" s="84" t="s">
        <v>2511</v>
      </c>
      <c r="C270" s="84"/>
      <c r="D270" s="84"/>
      <c r="E270" s="84"/>
      <c r="F270" s="84">
        <v>1380</v>
      </c>
      <c r="G270" s="84"/>
    </row>
    <row r="271" spans="1:7" s="73" customFormat="1" ht="14.25" customHeight="1">
      <c r="A271" s="84" t="s">
        <v>284</v>
      </c>
      <c r="B271" s="84" t="s">
        <v>2512</v>
      </c>
      <c r="C271" s="84"/>
      <c r="D271" s="84"/>
      <c r="E271" s="84"/>
      <c r="F271" s="84">
        <v>1460</v>
      </c>
      <c r="G271" s="84"/>
    </row>
    <row r="272" spans="1:7" s="73" customFormat="1" ht="14.25" customHeight="1">
      <c r="A272" s="84" t="s">
        <v>284</v>
      </c>
      <c r="B272" s="84" t="s">
        <v>2513</v>
      </c>
      <c r="C272" s="84"/>
      <c r="D272" s="84"/>
      <c r="E272" s="84"/>
      <c r="F272" s="84">
        <v>1460</v>
      </c>
      <c r="G272" s="84"/>
    </row>
    <row r="273" spans="1:7" s="73" customFormat="1" ht="14.25" customHeight="1">
      <c r="A273" s="84" t="s">
        <v>284</v>
      </c>
      <c r="B273" s="84" t="s">
        <v>2514</v>
      </c>
      <c r="C273" s="84"/>
      <c r="D273" s="84"/>
      <c r="E273" s="84"/>
      <c r="F273" s="84">
        <v>1490</v>
      </c>
      <c r="G273" s="84"/>
    </row>
    <row r="274" spans="1:7" s="73" customFormat="1" ht="14.25" customHeight="1">
      <c r="A274" s="84" t="s">
        <v>284</v>
      </c>
      <c r="B274" s="84" t="s">
        <v>2515</v>
      </c>
      <c r="C274" s="84"/>
      <c r="D274" s="84"/>
      <c r="E274" s="84"/>
      <c r="F274" s="84">
        <v>1490</v>
      </c>
      <c r="G274" s="84"/>
    </row>
    <row r="275" spans="1:7" s="73" customFormat="1" ht="14.25" customHeight="1">
      <c r="A275" s="84" t="s">
        <v>284</v>
      </c>
      <c r="B275" s="84" t="s">
        <v>2516</v>
      </c>
      <c r="C275" s="84"/>
      <c r="D275" s="84"/>
      <c r="E275" s="84"/>
      <c r="F275" s="84">
        <v>1220</v>
      </c>
      <c r="G275" s="84"/>
    </row>
    <row r="276" spans="1:7" s="73" customFormat="1" ht="14.25" customHeight="1">
      <c r="A276" s="86" t="s">
        <v>284</v>
      </c>
      <c r="B276" s="89" t="s">
        <v>2517</v>
      </c>
      <c r="C276" s="90"/>
      <c r="D276" s="90"/>
      <c r="E276" s="90"/>
      <c r="F276" s="90">
        <v>1380</v>
      </c>
      <c r="G276" s="90"/>
    </row>
    <row r="277" spans="1:7" s="73" customFormat="1" ht="14.25" customHeight="1">
      <c r="A277" s="82" t="s">
        <v>288</v>
      </c>
      <c r="B277" s="83" t="s">
        <v>2518</v>
      </c>
      <c r="C277" s="83">
        <v>5790</v>
      </c>
      <c r="D277" s="83">
        <v>5740</v>
      </c>
      <c r="E277" s="83">
        <v>6730</v>
      </c>
      <c r="F277" s="83">
        <v>1110</v>
      </c>
      <c r="G277" s="91">
        <v>3460</v>
      </c>
    </row>
    <row r="278" spans="1:7" s="73" customFormat="1" ht="14.25" customHeight="1">
      <c r="A278" s="84" t="s">
        <v>288</v>
      </c>
      <c r="B278" s="84" t="s">
        <v>2519</v>
      </c>
      <c r="C278" s="84">
        <v>5740</v>
      </c>
      <c r="D278" s="84">
        <v>5670</v>
      </c>
      <c r="E278" s="84">
        <v>6680</v>
      </c>
      <c r="F278" s="84">
        <v>1070</v>
      </c>
      <c r="G278" s="92">
        <v>3420</v>
      </c>
    </row>
    <row r="279" spans="1:7" s="73" customFormat="1" ht="14.25" customHeight="1">
      <c r="A279" s="84" t="s">
        <v>288</v>
      </c>
      <c r="B279" s="84" t="s">
        <v>2520</v>
      </c>
      <c r="C279" s="84">
        <v>4760</v>
      </c>
      <c r="D279" s="84">
        <v>4720</v>
      </c>
      <c r="E279" s="84">
        <v>5540</v>
      </c>
      <c r="F279" s="84">
        <v>810</v>
      </c>
      <c r="G279" s="92">
        <v>2850</v>
      </c>
    </row>
    <row r="280" spans="1:7" s="73" customFormat="1" ht="14.25" customHeight="1">
      <c r="A280" s="84" t="s">
        <v>288</v>
      </c>
      <c r="B280" s="84" t="s">
        <v>2521</v>
      </c>
      <c r="C280" s="84">
        <v>4010</v>
      </c>
      <c r="D280" s="84">
        <v>3950</v>
      </c>
      <c r="E280" s="84">
        <v>4710</v>
      </c>
      <c r="F280" s="84">
        <v>800</v>
      </c>
      <c r="G280" s="92">
        <v>2390</v>
      </c>
    </row>
    <row r="281" spans="1:7" s="73" customFormat="1" ht="14.25" customHeight="1">
      <c r="A281" s="84" t="s">
        <v>288</v>
      </c>
      <c r="B281" s="84" t="s">
        <v>2522</v>
      </c>
      <c r="C281" s="84">
        <v>4480</v>
      </c>
      <c r="D281" s="84">
        <v>4420</v>
      </c>
      <c r="E281" s="84">
        <v>5230</v>
      </c>
      <c r="F281" s="84">
        <v>870</v>
      </c>
      <c r="G281" s="92">
        <v>2660</v>
      </c>
    </row>
    <row r="282" spans="1:7" s="73" customFormat="1" ht="14.25" customHeight="1">
      <c r="A282" s="84" t="s">
        <v>288</v>
      </c>
      <c r="B282" s="84" t="s">
        <v>2523</v>
      </c>
      <c r="C282" s="84">
        <v>5360</v>
      </c>
      <c r="D282" s="84">
        <v>5300</v>
      </c>
      <c r="E282" s="84">
        <v>6190</v>
      </c>
      <c r="F282" s="84">
        <v>950</v>
      </c>
      <c r="G282" s="92">
        <v>3190</v>
      </c>
    </row>
    <row r="283" spans="1:7" s="73" customFormat="1" ht="14.25" customHeight="1">
      <c r="A283" s="84" t="s">
        <v>288</v>
      </c>
      <c r="B283" s="84" t="s">
        <v>2524</v>
      </c>
      <c r="C283" s="84">
        <v>4950</v>
      </c>
      <c r="D283" s="84">
        <v>4900</v>
      </c>
      <c r="E283" s="84">
        <v>5720</v>
      </c>
      <c r="F283" s="84">
        <v>920</v>
      </c>
      <c r="G283" s="92">
        <v>2950</v>
      </c>
    </row>
    <row r="284" spans="1:7" s="73" customFormat="1" ht="14.25" customHeight="1">
      <c r="A284" s="84" t="s">
        <v>288</v>
      </c>
      <c r="B284" s="84" t="s">
        <v>2525</v>
      </c>
      <c r="C284" s="84">
        <v>5610</v>
      </c>
      <c r="D284" s="84">
        <v>5560</v>
      </c>
      <c r="E284" s="84">
        <v>6520</v>
      </c>
      <c r="F284" s="84">
        <v>1030</v>
      </c>
      <c r="G284" s="92">
        <v>3360</v>
      </c>
    </row>
    <row r="285" spans="1:7" s="73" customFormat="1" ht="14.25" customHeight="1">
      <c r="A285" s="84" t="s">
        <v>288</v>
      </c>
      <c r="B285" s="84" t="s">
        <v>2526</v>
      </c>
      <c r="C285" s="84">
        <v>5340</v>
      </c>
      <c r="D285" s="84">
        <v>5290</v>
      </c>
      <c r="E285" s="84">
        <v>6170</v>
      </c>
      <c r="F285" s="84">
        <v>1080</v>
      </c>
      <c r="G285" s="92">
        <v>3180</v>
      </c>
    </row>
    <row r="286" spans="1:7" s="73" customFormat="1" ht="14.25" customHeight="1">
      <c r="A286" s="84" t="s">
        <v>288</v>
      </c>
      <c r="B286" s="84" t="s">
        <v>2527</v>
      </c>
      <c r="C286" s="84">
        <v>4890</v>
      </c>
      <c r="D286" s="84">
        <v>4840</v>
      </c>
      <c r="E286" s="84">
        <v>5640</v>
      </c>
      <c r="F286" s="84">
        <v>960</v>
      </c>
      <c r="G286" s="92">
        <v>2910</v>
      </c>
    </row>
    <row r="287" spans="1:7" s="73" customFormat="1" ht="14.25" customHeight="1">
      <c r="A287" s="84" t="s">
        <v>288</v>
      </c>
      <c r="B287" s="84" t="s">
        <v>2528</v>
      </c>
      <c r="C287" s="84">
        <v>4960</v>
      </c>
      <c r="D287" s="84">
        <v>4920</v>
      </c>
      <c r="E287" s="84">
        <v>5730</v>
      </c>
      <c r="F287" s="84">
        <v>930</v>
      </c>
      <c r="G287" s="92">
        <v>2960</v>
      </c>
    </row>
    <row r="288" spans="1:7" s="73" customFormat="1" ht="14.25" customHeight="1">
      <c r="A288" s="84" t="s">
        <v>288</v>
      </c>
      <c r="B288" s="84" t="s">
        <v>2529</v>
      </c>
      <c r="C288" s="84">
        <v>4350</v>
      </c>
      <c r="D288" s="84">
        <v>4300</v>
      </c>
      <c r="E288" s="84">
        <v>4900</v>
      </c>
      <c r="F288" s="84">
        <v>820</v>
      </c>
      <c r="G288" s="92">
        <v>2590</v>
      </c>
    </row>
    <row r="289" spans="1:7" s="73" customFormat="1" ht="14.25" customHeight="1">
      <c r="A289" s="84" t="s">
        <v>288</v>
      </c>
      <c r="B289" s="84" t="s">
        <v>2530</v>
      </c>
      <c r="C289" s="84">
        <v>5230</v>
      </c>
      <c r="D289" s="84">
        <v>5170</v>
      </c>
      <c r="E289" s="84">
        <v>6060</v>
      </c>
      <c r="F289" s="84">
        <v>900</v>
      </c>
      <c r="G289" s="92">
        <v>3120</v>
      </c>
    </row>
    <row r="290" spans="1:7" s="73" customFormat="1" ht="14.25" customHeight="1">
      <c r="A290" s="84" t="s">
        <v>288</v>
      </c>
      <c r="B290" s="84" t="s">
        <v>2531</v>
      </c>
      <c r="C290" s="84">
        <v>5550</v>
      </c>
      <c r="D290" s="84">
        <v>5500</v>
      </c>
      <c r="E290" s="84">
        <v>6440</v>
      </c>
      <c r="F290" s="84">
        <v>960</v>
      </c>
      <c r="G290" s="92">
        <v>3320</v>
      </c>
    </row>
    <row r="291" spans="1:7" s="73" customFormat="1" ht="14.25" customHeight="1">
      <c r="A291" s="84" t="s">
        <v>288</v>
      </c>
      <c r="B291" s="84" t="s">
        <v>2532</v>
      </c>
      <c r="C291" s="84">
        <v>5440</v>
      </c>
      <c r="D291" s="84">
        <v>5400</v>
      </c>
      <c r="E291" s="84">
        <v>6320</v>
      </c>
      <c r="F291" s="84">
        <v>930</v>
      </c>
      <c r="G291" s="92">
        <v>3250</v>
      </c>
    </row>
    <row r="292" spans="1:7" s="73" customFormat="1" ht="14.25" customHeight="1">
      <c r="A292" s="84" t="s">
        <v>288</v>
      </c>
      <c r="B292" s="84" t="s">
        <v>2533</v>
      </c>
      <c r="C292" s="84">
        <v>5400</v>
      </c>
      <c r="D292" s="84">
        <v>5360</v>
      </c>
      <c r="E292" s="84">
        <v>6270</v>
      </c>
      <c r="F292" s="84">
        <v>1040</v>
      </c>
      <c r="G292" s="92">
        <v>3230</v>
      </c>
    </row>
    <row r="293" spans="1:7" s="73" customFormat="1" ht="14.25" customHeight="1">
      <c r="A293" s="84" t="s">
        <v>288</v>
      </c>
      <c r="B293" s="84" t="s">
        <v>2534</v>
      </c>
      <c r="C293" s="84">
        <v>5320</v>
      </c>
      <c r="D293" s="84">
        <v>5270</v>
      </c>
      <c r="E293" s="84">
        <v>6160</v>
      </c>
      <c r="F293" s="84">
        <v>990</v>
      </c>
      <c r="G293" s="92">
        <v>3170</v>
      </c>
    </row>
    <row r="294" spans="1:7" s="73" customFormat="1" ht="14.25" customHeight="1">
      <c r="A294" s="84" t="s">
        <v>288</v>
      </c>
      <c r="B294" s="84" t="s">
        <v>2535</v>
      </c>
      <c r="C294" s="84">
        <v>5260</v>
      </c>
      <c r="D294" s="84">
        <v>5210</v>
      </c>
      <c r="E294" s="84">
        <v>6100</v>
      </c>
      <c r="F294" s="84">
        <v>950</v>
      </c>
      <c r="G294" s="92">
        <v>3150</v>
      </c>
    </row>
    <row r="295" spans="1:7" s="73" customFormat="1" ht="14.25" customHeight="1">
      <c r="A295" s="84" t="s">
        <v>288</v>
      </c>
      <c r="B295" s="84" t="s">
        <v>2536</v>
      </c>
      <c r="C295" s="84">
        <v>5610</v>
      </c>
      <c r="D295" s="84">
        <v>5570</v>
      </c>
      <c r="E295" s="84">
        <v>6530</v>
      </c>
      <c r="F295" s="84">
        <v>960</v>
      </c>
      <c r="G295" s="92">
        <v>3360</v>
      </c>
    </row>
    <row r="296" spans="1:7" s="73" customFormat="1" ht="14.25" customHeight="1">
      <c r="A296" s="84" t="s">
        <v>288</v>
      </c>
      <c r="B296" s="84" t="s">
        <v>2537</v>
      </c>
      <c r="C296" s="84">
        <v>5540</v>
      </c>
      <c r="D296" s="84">
        <v>5490</v>
      </c>
      <c r="E296" s="84">
        <v>6430</v>
      </c>
      <c r="F296" s="84">
        <v>980</v>
      </c>
      <c r="G296" s="92">
        <v>3310</v>
      </c>
    </row>
    <row r="297" spans="1:7" s="73" customFormat="1" ht="14.25" customHeight="1">
      <c r="A297" s="84" t="s">
        <v>288</v>
      </c>
      <c r="B297" s="84" t="s">
        <v>2538</v>
      </c>
      <c r="C297" s="84">
        <v>5480</v>
      </c>
      <c r="D297" s="84">
        <v>5420</v>
      </c>
      <c r="E297" s="84">
        <v>6370</v>
      </c>
      <c r="F297" s="84">
        <v>990</v>
      </c>
      <c r="G297" s="92">
        <v>3270</v>
      </c>
    </row>
    <row r="298" spans="1:7" s="73" customFormat="1" ht="14.25" customHeight="1">
      <c r="A298" s="84" t="s">
        <v>288</v>
      </c>
      <c r="B298" s="84" t="s">
        <v>2539</v>
      </c>
      <c r="C298" s="84">
        <v>5090</v>
      </c>
      <c r="D298" s="84">
        <v>5050</v>
      </c>
      <c r="E298" s="84">
        <v>5910</v>
      </c>
      <c r="F298" s="84">
        <v>900</v>
      </c>
      <c r="G298" s="92">
        <v>3040</v>
      </c>
    </row>
    <row r="299" spans="1:7" s="73" customFormat="1" ht="14.25" customHeight="1">
      <c r="A299" s="84" t="s">
        <v>288</v>
      </c>
      <c r="B299" s="98" t="s">
        <v>2540</v>
      </c>
      <c r="C299" s="84">
        <v>5430</v>
      </c>
      <c r="D299" s="84">
        <v>5380</v>
      </c>
      <c r="E299" s="84">
        <v>6280</v>
      </c>
      <c r="F299" s="84">
        <v>1000</v>
      </c>
      <c r="G299" s="92">
        <v>3240</v>
      </c>
    </row>
    <row r="300" spans="1:7" s="73" customFormat="1" ht="14.25" customHeight="1">
      <c r="A300" s="84" t="s">
        <v>288</v>
      </c>
      <c r="B300" s="98" t="s">
        <v>2541</v>
      </c>
      <c r="C300" s="84">
        <v>4740</v>
      </c>
      <c r="D300" s="84">
        <v>4680</v>
      </c>
      <c r="E300" s="84">
        <v>5450</v>
      </c>
      <c r="F300" s="84">
        <v>900</v>
      </c>
      <c r="G300" s="92">
        <v>2830</v>
      </c>
    </row>
    <row r="301" spans="1:7" s="73" customFormat="1" ht="14.25" customHeight="1">
      <c r="A301" s="84" t="s">
        <v>288</v>
      </c>
      <c r="B301" s="98" t="s">
        <v>2542</v>
      </c>
      <c r="C301" s="84">
        <v>4870</v>
      </c>
      <c r="D301" s="84">
        <v>4810</v>
      </c>
      <c r="E301" s="84">
        <v>5560</v>
      </c>
      <c r="F301" s="84">
        <v>990</v>
      </c>
      <c r="G301" s="92">
        <v>2910</v>
      </c>
    </row>
    <row r="302" spans="1:7" s="73" customFormat="1" ht="14.25" customHeight="1">
      <c r="A302" s="84" t="s">
        <v>288</v>
      </c>
      <c r="B302" s="84" t="s">
        <v>2543</v>
      </c>
      <c r="C302" s="84">
        <v>5520</v>
      </c>
      <c r="D302" s="84">
        <v>5470</v>
      </c>
      <c r="E302" s="84">
        <v>6410</v>
      </c>
      <c r="F302" s="84">
        <v>950</v>
      </c>
      <c r="G302" s="92">
        <v>3300</v>
      </c>
    </row>
    <row r="303" spans="1:7" s="73" customFormat="1" ht="14.25" customHeight="1">
      <c r="A303" s="84" t="s">
        <v>288</v>
      </c>
      <c r="B303" s="84" t="s">
        <v>2544</v>
      </c>
      <c r="C303" s="84">
        <v>5630</v>
      </c>
      <c r="D303" s="84">
        <v>5590</v>
      </c>
      <c r="E303" s="84">
        <v>6550</v>
      </c>
      <c r="F303" s="84">
        <v>1010</v>
      </c>
      <c r="G303" s="92">
        <v>3370</v>
      </c>
    </row>
    <row r="304" spans="1:7" s="73" customFormat="1" ht="14.25" customHeight="1">
      <c r="A304" s="84" t="s">
        <v>288</v>
      </c>
      <c r="B304" s="84" t="s">
        <v>2545</v>
      </c>
      <c r="C304" s="84">
        <v>5680</v>
      </c>
      <c r="D304" s="84">
        <v>5620</v>
      </c>
      <c r="E304" s="84">
        <v>6620</v>
      </c>
      <c r="F304" s="84">
        <v>1050</v>
      </c>
      <c r="G304" s="92">
        <v>3390</v>
      </c>
    </row>
    <row r="305" spans="1:7" s="73" customFormat="1" ht="14.25" customHeight="1">
      <c r="A305" s="84" t="s">
        <v>288</v>
      </c>
      <c r="B305" s="84" t="s">
        <v>2546</v>
      </c>
      <c r="C305" s="84">
        <v>5590</v>
      </c>
      <c r="D305" s="84">
        <v>5530</v>
      </c>
      <c r="E305" s="84">
        <v>6460</v>
      </c>
      <c r="F305" s="84">
        <v>900</v>
      </c>
      <c r="G305" s="92">
        <v>3340</v>
      </c>
    </row>
    <row r="306" spans="1:7" s="73" customFormat="1" ht="14.25" customHeight="1">
      <c r="A306" s="84" t="s">
        <v>288</v>
      </c>
      <c r="B306" s="84" t="s">
        <v>2547</v>
      </c>
      <c r="C306" s="84">
        <v>5560</v>
      </c>
      <c r="D306" s="84">
        <v>5510</v>
      </c>
      <c r="E306" s="84">
        <v>6440</v>
      </c>
      <c r="F306" s="84">
        <v>900</v>
      </c>
      <c r="G306" s="92">
        <v>3320</v>
      </c>
    </row>
    <row r="307" spans="1:7" s="73" customFormat="1" ht="14.25" customHeight="1">
      <c r="A307" s="84" t="s">
        <v>288</v>
      </c>
      <c r="B307" s="84" t="s">
        <v>2548</v>
      </c>
      <c r="C307" s="84">
        <v>5650</v>
      </c>
      <c r="D307" s="84">
        <v>5600</v>
      </c>
      <c r="E307" s="84">
        <v>6590</v>
      </c>
      <c r="F307" s="84">
        <v>930</v>
      </c>
      <c r="G307" s="92">
        <v>3380</v>
      </c>
    </row>
    <row r="308" spans="1:7" s="73" customFormat="1" ht="14.25" customHeight="1">
      <c r="A308" s="84" t="s">
        <v>288</v>
      </c>
      <c r="B308" s="84" t="s">
        <v>2549</v>
      </c>
      <c r="C308" s="84">
        <v>5620</v>
      </c>
      <c r="D308" s="84">
        <v>5580</v>
      </c>
      <c r="E308" s="84">
        <v>6540</v>
      </c>
      <c r="F308" s="84">
        <v>910</v>
      </c>
      <c r="G308" s="92">
        <v>3370</v>
      </c>
    </row>
    <row r="309" spans="1:7" s="73" customFormat="1" ht="14.25" customHeight="1">
      <c r="A309" s="84" t="s">
        <v>288</v>
      </c>
      <c r="B309" s="84" t="s">
        <v>2550</v>
      </c>
      <c r="C309" s="84">
        <v>5060</v>
      </c>
      <c r="D309" s="84">
        <v>5020</v>
      </c>
      <c r="E309" s="84">
        <v>6370</v>
      </c>
      <c r="F309" s="84">
        <v>800</v>
      </c>
      <c r="G309" s="92">
        <v>3020</v>
      </c>
    </row>
    <row r="310" spans="1:7" s="73" customFormat="1" ht="14.25" customHeight="1">
      <c r="A310" s="84" t="s">
        <v>288</v>
      </c>
      <c r="B310" s="84" t="s">
        <v>2551</v>
      </c>
      <c r="C310" s="84">
        <v>5150</v>
      </c>
      <c r="D310" s="84">
        <v>5110</v>
      </c>
      <c r="E310" s="84">
        <v>6500</v>
      </c>
      <c r="F310" s="84">
        <v>880</v>
      </c>
      <c r="G310" s="92">
        <v>3080</v>
      </c>
    </row>
    <row r="311" spans="1:7" s="73" customFormat="1" ht="14.25" customHeight="1">
      <c r="A311" s="84" t="s">
        <v>288</v>
      </c>
      <c r="B311" s="84" t="s">
        <v>2552</v>
      </c>
      <c r="C311" s="84">
        <v>4750</v>
      </c>
      <c r="D311" s="84">
        <v>4710</v>
      </c>
      <c r="E311" s="84">
        <v>5510</v>
      </c>
      <c r="F311" s="84">
        <v>880</v>
      </c>
      <c r="G311" s="92">
        <v>2840</v>
      </c>
    </row>
    <row r="312" spans="1:7" s="73" customFormat="1" ht="14.25" customHeight="1">
      <c r="A312" s="84" t="s">
        <v>288</v>
      </c>
      <c r="B312" s="84" t="s">
        <v>2553</v>
      </c>
      <c r="C312" s="84">
        <v>4690</v>
      </c>
      <c r="D312" s="84">
        <v>4640</v>
      </c>
      <c r="E312" s="84">
        <v>5420</v>
      </c>
      <c r="F312" s="84">
        <v>800</v>
      </c>
      <c r="G312" s="92">
        <v>2800</v>
      </c>
    </row>
    <row r="313" spans="1:7" s="73" customFormat="1" ht="14.25" customHeight="1">
      <c r="A313" s="84" t="s">
        <v>288</v>
      </c>
      <c r="B313" s="84" t="s">
        <v>2554</v>
      </c>
      <c r="C313" s="84">
        <v>4810</v>
      </c>
      <c r="D313" s="84">
        <v>4760</v>
      </c>
      <c r="E313" s="84">
        <v>5550</v>
      </c>
      <c r="F313" s="84">
        <v>920</v>
      </c>
      <c r="G313" s="92">
        <v>2870</v>
      </c>
    </row>
    <row r="314" spans="1:7" s="73" customFormat="1" ht="14.25" customHeight="1">
      <c r="A314" s="84" t="s">
        <v>288</v>
      </c>
      <c r="B314" s="84" t="s">
        <v>2555</v>
      </c>
      <c r="C314" s="84"/>
      <c r="D314" s="84"/>
      <c r="E314" s="84"/>
      <c r="F314" s="84">
        <v>1020</v>
      </c>
      <c r="G314" s="92"/>
    </row>
    <row r="315" spans="1:7" s="73" customFormat="1" ht="14.25" customHeight="1">
      <c r="A315" s="84" t="s">
        <v>288</v>
      </c>
      <c r="B315" s="84" t="s">
        <v>2556</v>
      </c>
      <c r="C315" s="84"/>
      <c r="D315" s="84"/>
      <c r="E315" s="84"/>
      <c r="F315" s="84">
        <v>1050</v>
      </c>
      <c r="G315" s="92"/>
    </row>
    <row r="316" spans="1:7" s="73" customFormat="1" ht="14.25" customHeight="1">
      <c r="A316" s="84" t="s">
        <v>288</v>
      </c>
      <c r="B316" s="84" t="s">
        <v>2557</v>
      </c>
      <c r="C316" s="84"/>
      <c r="D316" s="84"/>
      <c r="E316" s="84"/>
      <c r="F316" s="84">
        <v>900</v>
      </c>
      <c r="G316" s="92"/>
    </row>
    <row r="317" spans="1:7" s="73" customFormat="1" ht="14.25" customHeight="1">
      <c r="A317" s="84" t="s">
        <v>288</v>
      </c>
      <c r="B317" s="84" t="s">
        <v>2558</v>
      </c>
      <c r="C317" s="84"/>
      <c r="D317" s="84"/>
      <c r="E317" s="84"/>
      <c r="F317" s="84">
        <v>920</v>
      </c>
      <c r="G317" s="92"/>
    </row>
    <row r="318" spans="1:7" s="73" customFormat="1" ht="14.25" customHeight="1">
      <c r="A318" s="84" t="s">
        <v>288</v>
      </c>
      <c r="B318" s="84" t="s">
        <v>2559</v>
      </c>
      <c r="C318" s="84"/>
      <c r="D318" s="84"/>
      <c r="E318" s="84"/>
      <c r="F318" s="84">
        <v>1080</v>
      </c>
      <c r="G318" s="92"/>
    </row>
    <row r="319" spans="1:7" s="73" customFormat="1" ht="14.25" customHeight="1">
      <c r="A319" s="84" t="s">
        <v>288</v>
      </c>
      <c r="B319" s="84" t="s">
        <v>2560</v>
      </c>
      <c r="C319" s="84"/>
      <c r="D319" s="84"/>
      <c r="E319" s="84"/>
      <c r="F319" s="84">
        <v>1020</v>
      </c>
      <c r="G319" s="92"/>
    </row>
    <row r="320" spans="1:7" s="73" customFormat="1" ht="14.25" customHeight="1">
      <c r="A320" s="84" t="s">
        <v>288</v>
      </c>
      <c r="B320" s="84" t="s">
        <v>2561</v>
      </c>
      <c r="C320" s="84"/>
      <c r="D320" s="84"/>
      <c r="E320" s="84"/>
      <c r="F320" s="84">
        <v>1050</v>
      </c>
      <c r="G320" s="92"/>
    </row>
    <row r="321" spans="1:7" s="73" customFormat="1" ht="14.25" customHeight="1">
      <c r="A321" s="84" t="s">
        <v>288</v>
      </c>
      <c r="B321" s="84" t="s">
        <v>2562</v>
      </c>
      <c r="C321" s="84"/>
      <c r="D321" s="84"/>
      <c r="E321" s="84"/>
      <c r="F321" s="84">
        <v>960</v>
      </c>
      <c r="G321" s="92"/>
    </row>
    <row r="322" spans="1:7" s="73" customFormat="1" ht="14.25" customHeight="1">
      <c r="A322" s="84" t="s">
        <v>288</v>
      </c>
      <c r="B322" s="84" t="s">
        <v>2563</v>
      </c>
      <c r="C322" s="84"/>
      <c r="D322" s="84"/>
      <c r="E322" s="84"/>
      <c r="F322" s="84">
        <v>960</v>
      </c>
      <c r="G322" s="92"/>
    </row>
    <row r="323" spans="1:7" s="73" customFormat="1" ht="14.25" customHeight="1">
      <c r="A323" s="84" t="s">
        <v>288</v>
      </c>
      <c r="B323" s="84" t="s">
        <v>2564</v>
      </c>
      <c r="C323" s="84"/>
      <c r="D323" s="84"/>
      <c r="E323" s="84"/>
      <c r="F323" s="84">
        <v>880</v>
      </c>
      <c r="G323" s="92"/>
    </row>
    <row r="324" spans="1:7" s="73" customFormat="1" ht="14.25" customHeight="1">
      <c r="A324" s="84" t="s">
        <v>288</v>
      </c>
      <c r="B324" s="84" t="s">
        <v>2565</v>
      </c>
      <c r="C324" s="84"/>
      <c r="D324" s="84"/>
      <c r="E324" s="84"/>
      <c r="F324" s="84">
        <v>930</v>
      </c>
      <c r="G324" s="92"/>
    </row>
    <row r="325" spans="1:7" s="73" customFormat="1" ht="14.25" customHeight="1">
      <c r="A325" s="84" t="s">
        <v>288</v>
      </c>
      <c r="B325" s="85" t="s">
        <v>2566</v>
      </c>
      <c r="C325" s="84"/>
      <c r="D325" s="84"/>
      <c r="E325" s="84"/>
      <c r="F325" s="84">
        <v>900</v>
      </c>
      <c r="G325" s="92"/>
    </row>
    <row r="326" spans="1:7" s="73" customFormat="1" ht="14.25" customHeight="1">
      <c r="A326" s="93" t="s">
        <v>288</v>
      </c>
      <c r="B326" s="88" t="s">
        <v>2567</v>
      </c>
      <c r="C326" s="88"/>
      <c r="D326" s="88"/>
      <c r="E326" s="88"/>
      <c r="F326" s="88">
        <v>790</v>
      </c>
      <c r="G326" s="94"/>
    </row>
    <row r="327" spans="1:7" s="73" customFormat="1" ht="14.25" customHeight="1">
      <c r="A327" s="82" t="s">
        <v>292</v>
      </c>
      <c r="B327" s="83" t="s">
        <v>2568</v>
      </c>
      <c r="C327" s="84">
        <v>3750</v>
      </c>
      <c r="D327" s="84">
        <v>3710</v>
      </c>
      <c r="E327" s="84">
        <v>4080</v>
      </c>
      <c r="F327" s="84">
        <v>860</v>
      </c>
      <c r="G327" s="84">
        <v>2210</v>
      </c>
    </row>
    <row r="328" spans="1:7" s="73" customFormat="1" ht="14.25" customHeight="1">
      <c r="A328" s="84" t="s">
        <v>292</v>
      </c>
      <c r="B328" s="84" t="s">
        <v>2569</v>
      </c>
      <c r="C328" s="84">
        <v>3330</v>
      </c>
      <c r="D328" s="84">
        <v>3290</v>
      </c>
      <c r="E328" s="84">
        <v>3610</v>
      </c>
      <c r="F328" s="84">
        <v>850</v>
      </c>
      <c r="G328" s="84">
        <v>1960</v>
      </c>
    </row>
    <row r="329" spans="1:7" s="73" customFormat="1" ht="14.25" customHeight="1">
      <c r="A329" s="84" t="s">
        <v>292</v>
      </c>
      <c r="B329" s="84" t="s">
        <v>2570</v>
      </c>
      <c r="C329" s="84">
        <v>2730</v>
      </c>
      <c r="D329" s="84">
        <v>2690</v>
      </c>
      <c r="E329" s="84">
        <v>3100</v>
      </c>
      <c r="F329" s="84">
        <v>660</v>
      </c>
      <c r="G329" s="84">
        <v>1610</v>
      </c>
    </row>
    <row r="330" spans="1:7" s="73" customFormat="1" ht="14.25" customHeight="1">
      <c r="A330" s="84" t="s">
        <v>292</v>
      </c>
      <c r="B330" s="84" t="s">
        <v>2571</v>
      </c>
      <c r="C330" s="84">
        <v>3270</v>
      </c>
      <c r="D330" s="84">
        <v>3240</v>
      </c>
      <c r="E330" s="84">
        <v>3560</v>
      </c>
      <c r="F330" s="84">
        <v>680</v>
      </c>
      <c r="G330" s="84">
        <v>1940</v>
      </c>
    </row>
    <row r="331" spans="1:7" s="73" customFormat="1" ht="14.25" customHeight="1">
      <c r="A331" s="84" t="s">
        <v>292</v>
      </c>
      <c r="B331" s="84" t="s">
        <v>2572</v>
      </c>
      <c r="C331" s="84">
        <v>3770</v>
      </c>
      <c r="D331" s="84">
        <v>3740</v>
      </c>
      <c r="E331" s="84">
        <v>4110</v>
      </c>
      <c r="F331" s="84">
        <v>730</v>
      </c>
      <c r="G331" s="84">
        <v>2230</v>
      </c>
    </row>
    <row r="332" spans="1:7" s="73" customFormat="1" ht="14.25" customHeight="1">
      <c r="A332" s="84" t="s">
        <v>292</v>
      </c>
      <c r="B332" s="84" t="s">
        <v>2573</v>
      </c>
      <c r="C332" s="84">
        <v>3520</v>
      </c>
      <c r="D332" s="84">
        <v>3480</v>
      </c>
      <c r="E332" s="84">
        <v>3830</v>
      </c>
      <c r="F332" s="84">
        <v>720</v>
      </c>
      <c r="G332" s="84">
        <v>2090</v>
      </c>
    </row>
    <row r="333" spans="1:7" s="73" customFormat="1" ht="14.25" customHeight="1">
      <c r="A333" s="84" t="s">
        <v>292</v>
      </c>
      <c r="B333" s="84" t="s">
        <v>2574</v>
      </c>
      <c r="C333" s="84">
        <v>3840</v>
      </c>
      <c r="D333" s="84">
        <v>3800</v>
      </c>
      <c r="E333" s="84">
        <v>4200</v>
      </c>
      <c r="F333" s="84">
        <v>760</v>
      </c>
      <c r="G333" s="84">
        <v>2270</v>
      </c>
    </row>
    <row r="334" spans="1:7" s="73" customFormat="1" ht="14.25" customHeight="1">
      <c r="A334" s="84" t="s">
        <v>292</v>
      </c>
      <c r="B334" s="84" t="s">
        <v>2575</v>
      </c>
      <c r="C334" s="84">
        <v>3960</v>
      </c>
      <c r="D334" s="84">
        <v>3910</v>
      </c>
      <c r="E334" s="84">
        <v>4340</v>
      </c>
      <c r="F334" s="84">
        <v>780</v>
      </c>
      <c r="G334" s="84">
        <v>2340</v>
      </c>
    </row>
    <row r="335" spans="1:7" s="73" customFormat="1" ht="14.25" customHeight="1">
      <c r="A335" s="84" t="s">
        <v>292</v>
      </c>
      <c r="B335" s="84" t="s">
        <v>2576</v>
      </c>
      <c r="C335" s="84">
        <v>3710</v>
      </c>
      <c r="D335" s="84">
        <v>3670</v>
      </c>
      <c r="E335" s="84">
        <v>4030</v>
      </c>
      <c r="F335" s="84">
        <v>750</v>
      </c>
      <c r="G335" s="84">
        <v>2200</v>
      </c>
    </row>
    <row r="336" spans="1:7" s="73" customFormat="1" ht="14.25" customHeight="1">
      <c r="A336" s="84" t="s">
        <v>292</v>
      </c>
      <c r="B336" s="84" t="s">
        <v>2577</v>
      </c>
      <c r="C336" s="84">
        <v>3570</v>
      </c>
      <c r="D336" s="84">
        <v>3530</v>
      </c>
      <c r="E336" s="84">
        <v>3880</v>
      </c>
      <c r="F336" s="84">
        <v>770</v>
      </c>
      <c r="G336" s="84">
        <v>2110</v>
      </c>
    </row>
    <row r="337" spans="1:10" s="73" customFormat="1" ht="14.25" customHeight="1">
      <c r="A337" s="84" t="s">
        <v>292</v>
      </c>
      <c r="B337" s="84" t="s">
        <v>2578</v>
      </c>
      <c r="C337" s="84">
        <v>3780</v>
      </c>
      <c r="D337" s="84">
        <v>3750</v>
      </c>
      <c r="E337" s="84">
        <v>4130</v>
      </c>
      <c r="F337" s="84">
        <v>750</v>
      </c>
      <c r="G337" s="84">
        <v>2240</v>
      </c>
    </row>
    <row r="338" spans="1:10" s="73" customFormat="1" ht="14.25" customHeight="1">
      <c r="A338" s="84" t="s">
        <v>292</v>
      </c>
      <c r="B338" s="84" t="s">
        <v>2579</v>
      </c>
      <c r="C338" s="84">
        <v>3600</v>
      </c>
      <c r="D338" s="84">
        <v>3570</v>
      </c>
      <c r="E338" s="84">
        <v>3920</v>
      </c>
      <c r="F338" s="84">
        <v>790</v>
      </c>
      <c r="G338" s="84">
        <v>2140</v>
      </c>
    </row>
    <row r="339" spans="1:10" s="73" customFormat="1" ht="14.25" customHeight="1">
      <c r="A339" s="84" t="s">
        <v>292</v>
      </c>
      <c r="B339" s="84" t="s">
        <v>2580</v>
      </c>
      <c r="C339" s="84">
        <v>3540</v>
      </c>
      <c r="D339" s="84">
        <v>3500</v>
      </c>
      <c r="E339" s="84">
        <v>3850</v>
      </c>
      <c r="F339" s="84">
        <v>780</v>
      </c>
      <c r="G339" s="84">
        <v>2100</v>
      </c>
    </row>
    <row r="340" spans="1:10" s="73" customFormat="1" ht="14.25" customHeight="1">
      <c r="A340" s="84" t="s">
        <v>292</v>
      </c>
      <c r="B340" s="84" t="s">
        <v>2581</v>
      </c>
      <c r="C340" s="84">
        <v>3850</v>
      </c>
      <c r="D340" s="84">
        <v>3810</v>
      </c>
      <c r="E340" s="84">
        <v>4210</v>
      </c>
      <c r="F340" s="84">
        <v>750</v>
      </c>
      <c r="G340" s="84">
        <v>2280</v>
      </c>
    </row>
    <row r="341" spans="1:10" s="73" customFormat="1" ht="14.25" customHeight="1">
      <c r="A341" s="84" t="s">
        <v>292</v>
      </c>
      <c r="B341" s="84" t="s">
        <v>2582</v>
      </c>
      <c r="C341" s="84">
        <v>3780</v>
      </c>
      <c r="D341" s="84">
        <v>3750</v>
      </c>
      <c r="E341" s="84">
        <v>4140</v>
      </c>
      <c r="F341" s="84">
        <v>720</v>
      </c>
      <c r="G341" s="84">
        <v>2240</v>
      </c>
    </row>
    <row r="342" spans="1:10" s="73" customFormat="1" ht="14.25" customHeight="1">
      <c r="A342" s="84" t="s">
        <v>292</v>
      </c>
      <c r="B342" s="84" t="s">
        <v>2583</v>
      </c>
      <c r="C342" s="84">
        <v>3670</v>
      </c>
      <c r="D342" s="84">
        <v>3620</v>
      </c>
      <c r="E342" s="84">
        <v>3990</v>
      </c>
      <c r="F342" s="84">
        <v>760</v>
      </c>
      <c r="G342" s="84">
        <v>2170</v>
      </c>
    </row>
    <row r="343" spans="1:10" s="73" customFormat="1" ht="14.25" customHeight="1">
      <c r="A343" s="84" t="s">
        <v>292</v>
      </c>
      <c r="B343" s="84" t="s">
        <v>2584</v>
      </c>
      <c r="C343" s="84">
        <v>3760</v>
      </c>
      <c r="D343" s="84">
        <v>3720</v>
      </c>
      <c r="E343" s="84">
        <v>4090</v>
      </c>
      <c r="F343" s="84">
        <v>780</v>
      </c>
      <c r="G343" s="84">
        <v>2220</v>
      </c>
    </row>
    <row r="344" spans="1:10" s="73" customFormat="1" ht="14.25" customHeight="1">
      <c r="A344" s="84" t="s">
        <v>292</v>
      </c>
      <c r="B344" s="84" t="s">
        <v>2585</v>
      </c>
      <c r="C344" s="84">
        <v>3680</v>
      </c>
      <c r="D344" s="84">
        <v>3640</v>
      </c>
      <c r="E344" s="84">
        <v>4010</v>
      </c>
      <c r="F344" s="84">
        <v>750</v>
      </c>
      <c r="G344" s="84">
        <v>2180</v>
      </c>
    </row>
    <row r="345" spans="1:10">
      <c r="A345" s="84" t="s">
        <v>292</v>
      </c>
      <c r="B345" s="84" t="s">
        <v>2586</v>
      </c>
      <c r="C345" s="84">
        <v>3190</v>
      </c>
      <c r="D345" s="84">
        <v>3140</v>
      </c>
      <c r="E345" s="84">
        <v>3450</v>
      </c>
      <c r="F345" s="84">
        <v>720</v>
      </c>
      <c r="G345" s="84">
        <v>1880</v>
      </c>
      <c r="J345" s="73"/>
    </row>
    <row r="346" spans="1:10">
      <c r="A346" s="84" t="s">
        <v>292</v>
      </c>
      <c r="B346" s="84" t="s">
        <v>2587</v>
      </c>
      <c r="C346" s="84">
        <v>3630</v>
      </c>
      <c r="D346" s="84">
        <v>3590</v>
      </c>
      <c r="E346" s="84">
        <v>3940</v>
      </c>
      <c r="F346" s="84">
        <v>730</v>
      </c>
      <c r="G346" s="84">
        <v>2150</v>
      </c>
      <c r="J346" s="73"/>
    </row>
    <row r="347" spans="1:10">
      <c r="A347" s="84" t="s">
        <v>292</v>
      </c>
      <c r="B347" s="84" t="s">
        <v>2588</v>
      </c>
      <c r="C347" s="84">
        <v>3860</v>
      </c>
      <c r="D347" s="84">
        <v>3820</v>
      </c>
      <c r="E347" s="84">
        <v>4220</v>
      </c>
      <c r="F347" s="84">
        <v>750</v>
      </c>
      <c r="G347" s="84">
        <v>2280</v>
      </c>
      <c r="J347" s="73"/>
    </row>
    <row r="348" spans="1:10">
      <c r="A348" s="84" t="s">
        <v>292</v>
      </c>
      <c r="B348" s="84" t="s">
        <v>2589</v>
      </c>
      <c r="C348" s="84">
        <v>4000</v>
      </c>
      <c r="D348" s="84">
        <v>3950</v>
      </c>
      <c r="E348" s="84">
        <v>4430</v>
      </c>
      <c r="F348" s="84">
        <v>760</v>
      </c>
      <c r="G348" s="84">
        <v>2360</v>
      </c>
      <c r="J348" s="73"/>
    </row>
    <row r="349" spans="1:10">
      <c r="A349" s="84" t="s">
        <v>292</v>
      </c>
      <c r="B349" s="84" t="s">
        <v>2590</v>
      </c>
      <c r="C349" s="84">
        <v>3820</v>
      </c>
      <c r="D349" s="84">
        <v>3780</v>
      </c>
      <c r="E349" s="84">
        <v>4170</v>
      </c>
      <c r="F349" s="84">
        <v>710</v>
      </c>
      <c r="G349" s="84">
        <v>2260</v>
      </c>
      <c r="J349" s="73"/>
    </row>
    <row r="350" spans="1:10">
      <c r="A350" s="84" t="s">
        <v>292</v>
      </c>
      <c r="B350" s="84" t="s">
        <v>2591</v>
      </c>
      <c r="C350" s="84">
        <v>3760</v>
      </c>
      <c r="D350" s="84">
        <v>3730</v>
      </c>
      <c r="E350" s="84">
        <v>4100</v>
      </c>
      <c r="F350" s="84">
        <v>800</v>
      </c>
      <c r="G350" s="84">
        <v>2230</v>
      </c>
      <c r="J350" s="73"/>
    </row>
    <row r="351" spans="1:10">
      <c r="A351" s="84" t="s">
        <v>292</v>
      </c>
      <c r="B351" s="84" t="s">
        <v>2592</v>
      </c>
      <c r="C351" s="84">
        <v>3610</v>
      </c>
      <c r="D351" s="84">
        <v>3580</v>
      </c>
      <c r="E351" s="84">
        <v>3930</v>
      </c>
      <c r="F351" s="84">
        <v>700</v>
      </c>
      <c r="G351" s="84">
        <v>2140</v>
      </c>
      <c r="J351" s="73"/>
    </row>
    <row r="352" spans="1:10">
      <c r="A352" s="84" t="s">
        <v>292</v>
      </c>
      <c r="B352" s="84" t="s">
        <v>2593</v>
      </c>
      <c r="C352" s="84">
        <v>3670</v>
      </c>
      <c r="D352" s="84">
        <v>3630</v>
      </c>
      <c r="E352" s="84">
        <v>4000</v>
      </c>
      <c r="F352" s="84">
        <v>750</v>
      </c>
      <c r="G352" s="84">
        <v>2180</v>
      </c>
    </row>
    <row r="353" spans="1:7" s="74" customFormat="1">
      <c r="A353" s="84" t="s">
        <v>292</v>
      </c>
      <c r="B353" s="84" t="s">
        <v>2594</v>
      </c>
      <c r="C353" s="84">
        <v>3190</v>
      </c>
      <c r="D353" s="84">
        <v>3150</v>
      </c>
      <c r="E353" s="84">
        <v>3640</v>
      </c>
      <c r="F353" s="84">
        <v>630</v>
      </c>
      <c r="G353" s="84">
        <v>1890</v>
      </c>
    </row>
    <row r="354" spans="1:7" s="74" customFormat="1">
      <c r="A354" s="84" t="s">
        <v>292</v>
      </c>
      <c r="B354" s="84" t="s">
        <v>2595</v>
      </c>
      <c r="C354" s="84">
        <v>3450</v>
      </c>
      <c r="D354" s="84">
        <v>3420</v>
      </c>
      <c r="E354" s="84">
        <v>3960</v>
      </c>
      <c r="F354" s="84">
        <v>660</v>
      </c>
      <c r="G354" s="84">
        <v>2050</v>
      </c>
    </row>
    <row r="355" spans="1:7" s="74" customFormat="1">
      <c r="A355" s="84" t="s">
        <v>292</v>
      </c>
      <c r="B355" s="84" t="s">
        <v>2596</v>
      </c>
      <c r="C355" s="84">
        <v>3650</v>
      </c>
      <c r="D355" s="84">
        <v>3610</v>
      </c>
      <c r="E355" s="84">
        <v>4200</v>
      </c>
      <c r="F355" s="84">
        <v>640</v>
      </c>
      <c r="G355" s="84">
        <v>2160</v>
      </c>
    </row>
    <row r="356" spans="1:7" s="74" customFormat="1">
      <c r="A356" s="84" t="s">
        <v>292</v>
      </c>
      <c r="B356" s="84" t="s">
        <v>2597</v>
      </c>
      <c r="C356" s="84">
        <v>3260</v>
      </c>
      <c r="D356" s="84">
        <v>3230</v>
      </c>
      <c r="E356" s="84">
        <v>3740</v>
      </c>
      <c r="F356" s="84">
        <v>600</v>
      </c>
      <c r="G356" s="84">
        <v>1930</v>
      </c>
    </row>
    <row r="357" spans="1:7" s="74" customFormat="1">
      <c r="A357" s="86" t="s">
        <v>292</v>
      </c>
      <c r="B357" s="90" t="s">
        <v>2598</v>
      </c>
      <c r="C357" s="90">
        <v>3690</v>
      </c>
      <c r="D357" s="90">
        <v>3650</v>
      </c>
      <c r="E357" s="90">
        <v>4020</v>
      </c>
      <c r="F357" s="90">
        <v>700</v>
      </c>
      <c r="G357" s="90">
        <v>2190</v>
      </c>
    </row>
    <row r="358" spans="1:7" s="74" customFormat="1">
      <c r="A358" s="82" t="s">
        <v>296</v>
      </c>
      <c r="B358" s="83" t="s">
        <v>2599</v>
      </c>
      <c r="C358" s="83">
        <v>2080</v>
      </c>
      <c r="D358" s="83">
        <v>2040</v>
      </c>
      <c r="E358" s="83">
        <v>2010</v>
      </c>
      <c r="F358" s="83">
        <v>530</v>
      </c>
      <c r="G358" s="91">
        <v>1230</v>
      </c>
    </row>
    <row r="359" spans="1:7" s="74" customFormat="1">
      <c r="A359" s="84" t="s">
        <v>296</v>
      </c>
      <c r="B359" s="84" t="s">
        <v>2600</v>
      </c>
      <c r="C359" s="84">
        <v>1850</v>
      </c>
      <c r="D359" s="84">
        <v>1820</v>
      </c>
      <c r="E359" s="84">
        <v>1780</v>
      </c>
      <c r="F359" s="84">
        <v>520</v>
      </c>
      <c r="G359" s="92">
        <v>1100</v>
      </c>
    </row>
    <row r="360" spans="1:7" s="74" customFormat="1">
      <c r="A360" s="84" t="s">
        <v>296</v>
      </c>
      <c r="B360" s="84" t="s">
        <v>2601</v>
      </c>
      <c r="C360" s="84">
        <v>2020</v>
      </c>
      <c r="D360" s="84">
        <v>1990</v>
      </c>
      <c r="E360" s="84">
        <v>1950</v>
      </c>
      <c r="F360" s="84">
        <v>500</v>
      </c>
      <c r="G360" s="92">
        <v>1200</v>
      </c>
    </row>
    <row r="361" spans="1:7" s="74" customFormat="1">
      <c r="A361" s="84" t="s">
        <v>296</v>
      </c>
      <c r="B361" s="84" t="s">
        <v>2602</v>
      </c>
      <c r="C361" s="84">
        <v>2260</v>
      </c>
      <c r="D361" s="84">
        <v>2220</v>
      </c>
      <c r="E361" s="84">
        <v>2180</v>
      </c>
      <c r="F361" s="84">
        <v>580</v>
      </c>
      <c r="G361" s="92">
        <v>1340</v>
      </c>
    </row>
    <row r="362" spans="1:7" s="74" customFormat="1">
      <c r="A362" s="84" t="s">
        <v>296</v>
      </c>
      <c r="B362" s="84" t="s">
        <v>2603</v>
      </c>
      <c r="C362" s="84">
        <v>2650</v>
      </c>
      <c r="D362" s="84">
        <v>2610</v>
      </c>
      <c r="E362" s="84">
        <v>2570</v>
      </c>
      <c r="F362" s="84">
        <v>630</v>
      </c>
      <c r="G362" s="92">
        <v>1570</v>
      </c>
    </row>
    <row r="363" spans="1:7" s="74" customFormat="1">
      <c r="A363" s="84" t="s">
        <v>296</v>
      </c>
      <c r="B363" s="84" t="s">
        <v>2604</v>
      </c>
      <c r="C363" s="84">
        <v>2390</v>
      </c>
      <c r="D363" s="84">
        <v>2360</v>
      </c>
      <c r="E363" s="84">
        <v>2320</v>
      </c>
      <c r="F363" s="84">
        <v>600</v>
      </c>
      <c r="G363" s="92">
        <v>1420</v>
      </c>
    </row>
    <row r="364" spans="1:7" s="74" customFormat="1">
      <c r="A364" s="84" t="s">
        <v>296</v>
      </c>
      <c r="B364" s="84" t="s">
        <v>2605</v>
      </c>
      <c r="C364" s="84">
        <v>2050</v>
      </c>
      <c r="D364" s="84">
        <v>2030</v>
      </c>
      <c r="E364" s="84">
        <v>1990</v>
      </c>
      <c r="F364" s="84">
        <v>550</v>
      </c>
      <c r="G364" s="92">
        <v>1220</v>
      </c>
    </row>
    <row r="365" spans="1:7" s="74" customFormat="1">
      <c r="A365" s="84" t="s">
        <v>296</v>
      </c>
      <c r="B365" s="84" t="s">
        <v>2606</v>
      </c>
      <c r="C365" s="84">
        <v>2140</v>
      </c>
      <c r="D365" s="84">
        <v>2100</v>
      </c>
      <c r="E365" s="84">
        <v>2060</v>
      </c>
      <c r="F365" s="84">
        <v>540</v>
      </c>
      <c r="G365" s="92">
        <v>1270</v>
      </c>
    </row>
    <row r="366" spans="1:7" s="74" customFormat="1">
      <c r="A366" s="84" t="s">
        <v>296</v>
      </c>
      <c r="B366" s="84" t="s">
        <v>2607</v>
      </c>
      <c r="C366" s="84">
        <v>2410</v>
      </c>
      <c r="D366" s="84">
        <v>2370</v>
      </c>
      <c r="E366" s="84">
        <v>2330</v>
      </c>
      <c r="F366" s="84">
        <v>570</v>
      </c>
      <c r="G366" s="92">
        <v>1440</v>
      </c>
    </row>
    <row r="367" spans="1:7" s="74" customFormat="1">
      <c r="A367" s="84" t="s">
        <v>296</v>
      </c>
      <c r="B367" s="84" t="s">
        <v>2608</v>
      </c>
      <c r="C367" s="84">
        <v>2300</v>
      </c>
      <c r="D367" s="84">
        <v>2260</v>
      </c>
      <c r="E367" s="84">
        <v>2220</v>
      </c>
      <c r="F367" s="84">
        <v>560</v>
      </c>
      <c r="G367" s="92">
        <v>1370</v>
      </c>
    </row>
    <row r="368" spans="1:7" s="74" customFormat="1">
      <c r="A368" s="84" t="s">
        <v>296</v>
      </c>
      <c r="B368" s="84" t="s">
        <v>2609</v>
      </c>
      <c r="C368" s="84">
        <v>2430</v>
      </c>
      <c r="D368" s="84">
        <v>2390</v>
      </c>
      <c r="E368" s="84">
        <v>2350</v>
      </c>
      <c r="F368" s="84">
        <v>570</v>
      </c>
      <c r="G368" s="92">
        <v>1450</v>
      </c>
    </row>
    <row r="369" spans="1:7" s="74" customFormat="1">
      <c r="A369" s="84" t="s">
        <v>296</v>
      </c>
      <c r="B369" s="84" t="s">
        <v>2610</v>
      </c>
      <c r="C369" s="84">
        <v>2320</v>
      </c>
      <c r="D369" s="84">
        <v>2290</v>
      </c>
      <c r="E369" s="84">
        <v>2250</v>
      </c>
      <c r="F369" s="84">
        <v>550</v>
      </c>
      <c r="G369" s="92">
        <v>1380</v>
      </c>
    </row>
    <row r="370" spans="1:7" s="74" customFormat="1">
      <c r="A370" s="84" t="s">
        <v>296</v>
      </c>
      <c r="B370" s="84" t="s">
        <v>2611</v>
      </c>
      <c r="C370" s="84">
        <v>2190</v>
      </c>
      <c r="D370" s="84">
        <v>2170</v>
      </c>
      <c r="E370" s="84">
        <v>2130</v>
      </c>
      <c r="F370" s="84">
        <v>530</v>
      </c>
      <c r="G370" s="92">
        <v>1310</v>
      </c>
    </row>
    <row r="371" spans="1:7" s="74" customFormat="1">
      <c r="A371" s="84" t="s">
        <v>296</v>
      </c>
      <c r="B371" s="84" t="s">
        <v>2612</v>
      </c>
      <c r="C371" s="84">
        <v>2460</v>
      </c>
      <c r="D371" s="84">
        <v>2420</v>
      </c>
      <c r="E371" s="84">
        <v>2370</v>
      </c>
      <c r="F371" s="84">
        <v>560</v>
      </c>
      <c r="G371" s="92">
        <v>1470</v>
      </c>
    </row>
    <row r="372" spans="1:7" s="74" customFormat="1">
      <c r="A372" s="84" t="s">
        <v>296</v>
      </c>
      <c r="B372" s="84" t="s">
        <v>2613</v>
      </c>
      <c r="C372" s="84">
        <v>2250</v>
      </c>
      <c r="D372" s="84">
        <v>2210</v>
      </c>
      <c r="E372" s="84">
        <v>2180</v>
      </c>
      <c r="F372" s="84">
        <v>550</v>
      </c>
      <c r="G372" s="92">
        <v>1340</v>
      </c>
    </row>
    <row r="373" spans="1:7" s="74" customFormat="1">
      <c r="A373" s="84" t="s">
        <v>296</v>
      </c>
      <c r="B373" s="84" t="s">
        <v>2614</v>
      </c>
      <c r="C373" s="84">
        <v>2210</v>
      </c>
      <c r="D373" s="84">
        <v>2190</v>
      </c>
      <c r="E373" s="84">
        <v>2150</v>
      </c>
      <c r="F373" s="84">
        <v>530</v>
      </c>
      <c r="G373" s="92">
        <v>1320</v>
      </c>
    </row>
    <row r="374" spans="1:7" s="74" customFormat="1">
      <c r="A374" s="84" t="s">
        <v>296</v>
      </c>
      <c r="B374" s="84" t="s">
        <v>2615</v>
      </c>
      <c r="C374" s="84">
        <v>2320</v>
      </c>
      <c r="D374" s="84">
        <v>2280</v>
      </c>
      <c r="E374" s="84">
        <v>2230</v>
      </c>
      <c r="F374" s="84">
        <v>580</v>
      </c>
      <c r="G374" s="92">
        <v>1380</v>
      </c>
    </row>
    <row r="375" spans="1:7" s="74" customFormat="1">
      <c r="A375" s="84" t="s">
        <v>296</v>
      </c>
      <c r="B375" s="84" t="s">
        <v>2616</v>
      </c>
      <c r="C375" s="84">
        <v>2090</v>
      </c>
      <c r="D375" s="84">
        <v>2050</v>
      </c>
      <c r="E375" s="84">
        <v>2020</v>
      </c>
      <c r="F375" s="84">
        <v>520</v>
      </c>
      <c r="G375" s="92">
        <v>1240</v>
      </c>
    </row>
    <row r="376" spans="1:7" s="74" customFormat="1">
      <c r="A376" s="84" t="s">
        <v>296</v>
      </c>
      <c r="B376" s="84" t="s">
        <v>2617</v>
      </c>
      <c r="C376" s="84">
        <v>2010</v>
      </c>
      <c r="D376" s="84">
        <v>1980</v>
      </c>
      <c r="E376" s="84">
        <v>1940</v>
      </c>
      <c r="F376" s="84">
        <v>540</v>
      </c>
      <c r="G376" s="92">
        <v>1190</v>
      </c>
    </row>
    <row r="377" spans="1:7" s="74" customFormat="1">
      <c r="A377" s="86" t="s">
        <v>296</v>
      </c>
      <c r="B377" s="90" t="s">
        <v>2618</v>
      </c>
      <c r="C377" s="90">
        <v>1930</v>
      </c>
      <c r="D377" s="90">
        <v>1890</v>
      </c>
      <c r="E377" s="90">
        <v>1860</v>
      </c>
      <c r="F377" s="90">
        <v>530</v>
      </c>
      <c r="G377" s="99">
        <v>1150</v>
      </c>
    </row>
    <row r="378" spans="1:7" s="74" customFormat="1">
      <c r="A378" s="100" t="s">
        <v>300</v>
      </c>
      <c r="B378" s="83" t="s">
        <v>2619</v>
      </c>
      <c r="C378" s="83">
        <v>1520</v>
      </c>
      <c r="D378" s="83">
        <v>1490</v>
      </c>
      <c r="E378" s="83">
        <v>1460</v>
      </c>
      <c r="F378" s="83">
        <v>460</v>
      </c>
      <c r="G378" s="91">
        <v>940</v>
      </c>
    </row>
    <row r="379" spans="1:7" s="74" customFormat="1">
      <c r="A379" s="101" t="s">
        <v>300</v>
      </c>
      <c r="B379" s="84" t="s">
        <v>2620</v>
      </c>
      <c r="C379" s="84">
        <v>1500</v>
      </c>
      <c r="D379" s="84">
        <v>1470</v>
      </c>
      <c r="E379" s="84">
        <v>1430</v>
      </c>
      <c r="F379" s="84">
        <v>460</v>
      </c>
      <c r="G379" s="92">
        <v>920</v>
      </c>
    </row>
    <row r="380" spans="1:7" s="74" customFormat="1">
      <c r="A380" s="101" t="s">
        <v>300</v>
      </c>
      <c r="B380" s="84" t="s">
        <v>2621</v>
      </c>
      <c r="C380" s="84">
        <v>1620</v>
      </c>
      <c r="D380" s="84">
        <v>1590</v>
      </c>
      <c r="E380" s="84">
        <v>1560</v>
      </c>
      <c r="F380" s="84">
        <v>480</v>
      </c>
      <c r="G380" s="92">
        <v>1000</v>
      </c>
    </row>
    <row r="381" spans="1:7" s="74" customFormat="1">
      <c r="A381" s="101" t="s">
        <v>300</v>
      </c>
      <c r="B381" s="84" t="s">
        <v>2622</v>
      </c>
      <c r="C381" s="84">
        <v>1460</v>
      </c>
      <c r="D381" s="84">
        <v>1430</v>
      </c>
      <c r="E381" s="84">
        <v>1390</v>
      </c>
      <c r="F381" s="84">
        <v>450</v>
      </c>
      <c r="G381" s="92">
        <v>900</v>
      </c>
    </row>
    <row r="382" spans="1:7" s="74" customFormat="1">
      <c r="A382" s="101" t="s">
        <v>300</v>
      </c>
      <c r="B382" s="84" t="s">
        <v>2623</v>
      </c>
      <c r="C382" s="84">
        <v>1310</v>
      </c>
      <c r="D382" s="84">
        <v>1280</v>
      </c>
      <c r="E382" s="84">
        <v>1250</v>
      </c>
      <c r="F382" s="84">
        <v>440</v>
      </c>
      <c r="G382" s="92">
        <v>800</v>
      </c>
    </row>
    <row r="383" spans="1:7" s="74" customFormat="1">
      <c r="A383" s="101" t="s">
        <v>300</v>
      </c>
      <c r="B383" s="84" t="s">
        <v>2624</v>
      </c>
      <c r="C383" s="84">
        <v>1260</v>
      </c>
      <c r="D383" s="84">
        <v>1230</v>
      </c>
      <c r="E383" s="84">
        <v>1200</v>
      </c>
      <c r="F383" s="84">
        <v>420</v>
      </c>
      <c r="G383" s="92">
        <v>770</v>
      </c>
    </row>
    <row r="384" spans="1:7" s="74" customFormat="1">
      <c r="A384" s="102" t="s">
        <v>300</v>
      </c>
      <c r="B384" s="88" t="s">
        <v>2625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45839</v>
      </c>
      <c r="D1" s="7" t="s">
        <v>2759</v>
      </c>
      <c r="E1" s="9">
        <f>'数据-取费表'!B22</f>
        <v>2</v>
      </c>
      <c r="F1" s="7" t="s">
        <v>2760</v>
      </c>
      <c r="G1" s="10">
        <f ca="1">INDIRECT("d"&amp;$K$1)/100</f>
        <v>0.03</v>
      </c>
      <c r="H1" s="7" t="s">
        <v>2761</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2782</v>
      </c>
      <c r="E12" s="45" t="s">
        <v>2764</v>
      </c>
      <c r="F12" s="45" t="s">
        <v>2765</v>
      </c>
      <c r="G12" s="45" t="s">
        <v>2766</v>
      </c>
      <c r="H12" s="45" t="s">
        <v>2767</v>
      </c>
      <c r="I12" s="59" t="s">
        <v>2783</v>
      </c>
      <c r="J12" s="59" t="s">
        <v>2783</v>
      </c>
      <c r="K12" s="37"/>
      <c r="L12" s="43"/>
      <c r="M12" s="44"/>
      <c r="N12" s="43"/>
      <c r="O12" s="59" t="s">
        <v>2784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2785</v>
      </c>
      <c r="C13" s="48">
        <v>45797</v>
      </c>
      <c r="D13" s="49">
        <v>3</v>
      </c>
      <c r="E13" s="49">
        <v>3</v>
      </c>
      <c r="F13" s="49">
        <f t="shared" ref="F13:F18" si="0">D13</f>
        <v>3</v>
      </c>
      <c r="G13" s="49">
        <f t="shared" ref="G13:G18" si="1">D13</f>
        <v>3</v>
      </c>
      <c r="H13" s="49">
        <v>3.5</v>
      </c>
      <c r="I13" s="49"/>
      <c r="J13" s="49"/>
      <c r="K13" s="46"/>
      <c r="L13" s="47" t="s">
        <v>2785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2786</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2787</v>
      </c>
      <c r="Y42" s="51" t="s">
        <v>2787</v>
      </c>
      <c r="Z42" s="51" t="s">
        <v>2787</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2787</v>
      </c>
      <c r="Y43" s="51" t="s">
        <v>2787</v>
      </c>
      <c r="Z43" s="51" t="s">
        <v>2787</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2787</v>
      </c>
      <c r="Y44" s="51" t="s">
        <v>2787</v>
      </c>
      <c r="Z44" s="51" t="s">
        <v>2787</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2787</v>
      </c>
      <c r="Y45" s="51" t="s">
        <v>2787</v>
      </c>
      <c r="Z45" s="51" t="s">
        <v>2787</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2787</v>
      </c>
      <c r="Y46" s="51" t="s">
        <v>2787</v>
      </c>
      <c r="Z46" s="51" t="s">
        <v>2787</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2787</v>
      </c>
      <c r="Y47" s="51" t="s">
        <v>2787</v>
      </c>
      <c r="Z47" s="51" t="s">
        <v>2787</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2787</v>
      </c>
      <c r="Y48" s="51" t="s">
        <v>2787</v>
      </c>
      <c r="Z48" s="51" t="s">
        <v>2787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2787</v>
      </c>
      <c r="Y49" s="51" t="s">
        <v>2787</v>
      </c>
      <c r="Z49" s="51" t="s">
        <v>2787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2787</v>
      </c>
      <c r="Y50" s="51" t="s">
        <v>2787</v>
      </c>
      <c r="Z50" s="51" t="s">
        <v>2787</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2787</v>
      </c>
      <c r="V51" s="51" t="s">
        <v>2787</v>
      </c>
      <c r="W51" s="51" t="s">
        <v>2787</v>
      </c>
      <c r="X51" s="51" t="s">
        <v>2787</v>
      </c>
      <c r="Y51" s="51" t="s">
        <v>2787</v>
      </c>
      <c r="Z51" s="51" t="s">
        <v>2787</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2787</v>
      </c>
      <c r="J70" s="51" t="s">
        <v>2787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24" t="s">
        <v>114</v>
      </c>
      <c r="B1" s="3224"/>
      <c r="C1" s="3224"/>
      <c r="D1" s="3224"/>
    </row>
    <row r="2" spans="1:4" ht="17.399999999999999">
      <c r="A2" s="3225" t="s">
        <v>115</v>
      </c>
      <c r="B2" s="3225"/>
      <c r="C2" s="3225"/>
      <c r="D2" s="3225"/>
    </row>
    <row r="3" spans="1:4" ht="17.399999999999999">
      <c r="A3" s="3113" t="s">
        <v>116</v>
      </c>
      <c r="B3" s="3113" t="s">
        <v>117</v>
      </c>
      <c r="C3" s="3113" t="s">
        <v>118</v>
      </c>
      <c r="D3" s="3113" t="s">
        <v>119</v>
      </c>
    </row>
    <row r="4" spans="1:4" ht="56.25" customHeight="1">
      <c r="A4" s="3114">
        <f>项目基本情况!B4</f>
        <v>0</v>
      </c>
      <c r="B4" s="3115">
        <f>项目基本情况!C4</f>
        <v>0</v>
      </c>
      <c r="C4" s="3116"/>
      <c r="D4" s="3117" t="s">
        <v>120</v>
      </c>
    </row>
    <row r="5" spans="1:4" ht="56.25" customHeight="1">
      <c r="A5" s="3114">
        <f>项目基本情况!D4</f>
        <v>0</v>
      </c>
      <c r="B5" s="3115">
        <f>项目基本情况!E4</f>
        <v>0</v>
      </c>
      <c r="C5" s="3118"/>
      <c r="D5" s="3117" t="s">
        <v>120</v>
      </c>
    </row>
    <row r="6" spans="1:4" ht="17.399999999999999">
      <c r="A6" s="3225" t="s">
        <v>121</v>
      </c>
      <c r="B6" s="3225"/>
      <c r="C6" s="3225"/>
      <c r="D6" s="3225"/>
    </row>
    <row r="7" spans="1:4" ht="17.399999999999999">
      <c r="A7" s="3113" t="s">
        <v>116</v>
      </c>
      <c r="B7" s="3115" t="s">
        <v>122</v>
      </c>
      <c r="C7" s="3113" t="s">
        <v>118</v>
      </c>
      <c r="D7" s="3113" t="s">
        <v>119</v>
      </c>
    </row>
    <row r="8" spans="1:4" ht="56.25" customHeight="1">
      <c r="A8" s="3119" t="s">
        <v>123</v>
      </c>
      <c r="B8" s="3119" t="s">
        <v>124</v>
      </c>
      <c r="C8" s="3116"/>
      <c r="D8" s="3117" t="s">
        <v>120</v>
      </c>
    </row>
    <row r="10" spans="1:4" ht="17.399999999999999">
      <c r="A10" s="3112" t="s">
        <v>125</v>
      </c>
    </row>
    <row r="11" spans="1:4" ht="30" customHeight="1">
      <c r="A11" s="3226" t="s">
        <v>126</v>
      </c>
      <c r="B11" s="3219"/>
      <c r="C11" s="3219"/>
      <c r="D11" s="3219"/>
    </row>
    <row r="12" spans="1:4" ht="15.6">
      <c r="A12" s="32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2"/>
      <c r="C12" s="3222"/>
      <c r="D12" s="3222"/>
    </row>
    <row r="13" spans="1:4" ht="30" customHeight="1">
      <c r="A13" s="32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2"/>
      <c r="C13" s="3222"/>
      <c r="D13" s="3222"/>
    </row>
    <row r="14" spans="1:4" ht="15.75" customHeight="1">
      <c r="A14" s="3219" t="str">
        <f>IF(项目基本情况!B8="抵押","4.本次评估估价师所知悉的法定优先受偿款情况说明如下：","——")</f>
        <v>4.本次评估估价师所知悉的法定优先受偿款情况说明如下：</v>
      </c>
      <c r="B14" s="3222"/>
      <c r="C14" s="3222"/>
      <c r="D14" s="3222"/>
    </row>
    <row r="15" spans="1:4" ht="42" customHeight="1">
      <c r="A15" s="321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9"/>
      <c r="C15" s="3219"/>
      <c r="D15" s="3219"/>
    </row>
    <row r="16" spans="1:4" ht="30" customHeight="1">
      <c r="A16" s="3223" t="s">
        <v>127</v>
      </c>
      <c r="B16" s="3223"/>
      <c r="C16" s="3223"/>
      <c r="D16" s="3223"/>
    </row>
    <row r="17" spans="1:4" ht="144" customHeight="1">
      <c r="A17" s="3223" t="s">
        <v>128</v>
      </c>
      <c r="B17" s="3223"/>
      <c r="C17" s="3223"/>
      <c r="D17" s="3223"/>
    </row>
    <row r="18" spans="1:4" ht="15.75" customHeight="1">
      <c r="A18" s="3219" t="str">
        <f>IF(项目基本情况!B8="抵押",结果表110!K120,"——")</f>
        <v>故，本次评估不存在估价师知悉的法定优先受偿款</v>
      </c>
      <c r="B18" s="3219"/>
      <c r="C18" s="3219"/>
      <c r="D18" s="3219"/>
    </row>
    <row r="19" spans="1:4" ht="46.5" customHeight="1">
      <c r="A19" s="32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9"/>
      <c r="C19" s="3219"/>
      <c r="D19" s="3219"/>
    </row>
    <row r="20" spans="1:4" ht="57.75" customHeight="1">
      <c r="A20" s="3219" t="str">
        <f>IF(结果表110!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9"/>
      <c r="C20" s="3219"/>
      <c r="D20" s="3219"/>
    </row>
    <row r="21" spans="1:4" ht="57.75" customHeight="1">
      <c r="A21" s="3220" t="str">
        <f>IF(结果表110!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0"/>
      <c r="C21" s="3220"/>
      <c r="D21" s="3220"/>
    </row>
    <row r="22" spans="1:4" ht="18.75" customHeight="1">
      <c r="A22" s="3221" t="s">
        <v>129</v>
      </c>
      <c r="B22" s="3221"/>
      <c r="C22" s="3221"/>
      <c r="D22" s="3221"/>
    </row>
    <row r="23" spans="1:4">
      <c r="A23" s="3120"/>
      <c r="B23" s="1400"/>
      <c r="C23" s="1400"/>
      <c r="D23" s="1400"/>
    </row>
    <row r="24" spans="1:4">
      <c r="A24" s="3120"/>
      <c r="B24" s="1400"/>
      <c r="C24" s="1400"/>
      <c r="D24" s="1400"/>
    </row>
    <row r="25" spans="1:4" ht="17.399999999999999">
      <c r="A25" s="3121" t="s">
        <v>130</v>
      </c>
    </row>
    <row r="26" spans="1:4" ht="17.399999999999999">
      <c r="A26" s="3122"/>
    </row>
    <row r="27" spans="1:4" ht="17.399999999999999">
      <c r="A27" s="3122" t="s">
        <v>131</v>
      </c>
    </row>
    <row r="30" spans="1:4" ht="17.399999999999999">
      <c r="D30" s="3121" t="s">
        <v>132</v>
      </c>
    </row>
    <row r="31" spans="1:4" ht="13.5" customHeight="1">
      <c r="C31" s="3218">
        <v>42551</v>
      </c>
      <c r="D31" s="32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109" customWidth="1"/>
    <col min="3" max="10" width="12.44140625" style="3109" customWidth="1"/>
    <col min="11" max="16384" width="9" style="3109"/>
  </cols>
  <sheetData>
    <row r="1" spans="1:1" ht="17.399999999999999">
      <c r="A1" s="3110" t="s">
        <v>133</v>
      </c>
    </row>
    <row r="2" spans="1:1" ht="17.399999999999999">
      <c r="A2" s="311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2" customWidth="1"/>
    <col min="2" max="16384" width="14.44140625" style="262"/>
  </cols>
  <sheetData>
    <row r="1" spans="1:7" s="3091" customFormat="1" ht="17.399999999999999">
      <c r="A1" s="3093" t="s">
        <v>134</v>
      </c>
    </row>
    <row r="3" spans="1:7">
      <c r="A3" s="3094" t="s">
        <v>135</v>
      </c>
      <c r="B3" s="262" t="s">
        <v>136</v>
      </c>
      <c r="G3" s="3095"/>
    </row>
    <row r="4" spans="1:7">
      <c r="G4" s="3095"/>
    </row>
    <row r="5" spans="1:7">
      <c r="A5" s="3096" t="s">
        <v>137</v>
      </c>
      <c r="B5" s="262" t="s">
        <v>138</v>
      </c>
      <c r="G5" s="3095"/>
    </row>
    <row r="6" spans="1:7">
      <c r="G6" s="3095"/>
    </row>
    <row r="7" spans="1:7">
      <c r="A7" s="3097" t="s">
        <v>139</v>
      </c>
      <c r="B7" s="262" t="s">
        <v>140</v>
      </c>
      <c r="G7" s="3095"/>
    </row>
    <row r="8" spans="1:7">
      <c r="G8" s="3095"/>
    </row>
    <row r="9" spans="1:7">
      <c r="A9" s="3098" t="s">
        <v>141</v>
      </c>
      <c r="B9" s="262" t="s">
        <v>142</v>
      </c>
    </row>
    <row r="11" spans="1:7">
      <c r="A11" s="3099" t="s">
        <v>143</v>
      </c>
      <c r="B11" s="3100" t="s">
        <v>144</v>
      </c>
    </row>
    <row r="13" spans="1:7">
      <c r="A13" s="3101" t="s">
        <v>145</v>
      </c>
    </row>
    <row r="15" spans="1:7" ht="14.4">
      <c r="A15" s="3229" t="s">
        <v>146</v>
      </c>
      <c r="B15" s="3234" t="s">
        <v>147</v>
      </c>
      <c r="C15" s="3228"/>
    </row>
    <row r="16" spans="1:7" ht="14.4">
      <c r="A16" s="3230"/>
      <c r="B16" s="3234" t="s">
        <v>148</v>
      </c>
      <c r="C16" s="3228"/>
    </row>
    <row r="17" spans="1:3" ht="14.4">
      <c r="A17" s="3230"/>
      <c r="B17" s="3233" t="s">
        <v>149</v>
      </c>
      <c r="C17" s="3102" t="s">
        <v>146</v>
      </c>
    </row>
    <row r="18" spans="1:3" ht="14.4">
      <c r="A18" s="3230"/>
      <c r="B18" s="3233"/>
      <c r="C18" s="3102" t="s">
        <v>150</v>
      </c>
    </row>
    <row r="19" spans="1:3" ht="14.4">
      <c r="A19" s="3230"/>
      <c r="B19" s="3233"/>
      <c r="C19" s="3102" t="s">
        <v>151</v>
      </c>
    </row>
    <row r="20" spans="1:3" ht="14.4">
      <c r="A20" s="3231"/>
      <c r="B20" s="3227" t="s">
        <v>152</v>
      </c>
      <c r="C20" s="3228"/>
    </row>
    <row r="21" spans="1:3" ht="14.4">
      <c r="A21" s="3103" t="s">
        <v>153</v>
      </c>
      <c r="B21" s="3104"/>
      <c r="C21" s="3105"/>
    </row>
    <row r="22" spans="1:3" ht="14.4">
      <c r="A22" s="3232" t="s">
        <v>154</v>
      </c>
      <c r="B22" s="3227" t="s">
        <v>155</v>
      </c>
      <c r="C22" s="3228"/>
    </row>
    <row r="23" spans="1:3" ht="14.4">
      <c r="A23" s="3232"/>
      <c r="B23" s="3227" t="s">
        <v>156</v>
      </c>
      <c r="C23" s="3228"/>
    </row>
    <row r="24" spans="1:3" ht="14.4">
      <c r="A24" s="3232"/>
      <c r="B24" s="3227" t="s">
        <v>157</v>
      </c>
      <c r="C24" s="3228"/>
    </row>
    <row r="25" spans="1:3" ht="14.4">
      <c r="A25" s="3232"/>
      <c r="B25" s="3233" t="s">
        <v>158</v>
      </c>
      <c r="C25" s="3102" t="s">
        <v>159</v>
      </c>
    </row>
    <row r="26" spans="1:3" ht="14.4">
      <c r="A26" s="3232"/>
      <c r="B26" s="3233"/>
      <c r="C26" s="3102" t="s">
        <v>160</v>
      </c>
    </row>
    <row r="27" spans="1:3" ht="14.4">
      <c r="A27" s="3232"/>
      <c r="B27" s="3233"/>
      <c r="C27" s="3102" t="s">
        <v>161</v>
      </c>
    </row>
    <row r="28" spans="1:3" ht="14.4">
      <c r="A28" s="3232"/>
      <c r="B28" s="3233"/>
      <c r="C28" s="3102" t="s">
        <v>162</v>
      </c>
    </row>
    <row r="29" spans="1:3" ht="14.4">
      <c r="A29" s="3232"/>
      <c r="B29" s="3233"/>
      <c r="C29" s="3102" t="s">
        <v>163</v>
      </c>
    </row>
    <row r="30" spans="1:3" ht="14.4">
      <c r="A30" s="3232"/>
      <c r="B30" s="3233"/>
      <c r="C30" s="3102" t="s">
        <v>164</v>
      </c>
    </row>
    <row r="31" spans="1:3" ht="14.4">
      <c r="A31" s="3232"/>
      <c r="B31" s="3233"/>
      <c r="C31" s="3102" t="s">
        <v>165</v>
      </c>
    </row>
    <row r="32" spans="1:3" ht="14.4">
      <c r="A32" s="3232"/>
      <c r="B32" s="3233"/>
      <c r="C32" s="3102" t="s">
        <v>166</v>
      </c>
    </row>
    <row r="33" spans="1:3" ht="14.4">
      <c r="A33" s="3232"/>
      <c r="B33" s="3233"/>
      <c r="C33" s="3102" t="s">
        <v>167</v>
      </c>
    </row>
    <row r="34" spans="1:3">
      <c r="A34" s="3106" t="s">
        <v>168</v>
      </c>
    </row>
    <row r="37" spans="1:3">
      <c r="A37" s="3106" t="s">
        <v>169</v>
      </c>
    </row>
    <row r="38" spans="1:3" ht="14.4">
      <c r="A38" s="3107" t="s">
        <v>170</v>
      </c>
    </row>
    <row r="39" spans="1:3" ht="14.4">
      <c r="A39" s="3107" t="s">
        <v>171</v>
      </c>
    </row>
    <row r="40" spans="1:3" ht="14.4">
      <c r="A40" s="3107" t="s">
        <v>172</v>
      </c>
    </row>
    <row r="41" spans="1:3" ht="14.4">
      <c r="A41" s="3108" t="s">
        <v>173</v>
      </c>
    </row>
    <row r="42" spans="1:3" ht="14.4">
      <c r="A42" s="310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4" customWidth="1"/>
    <col min="2" max="2" width="38.6640625" style="3064" customWidth="1"/>
    <col min="3" max="3" width="26" style="3064" customWidth="1"/>
    <col min="4" max="4" width="35" style="3064" hidden="1" customWidth="1"/>
    <col min="5" max="5" width="30.109375" style="3064" customWidth="1"/>
    <col min="6" max="6" width="35.44140625" style="3064" customWidth="1"/>
    <col min="7" max="7" width="31" style="3064" customWidth="1"/>
    <col min="8" max="8" width="37.44140625" style="3064" hidden="1" customWidth="1"/>
    <col min="9" max="16384" width="22.6640625" style="3064"/>
  </cols>
  <sheetData>
    <row r="1" spans="1:8" ht="24" customHeight="1">
      <c r="A1" s="3065"/>
      <c r="B1" s="3065"/>
      <c r="C1" s="3065"/>
      <c r="D1" s="3065"/>
      <c r="E1" s="3065"/>
      <c r="F1" s="3065"/>
      <c r="G1" s="3065"/>
      <c r="H1" s="3065"/>
    </row>
    <row r="2" spans="1:8" ht="24" customHeight="1">
      <c r="A2" s="3066" t="s">
        <v>175</v>
      </c>
      <c r="B2" s="3067">
        <f ca="1">TODAY()</f>
        <v>45852</v>
      </c>
      <c r="C2" s="3068" t="s">
        <v>176</v>
      </c>
      <c r="D2" s="3068"/>
      <c r="E2" s="3068"/>
      <c r="F2" s="3065"/>
      <c r="G2" s="3065"/>
      <c r="H2" s="3065"/>
    </row>
    <row r="3" spans="1:8" ht="24" customHeight="1">
      <c r="A3" s="3069" t="s">
        <v>177</v>
      </c>
      <c r="B3" s="3070" t="s">
        <v>178</v>
      </c>
      <c r="C3" s="3070" t="s">
        <v>179</v>
      </c>
      <c r="D3" s="3071" t="s">
        <v>180</v>
      </c>
      <c r="E3" s="3072" t="s">
        <v>181</v>
      </c>
      <c r="F3" s="3070" t="s">
        <v>182</v>
      </c>
      <c r="G3" s="3070" t="s">
        <v>179</v>
      </c>
      <c r="H3" s="3071" t="s">
        <v>183</v>
      </c>
    </row>
    <row r="4" spans="1:8" ht="24" customHeight="1">
      <c r="A4" s="3070" t="s">
        <v>184</v>
      </c>
      <c r="B4" s="3070">
        <f ca="1">IF(C4&lt;B2,"已过期",1119970066)</f>
        <v>1119970066</v>
      </c>
      <c r="C4" s="3073">
        <v>45937</v>
      </c>
      <c r="D4" s="3074" t="str">
        <f ca="1">A4&amp;"（注册号："&amp;B4&amp;"）"</f>
        <v>梁津（注册号：1119970066）</v>
      </c>
      <c r="E4" s="3075" t="s">
        <v>184</v>
      </c>
      <c r="F4" s="3070">
        <f ca="1">IF(G4&lt;B2,"已过期",96010014)</f>
        <v>96010014</v>
      </c>
      <c r="G4" s="3076">
        <v>47118</v>
      </c>
      <c r="H4" s="3077" t="str">
        <f ca="1">E4&amp;"（注册号："&amp;F4&amp;"）"</f>
        <v>梁津（注册号：96010014）</v>
      </c>
    </row>
    <row r="5" spans="1:8" ht="24" customHeight="1">
      <c r="A5" s="3070" t="s">
        <v>185</v>
      </c>
      <c r="B5" s="3070">
        <f ca="1">IF(C5&lt;B2,"已过期",1119970111)</f>
        <v>1119970111</v>
      </c>
      <c r="C5" s="3073">
        <v>45937</v>
      </c>
      <c r="D5" s="3074" t="str">
        <f t="shared" ref="D5:D16" ca="1" si="0">A5&amp;"（注册号："&amp;B5&amp;"）"</f>
        <v>叶凌（注册号：1119970111）</v>
      </c>
      <c r="E5" s="3075" t="s">
        <v>185</v>
      </c>
      <c r="F5" s="3070">
        <f ca="1">IF(G5&lt;B2,"已过期",94010078)</f>
        <v>94010078</v>
      </c>
      <c r="G5" s="3076">
        <v>46387</v>
      </c>
      <c r="H5" s="3077" t="str">
        <f t="shared" ref="H5:H16" ca="1" si="1">E5&amp;"（注册号："&amp;F5&amp;"）"</f>
        <v>叶凌（注册号：94010078）</v>
      </c>
    </row>
    <row r="6" spans="1:8" ht="24" customHeight="1">
      <c r="A6" s="3070" t="s">
        <v>186</v>
      </c>
      <c r="B6" s="3070" t="str">
        <f ca="1">IF(C6&lt;B2,"已过期",1120050019)</f>
        <v>已过期</v>
      </c>
      <c r="C6" s="3073">
        <v>45410</v>
      </c>
      <c r="D6" s="3074" t="str">
        <f t="shared" ca="1" si="0"/>
        <v>王鹏（注册号：已过期）</v>
      </c>
      <c r="E6" s="3075" t="s">
        <v>186</v>
      </c>
      <c r="F6" s="3070">
        <f ca="1">IF(G6&lt;B2,"已过期",2002110030)</f>
        <v>2002110030</v>
      </c>
      <c r="G6" s="3076">
        <v>46387</v>
      </c>
      <c r="H6" s="3077" t="str">
        <f t="shared" ca="1" si="1"/>
        <v>王鹏（注册号：2002110030）</v>
      </c>
    </row>
    <row r="7" spans="1:8" ht="24" customHeight="1">
      <c r="A7" s="3070" t="s">
        <v>187</v>
      </c>
      <c r="B7" s="3070">
        <f ca="1">IF(C7&lt;B2,"已过期",1120000080)</f>
        <v>1120000080</v>
      </c>
      <c r="C7" s="3073">
        <v>45937</v>
      </c>
      <c r="D7" s="3074" t="str">
        <f t="shared" ca="1" si="0"/>
        <v>欧红伟（注册号：1120000080）</v>
      </c>
      <c r="E7" s="3075" t="s">
        <v>187</v>
      </c>
      <c r="F7" s="3070">
        <f ca="1">IF(G7&lt;B2,"已过期",2000110082)</f>
        <v>2000110082</v>
      </c>
      <c r="G7" s="3076">
        <v>46387</v>
      </c>
      <c r="H7" s="3077" t="str">
        <f t="shared" ca="1" si="1"/>
        <v>欧红伟（注册号：2000110082）</v>
      </c>
    </row>
    <row r="8" spans="1:8" ht="24" customHeight="1">
      <c r="A8" s="3070" t="s">
        <v>188</v>
      </c>
      <c r="B8" s="3070">
        <f ca="1">IF(C8&lt;B2,"已过期",1419970001)</f>
        <v>1419970001</v>
      </c>
      <c r="C8" s="3073">
        <v>45937</v>
      </c>
      <c r="D8" s="3074" t="str">
        <f t="shared" ca="1" si="0"/>
        <v>吴薇（注册号：1419970001）</v>
      </c>
      <c r="E8" s="3075" t="s">
        <v>188</v>
      </c>
      <c r="F8" s="3070">
        <f ca="1">IF(G8&lt;B2,"已过期",2002110125)</f>
        <v>2002110125</v>
      </c>
      <c r="G8" s="3076">
        <v>47118</v>
      </c>
      <c r="H8" s="3077" t="str">
        <f t="shared" ca="1" si="1"/>
        <v>吴薇（注册号：2002110125）</v>
      </c>
    </row>
    <row r="9" spans="1:8" ht="24" customHeight="1">
      <c r="A9" s="3070" t="s">
        <v>189</v>
      </c>
      <c r="B9" s="3070" t="str">
        <f ca="1">IF(C9&lt;B2,"已过期",1120060040)</f>
        <v>已过期</v>
      </c>
      <c r="C9" s="3078">
        <v>45592</v>
      </c>
      <c r="D9" s="3074" t="str">
        <f t="shared" ca="1" si="0"/>
        <v>陈颖（注册号：已过期）</v>
      </c>
      <c r="E9" s="3075" t="s">
        <v>189</v>
      </c>
      <c r="F9" s="3070">
        <f ca="1">IF(G9&lt;B2,"已过期",2004110096)</f>
        <v>2004110096</v>
      </c>
      <c r="G9" s="3076">
        <v>47118</v>
      </c>
      <c r="H9" s="3077" t="str">
        <f t="shared" ca="1" si="1"/>
        <v>陈颖（注册号：2004110096）</v>
      </c>
    </row>
    <row r="10" spans="1:8" ht="24" customHeight="1">
      <c r="A10" s="3070" t="s">
        <v>190</v>
      </c>
      <c r="B10" s="3070" t="str">
        <f ca="1">IF(C10&lt;B2,"已过期",1120100036)</f>
        <v>已过期</v>
      </c>
      <c r="C10" s="3078">
        <v>45752</v>
      </c>
      <c r="D10" s="3074" t="str">
        <f t="shared" ca="1" si="0"/>
        <v>崔锴（注册号：已过期）</v>
      </c>
      <c r="E10" s="3075" t="s">
        <v>190</v>
      </c>
      <c r="F10" s="3070">
        <f ca="1">IF(G10&lt;B2,"已过期",2010110070)</f>
        <v>2010110070</v>
      </c>
      <c r="G10" s="3076">
        <v>47907</v>
      </c>
      <c r="H10" s="3077" t="str">
        <f t="shared" ca="1" si="1"/>
        <v>崔锴（注册号：2010110070）</v>
      </c>
    </row>
    <row r="11" spans="1:8" ht="24" customHeight="1">
      <c r="A11" s="3070" t="s">
        <v>191</v>
      </c>
      <c r="B11" s="3070">
        <f ca="1">IF(C11&lt;B2,"已过期",1120070131)</f>
        <v>1120070131</v>
      </c>
      <c r="C11" s="3073">
        <v>45937</v>
      </c>
      <c r="D11" s="3074" t="str">
        <f t="shared" ca="1" si="0"/>
        <v>郑燚（注册号：1120070131）</v>
      </c>
      <c r="E11" s="3075" t="s">
        <v>191</v>
      </c>
      <c r="F11" s="3070">
        <f ca="1">IF(G11&lt;B2,"已过期",2014110011)</f>
        <v>2014110011</v>
      </c>
      <c r="G11" s="3076">
        <v>49302</v>
      </c>
      <c r="H11" s="3077" t="str">
        <f t="shared" ca="1" si="1"/>
        <v>郑燚（注册号：2014110011）</v>
      </c>
    </row>
    <row r="12" spans="1:8" ht="24" customHeight="1">
      <c r="A12" s="3070" t="s">
        <v>192</v>
      </c>
      <c r="B12" s="3070">
        <f ca="1">IF(C12&lt;B2,"已过期",1120040230)</f>
        <v>1120040230</v>
      </c>
      <c r="C12" s="3078">
        <v>45937</v>
      </c>
      <c r="D12" s="3074" t="str">
        <f t="shared" ca="1" si="0"/>
        <v>苏海（注册号：1120040230）</v>
      </c>
      <c r="E12" s="3075" t="s">
        <v>192</v>
      </c>
      <c r="F12" s="3070">
        <f ca="1">IF(G12&lt;B2,"已过期",98030020)</f>
        <v>98030020</v>
      </c>
      <c r="G12" s="3076">
        <v>47118</v>
      </c>
      <c r="H12" s="3077" t="str">
        <f t="shared" ca="1" si="1"/>
        <v>苏海（注册号：98030020）</v>
      </c>
    </row>
    <row r="13" spans="1:8" ht="24" customHeight="1">
      <c r="A13" s="3070" t="s">
        <v>193</v>
      </c>
      <c r="B13" s="3070" t="str">
        <f ca="1">IF(C13&lt;B2,"已过期",1120020033)</f>
        <v>已过期</v>
      </c>
      <c r="C13" s="3073">
        <v>45375</v>
      </c>
      <c r="D13" s="3074" t="str">
        <f t="shared" ca="1" si="0"/>
        <v>刘敬东（注册号：已过期）</v>
      </c>
      <c r="E13" s="3075" t="s">
        <v>193</v>
      </c>
      <c r="F13" s="3070">
        <f ca="1">IF(G13&lt;B2,"已过期",2000110137)</f>
        <v>2000110137</v>
      </c>
      <c r="G13" s="3076">
        <v>46387</v>
      </c>
      <c r="H13" s="3077" t="str">
        <f t="shared" ca="1" si="1"/>
        <v>刘敬东（注册号：2000110137）</v>
      </c>
    </row>
    <row r="14" spans="1:8" ht="24" customHeight="1">
      <c r="A14" s="3070" t="s">
        <v>194</v>
      </c>
      <c r="B14" s="3070" t="str">
        <f ca="1">IF(C14&lt;B2,"已过期",1119980106)</f>
        <v>已过期</v>
      </c>
      <c r="C14" s="3078">
        <v>44969</v>
      </c>
      <c r="D14" s="3074" t="str">
        <f t="shared" ca="1" si="0"/>
        <v>刘俊财（注册号：已过期）</v>
      </c>
      <c r="E14" s="3075" t="s">
        <v>194</v>
      </c>
      <c r="F14" s="3070">
        <f ca="1">IF(G14&lt;B2,"已过期",96010063)</f>
        <v>96010063</v>
      </c>
      <c r="G14" s="3076">
        <v>47483</v>
      </c>
      <c r="H14" s="3077" t="str">
        <f t="shared" ca="1" si="1"/>
        <v>刘俊财（注册号：96010063）</v>
      </c>
    </row>
    <row r="15" spans="1:8" ht="24" customHeight="1">
      <c r="A15" s="3070" t="s">
        <v>195</v>
      </c>
      <c r="B15" s="3070">
        <v>1120210056</v>
      </c>
      <c r="C15" s="3078">
        <v>45410</v>
      </c>
      <c r="D15" s="3074" t="str">
        <f t="shared" si="0"/>
        <v>宁小鳗（注册号：1120210056）</v>
      </c>
      <c r="E15" s="3075" t="s">
        <v>196</v>
      </c>
      <c r="F15" s="3070">
        <f ca="1">IF(G15&lt;B2,"已过期",2011110090)</f>
        <v>2011110090</v>
      </c>
      <c r="G15" s="3076">
        <v>48302</v>
      </c>
      <c r="H15" s="3077" t="str">
        <f t="shared" ca="1" si="1"/>
        <v>赵雯（注册号：2011110090）</v>
      </c>
    </row>
    <row r="16" spans="1:8" ht="24" customHeight="1">
      <c r="A16" s="3070"/>
      <c r="B16" s="3070"/>
      <c r="C16" s="3070"/>
      <c r="D16" s="3074" t="str">
        <f t="shared" si="0"/>
        <v>（注册号：）</v>
      </c>
      <c r="E16" s="3075"/>
      <c r="F16" s="3070"/>
      <c r="G16" s="3070"/>
      <c r="H16" s="3079" t="str">
        <f t="shared" si="1"/>
        <v>（注册号：）</v>
      </c>
    </row>
    <row r="17" spans="1:8" ht="24" customHeight="1">
      <c r="A17" s="3235" t="s">
        <v>197</v>
      </c>
      <c r="B17" s="3235"/>
      <c r="C17" s="3235"/>
      <c r="D17" s="3235"/>
      <c r="E17" s="3235"/>
      <c r="F17" s="3235"/>
      <c r="G17" s="3235"/>
      <c r="H17" s="3235"/>
    </row>
    <row r="18" spans="1:8" ht="24" customHeight="1">
      <c r="A18" s="3236" t="s">
        <v>198</v>
      </c>
      <c r="B18" s="3236"/>
      <c r="C18" s="3236"/>
      <c r="D18" s="3071"/>
      <c r="E18" s="3237" t="s">
        <v>199</v>
      </c>
      <c r="F18" s="3236"/>
      <c r="G18" s="3236"/>
    </row>
    <row r="19" spans="1:8" s="3063" customFormat="1" ht="24" customHeight="1">
      <c r="A19" s="3080" t="s">
        <v>200</v>
      </c>
      <c r="B19" s="3070" t="s">
        <v>201</v>
      </c>
      <c r="C19" s="3070" t="s">
        <v>179</v>
      </c>
      <c r="D19" s="3071"/>
      <c r="E19" s="3075" t="s">
        <v>200</v>
      </c>
      <c r="F19" s="3070" t="s">
        <v>201</v>
      </c>
      <c r="G19" s="3070" t="s">
        <v>179</v>
      </c>
    </row>
    <row r="20" spans="1:8" s="3063" customFormat="1" ht="24" customHeight="1">
      <c r="A20" s="3081" t="s">
        <v>202</v>
      </c>
      <c r="B20" s="3081" t="s">
        <v>203</v>
      </c>
      <c r="C20" s="3076">
        <v>45898</v>
      </c>
      <c r="D20" s="3082"/>
      <c r="E20" s="3083" t="s">
        <v>204</v>
      </c>
      <c r="F20" s="3084" t="s">
        <v>205</v>
      </c>
      <c r="G20" s="3085">
        <v>44926</v>
      </c>
    </row>
    <row r="21" spans="1:8" s="3063" customFormat="1" ht="24" customHeight="1">
      <c r="A21" s="3081"/>
      <c r="B21" s="3081"/>
      <c r="C21" s="3086"/>
      <c r="D21" s="3087"/>
      <c r="E21" s="3083"/>
      <c r="F21" s="3084"/>
      <c r="G21" s="3085"/>
    </row>
    <row r="22" spans="1:8" ht="24" customHeight="1">
      <c r="C22" s="3088"/>
      <c r="D22" s="3088"/>
      <c r="E22" s="3089"/>
      <c r="G22" s="3090"/>
    </row>
  </sheetData>
  <sheetProtection password="CEE9" sheet="1" objects="1" scenarios="1"/>
  <mergeCells count="3">
    <mergeCell ref="A17:H17"/>
    <mergeCell ref="A18:C18"/>
    <mergeCell ref="E18:G18"/>
  </mergeCells>
  <phoneticPr fontId="225" type="noConversion"/>
  <conditionalFormatting sqref="A16:C16">
    <cfRule type="cellIs" dxfId="216" priority="32" stopIfTrue="1" operator="equal">
      <formula>"已过期"</formula>
    </cfRule>
  </conditionalFormatting>
  <conditionalFormatting sqref="B4:B15">
    <cfRule type="cellIs" dxfId="215" priority="4" stopIfTrue="1" operator="equal">
      <formula>"已过期"</formula>
    </cfRule>
  </conditionalFormatting>
  <conditionalFormatting sqref="C7:C12">
    <cfRule type="expression" dxfId="214" priority="22">
      <formula>AND($C7-TODAY()&lt;30,TODAY()&lt;$C7)</formula>
    </cfRule>
    <cfRule type="cellIs" dxfId="213" priority="23" stopIfTrue="1" operator="lessThan">
      <formula>$B$2</formula>
    </cfRule>
  </conditionalFormatting>
  <conditionalFormatting sqref="C14:C15">
    <cfRule type="expression" dxfId="212" priority="7">
      <formula>AND($C14-TODAY()&lt;30,TODAY()&lt;$C14)</formula>
    </cfRule>
    <cfRule type="cellIs" dxfId="211" priority="8" stopIfTrue="1" operator="lessThan">
      <formula>$B$2</formula>
    </cfRule>
  </conditionalFormatting>
  <conditionalFormatting sqref="C4:D6 D14">
    <cfRule type="cellIs" dxfId="210" priority="50" stopIfTrue="1" operator="lessThan">
      <formula>$B$2</formula>
    </cfRule>
  </conditionalFormatting>
  <conditionalFormatting sqref="C12:D13">
    <cfRule type="expression" dxfId="209" priority="47">
      <formula>AND($C12-TODAY()&lt;30,TODAY()&lt;$C12)</formula>
    </cfRule>
  </conditionalFormatting>
  <conditionalFormatting sqref="C13:D14">
    <cfRule type="expression" dxfId="208" priority="18">
      <formula>AND($C13-TODAY()&lt;30,TODAY()&lt;$C13)</formula>
    </cfRule>
    <cfRule type="cellIs" dxfId="207" priority="19" stopIfTrue="1" operator="lessThan">
      <formula>$B$2</formula>
    </cfRule>
  </conditionalFormatting>
  <conditionalFormatting sqref="C15:D15">
    <cfRule type="expression" dxfId="206" priority="5">
      <formula>AND($C15-TODAY()&lt;30,TODAY()&lt;$C15)</formula>
    </cfRule>
    <cfRule type="cellIs" dxfId="205" priority="6" stopIfTrue="1" operator="lessThan">
      <formula>$B$2</formula>
    </cfRule>
  </conditionalFormatting>
  <conditionalFormatting sqref="C20:D20 C13:D13">
    <cfRule type="cellIs" dxfId="204" priority="54" stopIfTrue="1" operator="lessThan">
      <formula>$B$2</formula>
    </cfRule>
  </conditionalFormatting>
  <conditionalFormatting sqref="C20:D20">
    <cfRule type="expression" dxfId="203" priority="52">
      <formula>AND($C20-TODAY()&lt;30,TODAY()&lt;$C20)</formula>
    </cfRule>
  </conditionalFormatting>
  <conditionalFormatting sqref="D7:D12 D16">
    <cfRule type="expression" dxfId="202" priority="53">
      <formula>AND($C7-TODAY()&lt;30,TODAY()&lt;$C7)</formula>
    </cfRule>
  </conditionalFormatting>
  <conditionalFormatting sqref="D7:D12">
    <cfRule type="cellIs" dxfId="201" priority="48" stopIfTrue="1" operator="lessThan">
      <formula>$B$2</formula>
    </cfRule>
  </conditionalFormatting>
  <conditionalFormatting sqref="D14 C4:D6">
    <cfRule type="expression" dxfId="200" priority="49">
      <formula>AND($C4-TODAY()&lt;30,TODAY()&lt;$C4)</formula>
    </cfRule>
  </conditionalFormatting>
  <conditionalFormatting sqref="D15:D16">
    <cfRule type="expression" dxfId="199" priority="12">
      <formula>AND($C15-TODAY()&lt;30,TODAY()&lt;$C15)</formula>
    </cfRule>
    <cfRule type="cellIs" dxfId="198" priority="13" stopIfTrue="1" operator="lessThan">
      <formula>$B$2</formula>
    </cfRule>
  </conditionalFormatting>
  <conditionalFormatting sqref="E16:G16">
    <cfRule type="cellIs" dxfId="197" priority="31" stopIfTrue="1" operator="equal">
      <formula>"已过期"</formula>
    </cfRule>
  </conditionalFormatting>
  <conditionalFormatting sqref="F4:F15">
    <cfRule type="cellIs" dxfId="196" priority="9" stopIfTrue="1" operator="equal">
      <formula>"已过期"</formula>
    </cfRule>
  </conditionalFormatting>
  <conditionalFormatting sqref="G4:G15">
    <cfRule type="cellIs" dxfId="195" priority="3" stopIfTrue="1" operator="lessThan">
      <formula>$B$2</formula>
    </cfRule>
  </conditionalFormatting>
  <conditionalFormatting sqref="G20:G21">
    <cfRule type="expression" dxfId="194" priority="1" stopIfTrue="1">
      <formula>AND(#REF!-TODAY()&lt;30,TODAY()&lt;#REF!)</formula>
    </cfRule>
    <cfRule type="cellIs" dxfId="193"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结果表110</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结果表111</vt:lpstr>
      <vt:lpstr>比较法-商业2</vt:lpstr>
      <vt:lpstr>收益法2</vt:lpstr>
      <vt:lpstr>结果表112</vt:lpstr>
      <vt:lpstr>比较法-商业3</vt:lpstr>
      <vt:lpstr>收益法3</vt:lpstr>
      <vt:lpstr>一手房成交</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结果表110!Print_Area</vt:lpstr>
      <vt:lpstr>结果表111!Print_Area</vt:lpstr>
      <vt:lpstr>结果表112!Print_Area</vt:lpstr>
      <vt:lpstr>收益法!Print_Area</vt:lpstr>
      <vt:lpstr>'收益法 (元)'!Print_Area</vt:lpstr>
      <vt:lpstr>'收益法（汇总）'!Print_Area</vt:lpstr>
      <vt:lpstr>收益法2!Print_Area</vt:lpstr>
      <vt:lpstr>收益法3!Print_Area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2025-07-14T08:11:35Z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