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3" sheetId="80" state="hidden" r:id="rId45"/>
    <sheet name="Sheet1" sheetId="78" r:id="rId46"/>
    <sheet name="土地案例" sheetId="79"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6" i="74" l="1"/>
  <c r="D16" i="74"/>
  <c r="C16" i="74"/>
  <c r="B16" i="74"/>
  <c r="G15" i="74"/>
  <c r="D15" i="74"/>
  <c r="B15" i="74"/>
  <c r="C15" i="74"/>
  <c r="L30" i="9"/>
  <c r="L31" i="9"/>
  <c r="L33" i="9"/>
  <c r="K30" i="9"/>
  <c r="K31" i="9"/>
  <c r="K33" i="9"/>
  <c r="K32" i="9"/>
  <c r="L32" i="9"/>
  <c r="C118" i="9"/>
  <c r="B118" i="9"/>
  <c r="C88" i="9"/>
  <c r="C6" i="69"/>
  <c r="K26" i="9"/>
  <c r="L27" i="9"/>
  <c r="L24" i="9"/>
  <c r="L23" i="9"/>
  <c r="C14" i="74"/>
  <c r="B14" i="74"/>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c r="M6" i="78"/>
  <c r="M5" i="78"/>
  <c r="M4" i="78"/>
  <c r="M3" i="78"/>
  <c r="V27" i="31"/>
  <c r="V26" i="31"/>
  <c r="V28" i="31"/>
  <c r="A3" i="3"/>
  <c r="K7" i="78"/>
  <c r="K6" i="78"/>
  <c r="J7" i="78"/>
  <c r="J6" i="78"/>
  <c r="H5" i="78"/>
  <c r="H4" i="78"/>
  <c r="V22" i="31"/>
  <c r="I4" i="78"/>
  <c r="AL15" i="3"/>
  <c r="AL14" i="3"/>
  <c r="AL13" i="3"/>
  <c r="AL16" i="3"/>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c r="Y6" i="1"/>
  <c r="F19" i="6"/>
  <c r="M18" i="3"/>
  <c r="K17" i="3"/>
  <c r="I16" i="3"/>
  <c r="I15" i="3"/>
  <c r="I14" i="3"/>
  <c r="I13" i="3"/>
  <c r="I21" i="78"/>
  <c r="J20" i="78"/>
  <c r="I20" i="78"/>
  <c r="I23" i="78"/>
  <c r="AN19" i="3"/>
  <c r="H6" i="78"/>
  <c r="E85" i="78"/>
  <c r="F20"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Q12" i="71"/>
  <c r="F13" i="71"/>
  <c r="F14" i="71"/>
  <c r="F15" i="71"/>
  <c r="V15" i="71"/>
  <c r="P12" i="71"/>
  <c r="E13" i="71"/>
  <c r="E14" i="71"/>
  <c r="E15" i="71"/>
  <c r="U15" i="71"/>
  <c r="O12" i="71"/>
  <c r="N12" i="71"/>
  <c r="D12" i="71"/>
  <c r="O11" i="71"/>
  <c r="N11" i="71"/>
  <c r="B13" i="71"/>
  <c r="B14" i="71"/>
  <c r="B15" i="71"/>
  <c r="S15" i="71"/>
  <c r="X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11" i="71"/>
  <c r="E38" i="71"/>
  <c r="E39" i="71"/>
  <c r="U39" i="71"/>
  <c r="E42" i="71"/>
  <c r="E43" i="71"/>
  <c r="U43" i="71"/>
  <c r="E46" i="71"/>
  <c r="E47" i="71"/>
  <c r="U47" i="71"/>
  <c r="Q48" i="71"/>
  <c r="U51" i="71"/>
  <c r="E50" i="71"/>
  <c r="P50" i="71"/>
  <c r="Q11" i="71"/>
  <c r="C38" i="71"/>
  <c r="C39" i="71"/>
  <c r="D37" i="71"/>
  <c r="C42" i="71"/>
  <c r="C43" i="71"/>
  <c r="D41" i="71"/>
  <c r="C46" i="71"/>
  <c r="D46" i="71"/>
  <c r="D45" i="71"/>
  <c r="N50" i="71"/>
  <c r="B49" i="71"/>
  <c r="Q50"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C10" i="71"/>
  <c r="S11" i="71"/>
  <c r="F11" i="71"/>
  <c r="F10" i="71"/>
  <c r="F9" i="71"/>
  <c r="AB3" i="71"/>
  <c r="AB8" i="71"/>
  <c r="AB9" i="71"/>
  <c r="AB10" i="71"/>
  <c r="AB11" i="71"/>
  <c r="AA3" i="71"/>
  <c r="AA9" i="71"/>
  <c r="AA11" i="71"/>
  <c r="D11" i="71"/>
  <c r="U11" i="71"/>
  <c r="O50" i="71"/>
  <c r="C47" i="71"/>
  <c r="D47" i="71"/>
  <c r="D66" i="71"/>
  <c r="C57" i="71"/>
  <c r="D57" i="71"/>
  <c r="N48" i="71"/>
  <c r="N49" i="71"/>
  <c r="D70" i="71"/>
  <c r="C69" i="71"/>
  <c r="D69" i="71"/>
  <c r="C61" i="71"/>
  <c r="D61" i="71"/>
  <c r="D54" i="71"/>
  <c r="D42" i="71"/>
  <c r="D38" i="71"/>
  <c r="E49" i="71"/>
  <c r="P48" i="7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66" i="43"/>
  <c r="C25" i="40"/>
  <c r="C29" i="39"/>
  <c r="S25" i="40"/>
  <c r="S18" i="36"/>
  <c r="U18" i="36"/>
  <c r="S21" i="34"/>
  <c r="F94" i="40"/>
  <c r="H25" i="40"/>
  <c r="AB25" i="40"/>
  <c r="G94" i="40"/>
  <c r="J25" i="40"/>
  <c r="AC25" i="40"/>
  <c r="H29" i="39"/>
  <c r="AB29" i="39"/>
  <c r="J29" i="39"/>
  <c r="AC29" i="39"/>
  <c r="J18" i="36"/>
  <c r="AC18" i="36"/>
  <c r="H18" i="35"/>
  <c r="AB18" i="35"/>
  <c r="S18" i="35"/>
  <c r="J18" i="35"/>
  <c r="H21" i="37"/>
  <c r="F21" i="37"/>
  <c r="AA21" i="37"/>
  <c r="F84" i="34"/>
  <c r="H21" i="34"/>
  <c r="AB21" i="34"/>
  <c r="H21" i="33"/>
  <c r="U21" i="33"/>
  <c r="F21" i="33"/>
  <c r="E83" i="21"/>
  <c r="F83" i="21"/>
  <c r="G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C21" i="69"/>
  <c r="F20" i="69"/>
  <c r="E10" i="69"/>
  <c r="E9" i="69"/>
  <c r="F7" i="69"/>
  <c r="AC21" i="37"/>
  <c r="AC21" i="34"/>
  <c r="AC21" i="33"/>
  <c r="AB21"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c r="S107" i="31"/>
  <c r="C108" i="31"/>
  <c r="R108" i="31"/>
  <c r="S108" i="31"/>
  <c r="C109" i="31"/>
  <c r="R109" i="31"/>
  <c r="S109" i="31"/>
  <c r="C110" i="31"/>
  <c r="R110" i="31"/>
  <c r="S110" i="31"/>
  <c r="C111" i="31"/>
  <c r="R111" i="31"/>
  <c r="S111" i="31"/>
  <c r="C112" i="31"/>
  <c r="R112" i="31"/>
  <c r="S112" i="31"/>
  <c r="C113" i="31"/>
  <c r="R113" i="31"/>
  <c r="S113" i="31"/>
  <c r="C114" i="31"/>
  <c r="R114" i="31"/>
  <c r="S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C10" i="39"/>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G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H17" i="39"/>
  <c r="AB17"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17" i="39"/>
  <c r="J27" i="39"/>
  <c r="AC27" i="39"/>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AB11" i="36"/>
  <c r="J10" i="36"/>
  <c r="AC10" i="36"/>
  <c r="AB26" i="33"/>
  <c r="AB30" i="21"/>
  <c r="AA14" i="37"/>
  <c r="W31" i="34"/>
  <c r="AC13" i="36"/>
  <c r="S11" i="36"/>
  <c r="W11" i="35"/>
  <c r="AC30" i="34"/>
  <c r="S45" i="33"/>
  <c r="AB31" i="33"/>
  <c r="W29" i="33"/>
  <c r="AC28" i="21"/>
  <c r="BA586" i="3"/>
  <c r="BA585" i="3"/>
  <c r="AZ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c r="AC37" i="39"/>
  <c r="W37" i="39"/>
  <c r="F15" i="39"/>
  <c r="AA15" i="39"/>
  <c r="H15" i="39"/>
  <c r="U15" i="39"/>
  <c r="J15" i="39"/>
  <c r="W15" i="39"/>
  <c r="AB34" i="39"/>
  <c r="U40" i="39"/>
  <c r="S42" i="39"/>
  <c r="W14" i="39"/>
  <c r="W9" i="39"/>
  <c r="W8" i="39"/>
  <c r="J19" i="40"/>
  <c r="AC19" i="40"/>
  <c r="J50" i="40"/>
  <c r="H103" i="9"/>
  <c r="D8" i="53"/>
  <c r="B16" i="53"/>
  <c r="B33" i="72"/>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60" i="40"/>
  <c r="K6" i="1"/>
  <c r="E13" i="6"/>
  <c r="E58" i="40"/>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S43" i="39"/>
  <c r="S37" i="39"/>
  <c r="U35" i="39"/>
  <c r="F32" i="39"/>
  <c r="AA32" i="39"/>
  <c r="AB27"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E65" i="39"/>
  <c r="J56" i="9"/>
  <c r="J57" i="9"/>
  <c r="A24" i="51"/>
  <c r="B18" i="72"/>
  <c r="U29" i="34"/>
  <c r="E14" i="6"/>
  <c r="E64" i="39"/>
  <c r="E5" i="6"/>
  <c r="D9" i="11"/>
  <c r="C9" i="11"/>
  <c r="H22" i="43"/>
  <c r="D101" i="43"/>
  <c r="D109" i="43"/>
  <c r="M101" i="43"/>
  <c r="M106" i="43"/>
  <c r="I101" i="43"/>
  <c r="I109" i="43"/>
  <c r="E101" i="43"/>
  <c r="E102" i="43"/>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58" i="21"/>
  <c r="C7" i="40"/>
  <c r="C63" i="40"/>
  <c r="M47" i="9"/>
  <c r="G19" i="43"/>
  <c r="C46" i="36"/>
  <c r="C59" i="34"/>
  <c r="D59" i="34"/>
  <c r="C52" i="37"/>
  <c r="D52" i="37"/>
  <c r="A4" i="51"/>
  <c r="B6" i="72"/>
  <c r="C48" i="35"/>
  <c r="D48" i="35"/>
  <c r="E48" i="35"/>
  <c r="F48" i="35"/>
  <c r="G48" i="35"/>
  <c r="H48" i="35"/>
  <c r="I48" i="35"/>
  <c r="D58" i="21"/>
  <c r="C4" i="12"/>
  <c r="H62" i="43"/>
  <c r="H66" i="43"/>
  <c r="H61" i="43"/>
  <c r="H65" i="43"/>
  <c r="H60" i="43"/>
  <c r="H64" i="43"/>
  <c r="H59" i="43"/>
  <c r="H63" i="43"/>
  <c r="H67" i="43"/>
  <c r="H55" i="43"/>
  <c r="H51" i="43"/>
  <c r="H56" i="43"/>
  <c r="H76" i="43"/>
  <c r="H72" i="43"/>
  <c r="H77" i="43"/>
  <c r="L20" i="6"/>
  <c r="E62" i="39"/>
  <c r="E56" i="39"/>
  <c r="E51" i="40"/>
  <c r="B6" i="1"/>
  <c r="E6" i="1"/>
  <c r="S8" i="1"/>
  <c r="AR8" i="1"/>
  <c r="K11" i="1"/>
  <c r="M11" i="1"/>
  <c r="O11" i="1"/>
  <c r="P11" i="1"/>
  <c r="AP6" i="1"/>
  <c r="B9" i="1"/>
  <c r="E9" i="1"/>
  <c r="K7"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6" i="43"/>
  <c r="B67" i="43"/>
  <c r="D23" i="15"/>
  <c r="D22" i="15"/>
  <c r="AQ13" i="1"/>
  <c r="AZ13" i="3"/>
  <c r="M6" i="1"/>
  <c r="O6" i="1"/>
  <c r="P6" i="1"/>
  <c r="E63" i="39"/>
  <c r="T11" i="1"/>
  <c r="AQ9" i="1"/>
  <c r="AR11" i="1"/>
  <c r="E59" i="40"/>
  <c r="D68" i="39"/>
  <c r="T9" i="1"/>
  <c r="T13" i="1"/>
  <c r="E16" i="6"/>
  <c r="C77" i="9"/>
  <c r="C74" i="9"/>
  <c r="E7" i="70"/>
  <c r="AA39" i="40"/>
  <c r="S39" i="40"/>
  <c r="S12" i="33"/>
  <c r="AA12" i="33"/>
  <c r="C16" i="43"/>
  <c r="J32" i="39"/>
  <c r="H32" i="39"/>
  <c r="U32" i="39"/>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S17" i="33"/>
  <c r="W17" i="33"/>
  <c r="AC17" i="33"/>
  <c r="U10" i="33"/>
  <c r="AB10" i="33"/>
  <c r="AC10" i="33"/>
  <c r="W10" i="33"/>
  <c r="AC37" i="21"/>
  <c r="U33" i="21"/>
  <c r="S37" i="21"/>
  <c r="AA23" i="21"/>
  <c r="AB15" i="21"/>
  <c r="J23" i="21"/>
  <c r="W23" i="21"/>
  <c r="F85" i="21"/>
  <c r="G85" i="21"/>
  <c r="H23" i="21"/>
  <c r="S13" i="21"/>
  <c r="D6" i="52"/>
  <c r="D121" i="9"/>
  <c r="D7" i="52"/>
  <c r="K120" i="9"/>
  <c r="A18" i="62"/>
  <c r="B64" i="72"/>
  <c r="J59" i="9"/>
  <c r="J61" i="9"/>
  <c r="I106" i="43"/>
  <c r="D107" i="43"/>
  <c r="C5" i="43"/>
  <c r="E58" i="21"/>
  <c r="F58" i="2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U17" i="33"/>
  <c r="AB17" i="33"/>
  <c r="U23" i="21"/>
  <c r="AB23" i="21"/>
  <c r="AC23" i="21"/>
  <c r="G58" i="21"/>
  <c r="H58" i="21"/>
  <c r="I58" i="21"/>
  <c r="W11" i="37"/>
  <c r="W11" i="34"/>
  <c r="AC11" i="34"/>
  <c r="C13" i="12"/>
  <c r="F34" i="11"/>
  <c r="F11" i="12"/>
  <c r="C23" i="12"/>
  <c r="R8" i="1"/>
  <c r="AE7" i="1"/>
  <c r="AE8" i="1"/>
  <c r="AG6" i="1"/>
  <c r="H109" i="9"/>
  <c r="D124" i="9"/>
  <c r="D16" i="53"/>
  <c r="B34" i="72"/>
  <c r="H112" i="9"/>
  <c r="D21" i="53"/>
  <c r="B39" i="72"/>
  <c r="H111" i="9"/>
  <c r="D126" i="9"/>
  <c r="I14" i="74"/>
  <c r="B8" i="74"/>
  <c r="D19" i="53"/>
  <c r="D59" i="9"/>
  <c r="M55" i="9"/>
  <c r="B38" i="72"/>
  <c r="D20" i="53"/>
  <c r="B40" i="72"/>
  <c r="AD3" i="71"/>
  <c r="P21" i="43"/>
  <c r="P22" i="43"/>
  <c r="P23" i="43"/>
  <c r="B71" i="39"/>
  <c r="P24" i="43"/>
  <c r="B66" i="40"/>
  <c r="P25" i="43"/>
  <c r="F34" i="68"/>
  <c r="B12" i="76"/>
  <c r="AO13" i="1"/>
  <c r="E13" i="76"/>
  <c r="C76" i="15"/>
  <c r="F36" i="15"/>
  <c r="AO8" i="1"/>
  <c r="M28" i="67"/>
  <c r="F37" i="15"/>
  <c r="M22" i="67"/>
  <c r="D5" i="73"/>
  <c r="M29" i="15"/>
  <c r="F42" i="15"/>
  <c r="D2" i="35"/>
  <c r="F6" i="67"/>
  <c r="M29" i="67"/>
  <c r="F8" i="67"/>
  <c r="F26" i="15"/>
  <c r="F9" i="15"/>
  <c r="D2" i="21"/>
  <c r="B10" i="76"/>
  <c r="D4" i="73"/>
  <c r="F20" i="31"/>
  <c r="F7" i="73"/>
  <c r="F5" i="73"/>
  <c r="D9" i="69"/>
  <c r="F9" i="67"/>
  <c r="B11" i="76"/>
  <c r="AO11" i="1"/>
  <c r="E9" i="76"/>
  <c r="F6" i="73"/>
  <c r="F42" i="67"/>
  <c r="F4" i="73"/>
  <c r="AO12" i="1"/>
  <c r="F6" i="15"/>
  <c r="E7" i="76"/>
  <c r="F13" i="67"/>
  <c r="D7" i="73"/>
  <c r="E2" i="69"/>
  <c r="M8" i="67"/>
  <c r="M24" i="15"/>
  <c r="M27" i="15"/>
  <c r="M24" i="67"/>
  <c r="F40" i="15"/>
  <c r="E10" i="76"/>
  <c r="F43" i="67"/>
  <c r="L47" i="67"/>
  <c r="F8" i="15"/>
  <c r="D2" i="34"/>
  <c r="M9" i="67"/>
  <c r="M9" i="15"/>
  <c r="F38" i="15"/>
  <c r="AO7" i="1"/>
  <c r="E11" i="76"/>
  <c r="M6" i="15"/>
  <c r="B7" i="76"/>
  <c r="J15" i="15"/>
  <c r="D2" i="36"/>
  <c r="M22" i="15"/>
  <c r="F40" i="67"/>
  <c r="F16" i="15"/>
  <c r="E8" i="76"/>
  <c r="L47" i="15"/>
  <c r="M6" i="67"/>
  <c r="F43" i="15"/>
  <c r="D3" i="73"/>
  <c r="AO9" i="1"/>
  <c r="E12" i="76"/>
  <c r="B9" i="76"/>
  <c r="D2" i="33"/>
  <c r="M8" i="15"/>
  <c r="D2" i="37"/>
  <c r="F38" i="67"/>
  <c r="D6" i="73"/>
  <c r="M27" i="67"/>
  <c r="B13" i="76"/>
  <c r="M23" i="67"/>
  <c r="F36" i="67"/>
  <c r="F37" i="67"/>
  <c r="F3" i="73"/>
  <c r="F16" i="67"/>
  <c r="E2" i="68"/>
  <c r="F13" i="15"/>
  <c r="M28" i="15"/>
  <c r="L48" i="15"/>
  <c r="AO10" i="1"/>
  <c r="F26" i="67"/>
  <c r="F7" i="15"/>
  <c r="C76" i="67"/>
  <c r="F7" i="67"/>
  <c r="M23" i="15"/>
  <c r="J15" i="67"/>
  <c r="L48" i="67"/>
  <c r="M26" i="15"/>
  <c r="B8" i="76"/>
  <c r="M26" i="67"/>
  <c r="B63" i="43"/>
  <c r="B52" i="43"/>
  <c r="E16" i="49"/>
  <c r="D23" i="67"/>
  <c r="D22" i="67"/>
  <c r="D103" i="43"/>
  <c r="D104" i="43"/>
  <c r="I103" i="43"/>
  <c r="I102" i="43"/>
  <c r="C65" i="40"/>
  <c r="D63" i="40"/>
  <c r="E63" i="40"/>
  <c r="H7" i="33"/>
  <c r="D58" i="33"/>
  <c r="E58" i="33"/>
  <c r="F58" i="33"/>
  <c r="G58" i="33"/>
  <c r="H58" i="33"/>
  <c r="I58" i="33"/>
  <c r="J58" i="33"/>
  <c r="K58" i="33"/>
  <c r="L58" i="33"/>
  <c r="M58" i="33"/>
  <c r="N58" i="33"/>
  <c r="O58" i="33"/>
  <c r="D9" i="53"/>
  <c r="B25" i="72"/>
  <c r="B24" i="72"/>
  <c r="AB31" i="21"/>
  <c r="U31" i="21"/>
  <c r="AC45" i="21"/>
  <c r="W45" i="21"/>
  <c r="AZ557" i="3"/>
  <c r="J9" i="34"/>
  <c r="H9" i="34"/>
  <c r="H110" i="9"/>
  <c r="D18" i="53"/>
  <c r="B35" i="72"/>
  <c r="G28" i="6"/>
  <c r="S44" i="34"/>
  <c r="U13" i="33"/>
  <c r="AB45" i="33"/>
  <c r="AA14" i="34"/>
  <c r="AB46" i="34"/>
  <c r="W11" i="36"/>
  <c r="AB11" i="35"/>
  <c r="U46" i="33"/>
  <c r="F34" i="35"/>
  <c r="H34" i="35"/>
  <c r="J36" i="35"/>
  <c r="H38" i="40"/>
  <c r="J38" i="40"/>
  <c r="G551" i="3"/>
  <c r="BL548" i="3"/>
  <c r="AZ548" i="3"/>
  <c r="AZ5" i="3"/>
  <c r="AY6" i="3"/>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c r="V11" i="71"/>
  <c r="J51" i="15"/>
  <c r="AA7" i="71"/>
  <c r="AA6" i="71"/>
  <c r="X6" i="71"/>
  <c r="AA5" i="71"/>
  <c r="X5" i="71"/>
  <c r="D50" i="71"/>
  <c r="AA10" i="71"/>
  <c r="AA8" i="71"/>
  <c r="AA12" i="71"/>
  <c r="AB7" i="71"/>
  <c r="Y6" i="71"/>
  <c r="Z6" i="71"/>
  <c r="AB6" i="71"/>
  <c r="Y5" i="71"/>
  <c r="Z5" i="71"/>
  <c r="AB5" i="71"/>
  <c r="X7" i="71"/>
  <c r="Y7" i="71"/>
  <c r="Z7" i="71"/>
  <c r="V7" i="71"/>
  <c r="B7" i="71"/>
  <c r="C7" i="71"/>
  <c r="B4" i="49"/>
  <c r="E22" i="49"/>
  <c r="E11" i="49"/>
  <c r="E10" i="49"/>
  <c r="B7" i="49"/>
  <c r="E4" i="4"/>
  <c r="B5" i="62"/>
  <c r="B73" i="72"/>
  <c r="AZ19" i="3"/>
  <c r="F99" i="39"/>
  <c r="G99" i="39"/>
  <c r="J25" i="39"/>
  <c r="H25" i="39"/>
  <c r="AB25" i="39"/>
  <c r="F25" i="39"/>
  <c r="B54" i="43"/>
  <c r="C27" i="39"/>
  <c r="W27" i="39"/>
  <c r="AC12" i="39"/>
  <c r="W12" i="39"/>
  <c r="AB44" i="39"/>
  <c r="U44" i="39"/>
  <c r="AC43" i="39"/>
  <c r="W43" i="39"/>
  <c r="U45" i="39"/>
  <c r="AB45" i="39"/>
  <c r="F44" i="39"/>
  <c r="B60" i="43"/>
  <c r="C21" i="39"/>
  <c r="AB21" i="39"/>
  <c r="U17" i="39"/>
  <c r="F17" i="39"/>
  <c r="F91" i="39"/>
  <c r="G91" i="39"/>
  <c r="AC23" i="39"/>
  <c r="W23" i="39"/>
  <c r="F97" i="39"/>
  <c r="G97" i="39"/>
  <c r="B55" i="43"/>
  <c r="AB23" i="39"/>
  <c r="S23" i="39"/>
  <c r="W29" i="39"/>
  <c r="U29" i="39"/>
  <c r="H124" i="39"/>
  <c r="I124" i="39"/>
  <c r="J124" i="39"/>
  <c r="K124" i="39"/>
  <c r="L124" i="39"/>
  <c r="M124" i="39"/>
  <c r="J41" i="39"/>
  <c r="H41" i="39"/>
  <c r="U41" i="39"/>
  <c r="F41" i="39"/>
  <c r="S41" i="39"/>
  <c r="AB41" i="39"/>
  <c r="W39" i="39"/>
  <c r="AB32" i="39"/>
  <c r="S29" i="39"/>
  <c r="S31" i="39"/>
  <c r="B8" i="49"/>
  <c r="E5" i="49"/>
  <c r="E8" i="49"/>
  <c r="B9" i="49"/>
  <c r="B5" i="49"/>
  <c r="B14" i="49"/>
  <c r="B22" i="49"/>
  <c r="P74" i="67"/>
  <c r="J53" i="67"/>
  <c r="Q52" i="67"/>
  <c r="F81" i="39"/>
  <c r="P61" i="15"/>
  <c r="J53" i="15"/>
  <c r="Q52" i="15"/>
  <c r="F32" i="15"/>
  <c r="F60" i="15"/>
  <c r="F31" i="12"/>
  <c r="C31" i="12"/>
  <c r="F32" i="67"/>
  <c r="F60" i="67"/>
  <c r="F30" i="11"/>
  <c r="C48" i="11"/>
  <c r="F54" i="9"/>
  <c r="M18" i="15"/>
  <c r="F30" i="69"/>
  <c r="C48" i="69"/>
  <c r="F28" i="67"/>
  <c r="C28" i="67"/>
  <c r="F30" i="68"/>
  <c r="C30" i="68"/>
  <c r="C36" i="11"/>
  <c r="C30" i="11"/>
  <c r="D68" i="9"/>
  <c r="C30" i="69"/>
  <c r="C48" i="68"/>
  <c r="F28" i="15"/>
  <c r="C28" i="15"/>
  <c r="M18" i="67"/>
  <c r="F52" i="9"/>
  <c r="C40" i="68"/>
  <c r="C40" i="69"/>
  <c r="G5" i="3"/>
  <c r="B3" i="3"/>
  <c r="E302" i="3"/>
  <c r="AZ18" i="3"/>
  <c r="BA5" i="3"/>
  <c r="E27" i="6"/>
  <c r="D19" i="12"/>
  <c r="C19" i="12"/>
  <c r="F30" i="6"/>
  <c r="G30" i="6"/>
  <c r="G31" i="6"/>
  <c r="E28" i="6"/>
  <c r="K14" i="1"/>
  <c r="M14" i="1"/>
  <c r="O14" i="1"/>
  <c r="P14" i="1"/>
  <c r="E29" i="6"/>
  <c r="L27" i="6"/>
  <c r="M103" i="43"/>
  <c r="E106" i="43"/>
  <c r="M7" i="1"/>
  <c r="M102" i="43"/>
  <c r="BL5" i="3"/>
  <c r="K15" i="1"/>
  <c r="AQ8" i="1"/>
  <c r="Q16" i="1"/>
  <c r="T8" i="1"/>
  <c r="E103" i="43"/>
  <c r="F31" i="6"/>
  <c r="E66" i="39"/>
  <c r="K20" i="6"/>
  <c r="O8" i="1"/>
  <c r="P8" i="1"/>
  <c r="O12" i="1"/>
  <c r="P12" i="1"/>
  <c r="O9" i="1"/>
  <c r="P9" i="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c r="B14" i="72"/>
  <c r="A15" i="62"/>
  <c r="B61" i="72"/>
  <c r="D10" i="52"/>
  <c r="D125" i="9"/>
  <c r="D11" i="52"/>
  <c r="H14" i="74"/>
  <c r="B7" i="74"/>
  <c r="D12" i="52"/>
  <c r="D127" i="9"/>
  <c r="D13" i="52"/>
  <c r="D17" i="53"/>
  <c r="B36" i="72"/>
  <c r="E4" i="49"/>
  <c r="B6" i="49"/>
  <c r="E9" i="49"/>
  <c r="E21" i="49"/>
  <c r="B11" i="49"/>
  <c r="B13" i="49"/>
  <c r="C4" i="4"/>
  <c r="E6" i="49"/>
  <c r="E7" i="49"/>
  <c r="B16" i="49"/>
  <c r="B10" i="49"/>
  <c r="G16" i="1"/>
  <c r="J48" i="35"/>
  <c r="K48" i="35"/>
  <c r="L48" i="35"/>
  <c r="M48" i="35"/>
  <c r="N48" i="35"/>
  <c r="O48" i="35"/>
  <c r="H7" i="35"/>
  <c r="J58" i="21"/>
  <c r="K58" i="21"/>
  <c r="L58" i="21"/>
  <c r="M58" i="21"/>
  <c r="N58" i="21"/>
  <c r="O58" i="21"/>
  <c r="F7" i="21"/>
  <c r="H7" i="21"/>
  <c r="J7" i="21"/>
  <c r="D65" i="40"/>
  <c r="F7" i="35"/>
  <c r="J7" i="35"/>
  <c r="E52" i="37"/>
  <c r="E59" i="34"/>
  <c r="D70" i="39"/>
  <c r="E68" i="39"/>
  <c r="D46" i="36"/>
  <c r="O19" i="43"/>
  <c r="B8" i="70"/>
  <c r="C27" i="67"/>
  <c r="C27" i="15"/>
  <c r="I54" i="67"/>
  <c r="J57" i="67"/>
  <c r="J55" i="67"/>
  <c r="J58" i="67"/>
  <c r="Q50" i="67"/>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c r="J58" i="15"/>
  <c r="Q50" i="15"/>
  <c r="L56" i="15"/>
  <c r="Q71" i="15"/>
  <c r="F71" i="67"/>
  <c r="M7" i="67"/>
  <c r="J6" i="67"/>
  <c r="F50" i="67"/>
  <c r="F66" i="15"/>
  <c r="F51" i="67"/>
  <c r="C49" i="67"/>
  <c r="C6" i="67"/>
  <c r="M7" i="15"/>
  <c r="F50" i="15"/>
  <c r="B10" i="70"/>
  <c r="B11" i="70"/>
  <c r="I1" i="73"/>
  <c r="B39" i="1"/>
  <c r="C9" i="69"/>
  <c r="F59" i="67"/>
  <c r="C36" i="68"/>
  <c r="D9" i="68"/>
  <c r="C36" i="69"/>
  <c r="G1" i="73"/>
  <c r="C16" i="15"/>
  <c r="F59" i="15"/>
  <c r="F31" i="15"/>
  <c r="M17" i="67"/>
  <c r="C16" i="67"/>
  <c r="F31" i="67"/>
  <c r="M17" i="15"/>
  <c r="S7" i="71"/>
  <c r="B6" i="71"/>
  <c r="B5" i="71"/>
  <c r="AB38" i="40"/>
  <c r="U38" i="40"/>
  <c r="AB34" i="35"/>
  <c r="U34" i="35"/>
  <c r="AC9" i="34"/>
  <c r="W9" i="34"/>
  <c r="F7" i="33"/>
  <c r="E65" i="40"/>
  <c r="F63" i="40"/>
  <c r="U25" i="39"/>
  <c r="C6" i="71"/>
  <c r="T7" i="71"/>
  <c r="D7" i="71"/>
  <c r="U7" i="71"/>
  <c r="AC38" i="40"/>
  <c r="W38" i="40"/>
  <c r="AC36" i="35"/>
  <c r="W36" i="35"/>
  <c r="AA34" i="35"/>
  <c r="S34" i="35"/>
  <c r="U9" i="34"/>
  <c r="AB9" i="34"/>
  <c r="U7" i="33"/>
  <c r="AB7" i="33"/>
  <c r="T48" i="33"/>
  <c r="G48" i="33"/>
  <c r="J7" i="33"/>
  <c r="K19" i="6"/>
  <c r="S6" i="1"/>
  <c r="E6" i="70"/>
  <c r="E2" i="70"/>
  <c r="K25" i="6"/>
  <c r="M25" i="6"/>
  <c r="I25" i="6"/>
  <c r="E385" i="3"/>
  <c r="E191" i="3"/>
  <c r="E282" i="3"/>
  <c r="K24" i="6"/>
  <c r="M24" i="6"/>
  <c r="I24" i="6"/>
  <c r="K21" i="6"/>
  <c r="M21" i="6"/>
  <c r="I21" i="6"/>
  <c r="E423" i="3"/>
  <c r="E510" i="3"/>
  <c r="E528" i="3"/>
  <c r="AQ6" i="1"/>
  <c r="E148" i="3"/>
  <c r="E263" i="3"/>
  <c r="AI6" i="3"/>
  <c r="E205" i="3"/>
  <c r="E329" i="3"/>
  <c r="E366" i="3"/>
  <c r="AA25" i="39"/>
  <c r="S25" i="39"/>
  <c r="AC25" i="39"/>
  <c r="W25" i="39"/>
  <c r="AA44" i="39"/>
  <c r="S44" i="39"/>
  <c r="AA17" i="39"/>
  <c r="S17" i="39"/>
  <c r="W41" i="39"/>
  <c r="AC41" i="39"/>
  <c r="AA41" i="39"/>
  <c r="F1" i="67"/>
  <c r="C9" i="68"/>
  <c r="G81" i="39"/>
  <c r="H81" i="39"/>
  <c r="I81" i="39"/>
  <c r="F1" i="15"/>
  <c r="M20" i="6"/>
  <c r="I20" i="6"/>
  <c r="S7" i="1"/>
  <c r="S1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c r="I26" i="6"/>
  <c r="K23" i="6"/>
  <c r="M23" i="6"/>
  <c r="I23" i="6"/>
  <c r="K22" i="6"/>
  <c r="M22" i="6"/>
  <c r="I22" i="6"/>
  <c r="E30" i="6"/>
  <c r="E31" i="6"/>
  <c r="AC6" i="3"/>
  <c r="E3" i="6"/>
  <c r="O7" i="1"/>
  <c r="P7" i="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c r="D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c r="B43" i="72"/>
  <c r="D37" i="11"/>
  <c r="C37" i="11"/>
  <c r="D14" i="12"/>
  <c r="M18" i="9"/>
  <c r="B1" i="74"/>
  <c r="C8" i="74"/>
  <c r="D3" i="37"/>
  <c r="D3" i="21"/>
  <c r="D19" i="11"/>
  <c r="C19" i="11"/>
  <c r="S26" i="6"/>
  <c r="S23" i="6"/>
  <c r="S22" i="6"/>
  <c r="P16" i="1"/>
  <c r="C11" i="12"/>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8" i="43"/>
  <c r="J118" i="43"/>
  <c r="K118" i="43"/>
  <c r="L118" i="43"/>
  <c r="M118" i="43"/>
  <c r="D115" i="43"/>
  <c r="E115" i="43"/>
  <c r="F115" i="43"/>
  <c r="G115" i="43"/>
  <c r="H115" i="43"/>
  <c r="D118" i="43"/>
  <c r="E118" i="43"/>
  <c r="F118" i="43"/>
  <c r="K4" i="4"/>
  <c r="B46" i="48"/>
  <c r="B4" i="72"/>
  <c r="B4" i="62"/>
  <c r="B71" i="72"/>
  <c r="F10" i="39"/>
  <c r="F10" i="40"/>
  <c r="H10" i="39"/>
  <c r="J10" i="40"/>
  <c r="J10" i="39"/>
  <c r="H10" i="40"/>
  <c r="E70" i="39"/>
  <c r="F68" i="39"/>
  <c r="W7" i="35"/>
  <c r="AC7" i="35"/>
  <c r="V38" i="35"/>
  <c r="I38" i="35"/>
  <c r="AC7" i="21"/>
  <c r="V48" i="21"/>
  <c r="I48" i="21"/>
  <c r="W7" i="21"/>
  <c r="S7" i="21"/>
  <c r="AA7" i="21"/>
  <c r="R48" i="21"/>
  <c r="U7" i="35"/>
  <c r="AB7" i="35"/>
  <c r="T38" i="35"/>
  <c r="G38" i="35"/>
  <c r="E46" i="36"/>
  <c r="F59" i="34"/>
  <c r="F52" i="37"/>
  <c r="AA7" i="35"/>
  <c r="R38" i="35"/>
  <c r="S7" i="35"/>
  <c r="AB7" i="21"/>
  <c r="T48" i="21"/>
  <c r="G48" i="21"/>
  <c r="U7" i="21"/>
  <c r="B40" i="1"/>
  <c r="F11" i="67"/>
  <c r="M11" i="15"/>
  <c r="M11" i="67"/>
  <c r="J10" i="67"/>
  <c r="J5" i="67"/>
  <c r="F11" i="15"/>
  <c r="P17" i="43"/>
  <c r="N17" i="43"/>
  <c r="M17" i="43"/>
  <c r="O17" i="43"/>
  <c r="Q61" i="15"/>
  <c r="Q74" i="15"/>
  <c r="Q60" i="67"/>
  <c r="Q73" i="67"/>
  <c r="J6" i="15"/>
  <c r="Q73" i="15"/>
  <c r="Q60" i="15"/>
  <c r="Q74" i="67"/>
  <c r="Q61" i="67"/>
  <c r="C49" i="15"/>
  <c r="C17" i="67"/>
  <c r="C34" i="69"/>
  <c r="F27" i="69"/>
  <c r="AE6" i="1"/>
  <c r="F27" i="68"/>
  <c r="C14" i="67"/>
  <c r="C17" i="15"/>
  <c r="W7" i="33"/>
  <c r="AC7" i="33"/>
  <c r="V48" i="33"/>
  <c r="I48" i="33"/>
  <c r="I52" i="33"/>
  <c r="J52" i="33"/>
  <c r="G52" i="33"/>
  <c r="H52" i="33"/>
  <c r="G53" i="33"/>
  <c r="H53" i="33"/>
  <c r="C5" i="71"/>
  <c r="D5" i="71"/>
  <c r="D6" i="71"/>
  <c r="F65" i="40"/>
  <c r="G63" i="40"/>
  <c r="AA7" i="33"/>
  <c r="R48" i="33"/>
  <c r="S7" i="33"/>
  <c r="C18" i="67"/>
  <c r="C15" i="67"/>
  <c r="T6" i="1"/>
  <c r="AR6" i="1"/>
  <c r="J81" i="39"/>
  <c r="C38" i="69"/>
  <c r="C35" i="69"/>
  <c r="AR7" i="1"/>
  <c r="AQ7" i="1"/>
  <c r="T7" i="1"/>
  <c r="T16" i="1"/>
  <c r="H22" i="6"/>
  <c r="H23" i="6"/>
  <c r="O16" i="1"/>
  <c r="C7" i="74"/>
  <c r="H6" i="3"/>
  <c r="E6" i="3"/>
  <c r="C34" i="11"/>
  <c r="L16" i="1"/>
  <c r="N16" i="1"/>
  <c r="D10" i="11"/>
  <c r="C10" i="11"/>
  <c r="D20" i="12"/>
  <c r="C20" i="12"/>
  <c r="D19" i="6"/>
  <c r="D26" i="6"/>
  <c r="C18" i="4"/>
  <c r="D8" i="6"/>
  <c r="D23" i="6"/>
  <c r="D14" i="6"/>
  <c r="D6" i="6"/>
  <c r="D9" i="6"/>
  <c r="D10" i="6"/>
  <c r="D29" i="6"/>
  <c r="M19" i="9"/>
  <c r="B2" i="74"/>
  <c r="D25" i="6"/>
  <c r="R25" i="6"/>
  <c r="D15" i="6"/>
  <c r="D22" i="6"/>
  <c r="D21" i="6"/>
  <c r="R21" i="6"/>
  <c r="D24" i="6"/>
  <c r="R24" i="6"/>
  <c r="D20" i="6"/>
  <c r="R20" i="6"/>
  <c r="R7" i="1"/>
  <c r="D5" i="6"/>
  <c r="D12" i="6"/>
  <c r="D11" i="6"/>
  <c r="D13" i="6"/>
  <c r="D28" i="6"/>
  <c r="D30" i="6"/>
  <c r="E61" i="40"/>
  <c r="C47" i="69"/>
  <c r="D45" i="69"/>
  <c r="C29" i="69"/>
  <c r="D27" i="69"/>
  <c r="R26" i="6"/>
  <c r="C20" i="11"/>
  <c r="C28" i="11"/>
  <c r="C27" i="11"/>
  <c r="D17" i="12"/>
  <c r="C17" i="12"/>
  <c r="C14" i="12"/>
  <c r="C47" i="11"/>
  <c r="D45" i="11"/>
  <c r="C29" i="11"/>
  <c r="D27" i="11"/>
  <c r="C29" i="68"/>
  <c r="D27" i="68"/>
  <c r="C47" i="68"/>
  <c r="D45" i="68"/>
  <c r="C12" i="12"/>
  <c r="C15" i="12"/>
  <c r="I19" i="6"/>
  <c r="L18" i="9"/>
  <c r="M27" i="6"/>
  <c r="C115" i="43"/>
  <c r="D113" i="43"/>
  <c r="J22" i="43"/>
  <c r="S4" i="43"/>
  <c r="C23" i="43"/>
  <c r="C21" i="43"/>
  <c r="S7" i="43"/>
  <c r="S2" i="43"/>
  <c r="S6" i="43"/>
  <c r="S5" i="43"/>
  <c r="S3" i="43"/>
  <c r="W10" i="39"/>
  <c r="AC10" i="39"/>
  <c r="U10" i="39"/>
  <c r="AB10" i="39"/>
  <c r="AA10" i="39"/>
  <c r="S10" i="39"/>
  <c r="U10" i="40"/>
  <c r="AB10" i="40"/>
  <c r="W10" i="40"/>
  <c r="AC10" i="40"/>
  <c r="AA10" i="40"/>
  <c r="S10" i="40"/>
  <c r="G52" i="37"/>
  <c r="G59" i="34"/>
  <c r="I52" i="21"/>
  <c r="J52" i="21"/>
  <c r="I42" i="35"/>
  <c r="J42" i="35"/>
  <c r="G68" i="39"/>
  <c r="F70" i="39"/>
  <c r="G52" i="21"/>
  <c r="H52" i="21"/>
  <c r="G53" i="21"/>
  <c r="H53" i="21"/>
  <c r="R39" i="35"/>
  <c r="E38" i="35"/>
  <c r="F46" i="36"/>
  <c r="G46" i="36"/>
  <c r="H46" i="36"/>
  <c r="I46" i="36"/>
  <c r="J46" i="36"/>
  <c r="K46" i="36"/>
  <c r="L46" i="36"/>
  <c r="M46" i="36"/>
  <c r="N46" i="36"/>
  <c r="O46" i="36"/>
  <c r="G42" i="35"/>
  <c r="H42" i="35"/>
  <c r="G43" i="35"/>
  <c r="H43" i="35"/>
  <c r="R49" i="21"/>
  <c r="E48" i="21"/>
  <c r="I53" i="21"/>
  <c r="J53" i="21"/>
  <c r="J24" i="67"/>
  <c r="J18" i="67"/>
  <c r="J26" i="67"/>
  <c r="J10" i="15"/>
  <c r="J5" i="15"/>
  <c r="C53" i="67"/>
  <c r="C48" i="67"/>
  <c r="C10" i="67"/>
  <c r="C5" i="67"/>
  <c r="C53" i="15"/>
  <c r="C48" i="15"/>
  <c r="C10" i="15"/>
  <c r="C5" i="15"/>
  <c r="F24" i="15"/>
  <c r="C24" i="15"/>
  <c r="F22" i="11"/>
  <c r="F22" i="69"/>
  <c r="F24" i="67"/>
  <c r="C24" i="67"/>
  <c r="F25" i="12"/>
  <c r="C26" i="12"/>
  <c r="D25" i="12"/>
  <c r="F22" i="68"/>
  <c r="D10" i="68"/>
  <c r="D10" i="69"/>
  <c r="F41" i="67"/>
  <c r="F41" i="15"/>
  <c r="C34" i="68"/>
  <c r="C14" i="15"/>
  <c r="F69" i="15"/>
  <c r="R49" i="33"/>
  <c r="E48" i="33"/>
  <c r="M20" i="43"/>
  <c r="C19" i="43"/>
  <c r="T5" i="43"/>
  <c r="V5" i="43"/>
  <c r="F7" i="36"/>
  <c r="T3" i="43"/>
  <c r="V3" i="43"/>
  <c r="T6" i="43"/>
  <c r="V6" i="43"/>
  <c r="T7" i="43"/>
  <c r="V7" i="43"/>
  <c r="T4" i="43"/>
  <c r="V4" i="43"/>
  <c r="R23" i="6"/>
  <c r="R22" i="6"/>
  <c r="G65" i="40"/>
  <c r="H63" i="40"/>
  <c r="C19" i="67"/>
  <c r="I91" i="9"/>
  <c r="C15" i="15"/>
  <c r="C18" i="15"/>
  <c r="F69" i="67"/>
  <c r="J29" i="67"/>
  <c r="K81" i="39"/>
  <c r="L81" i="39"/>
  <c r="M81" i="39"/>
  <c r="D16" i="6"/>
  <c r="D27" i="6"/>
  <c r="F50" i="11"/>
  <c r="F50" i="69"/>
  <c r="F50" i="68"/>
  <c r="C38" i="11"/>
  <c r="C35" i="11"/>
  <c r="C35" i="68"/>
  <c r="C38" i="68"/>
  <c r="C16" i="12"/>
  <c r="D8" i="74"/>
  <c r="D7" i="74"/>
  <c r="D19" i="68"/>
  <c r="C10" i="68"/>
  <c r="A7" i="51"/>
  <c r="B7" i="72"/>
  <c r="A10" i="51"/>
  <c r="B9" i="72"/>
  <c r="C4" i="52"/>
  <c r="B45" i="72"/>
  <c r="D31" i="6"/>
  <c r="C10" i="69"/>
  <c r="D19" i="69"/>
  <c r="S19" i="6"/>
  <c r="S27" i="6"/>
  <c r="I27" i="6"/>
  <c r="H19" i="6"/>
  <c r="L19" i="9"/>
  <c r="S7" i="36"/>
  <c r="AA7" i="36"/>
  <c r="R36" i="36"/>
  <c r="C38" i="35"/>
  <c r="C39" i="35"/>
  <c r="B2" i="35"/>
  <c r="B3" i="35"/>
  <c r="H68" i="39"/>
  <c r="G70" i="39"/>
  <c r="E52" i="21"/>
  <c r="F52" i="21"/>
  <c r="E53" i="21"/>
  <c r="F53" i="21"/>
  <c r="C48" i="21"/>
  <c r="C49" i="21"/>
  <c r="B2" i="21"/>
  <c r="B3" i="21"/>
  <c r="J7" i="36"/>
  <c r="E42" i="35"/>
  <c r="F42" i="35"/>
  <c r="E43" i="35"/>
  <c r="F43" i="35"/>
  <c r="I43" i="35"/>
  <c r="J43" i="35"/>
  <c r="H59" i="34"/>
  <c r="H52" i="37"/>
  <c r="H7" i="36"/>
  <c r="C60" i="15"/>
  <c r="C66" i="15"/>
  <c r="J24" i="15"/>
  <c r="J26" i="15"/>
  <c r="J29" i="15"/>
  <c r="J18" i="15"/>
  <c r="C26" i="68"/>
  <c r="D22" i="68"/>
  <c r="C44" i="68"/>
  <c r="D41" i="68"/>
  <c r="C26" i="11"/>
  <c r="D22" i="11"/>
  <c r="C24" i="11"/>
  <c r="C25" i="11"/>
  <c r="C44" i="11"/>
  <c r="D41" i="11"/>
  <c r="C23" i="11"/>
  <c r="C32" i="15"/>
  <c r="C38" i="15"/>
  <c r="C66" i="67"/>
  <c r="C60" i="67"/>
  <c r="C26" i="69"/>
  <c r="D22" i="69"/>
  <c r="C44" i="69"/>
  <c r="D41" i="69"/>
  <c r="C32" i="67"/>
  <c r="C38" i="67"/>
  <c r="C20" i="67"/>
  <c r="C26" i="67"/>
  <c r="C91" i="9"/>
  <c r="I63" i="40"/>
  <c r="H65" i="40"/>
  <c r="I53" i="33"/>
  <c r="J53" i="33"/>
  <c r="E53" i="33"/>
  <c r="F53" i="33"/>
  <c r="E52" i="33"/>
  <c r="F52" i="33"/>
  <c r="C29" i="43"/>
  <c r="C39" i="43"/>
  <c r="C37" i="43"/>
  <c r="C35" i="43"/>
  <c r="T11" i="43"/>
  <c r="V11" i="43"/>
  <c r="T9" i="43"/>
  <c r="V9" i="43"/>
  <c r="T13" i="43"/>
  <c r="V13" i="43"/>
  <c r="T12" i="43"/>
  <c r="V12" i="43"/>
  <c r="T10" i="43"/>
  <c r="V10" i="43"/>
  <c r="C33" i="43"/>
  <c r="C36" i="43"/>
  <c r="C34" i="43"/>
  <c r="T8" i="43"/>
  <c r="V8" i="43"/>
  <c r="T16" i="43"/>
  <c r="V16" i="43"/>
  <c r="C38" i="43"/>
  <c r="T14" i="43"/>
  <c r="V14" i="43"/>
  <c r="T15" i="43"/>
  <c r="V15" i="43"/>
  <c r="C48" i="33"/>
  <c r="C49" i="33"/>
  <c r="B2" i="33"/>
  <c r="B3" i="33"/>
  <c r="T2" i="43"/>
  <c r="V2" i="43"/>
  <c r="C8" i="69"/>
  <c r="C18" i="12"/>
  <c r="C21" i="12"/>
  <c r="C19" i="15"/>
  <c r="C20" i="15"/>
  <c r="C26" i="15"/>
  <c r="C33" i="11"/>
  <c r="C39" i="11"/>
  <c r="C19" i="69"/>
  <c r="D37" i="69"/>
  <c r="C37" i="69"/>
  <c r="C33" i="69"/>
  <c r="I6" i="6"/>
  <c r="I5" i="6"/>
  <c r="D37" i="68"/>
  <c r="C37" i="68"/>
  <c r="C33" i="68"/>
  <c r="C19" i="68"/>
  <c r="H27" i="6"/>
  <c r="R19" i="6"/>
  <c r="I52" i="37"/>
  <c r="U7" i="36"/>
  <c r="AB7" i="36"/>
  <c r="T36" i="36"/>
  <c r="G36" i="36"/>
  <c r="I59" i="34"/>
  <c r="AC7" i="36"/>
  <c r="V36" i="36"/>
  <c r="I36" i="36"/>
  <c r="W7" i="36"/>
  <c r="R37" i="36"/>
  <c r="E36" i="36"/>
  <c r="I68" i="39"/>
  <c r="H70" i="39"/>
  <c r="C22" i="11"/>
  <c r="C31" i="11"/>
  <c r="C33" i="67"/>
  <c r="J59" i="67"/>
  <c r="J60" i="67"/>
  <c r="J59" i="15"/>
  <c r="J60" i="15"/>
  <c r="C23" i="67"/>
  <c r="C29" i="67"/>
  <c r="J19" i="67"/>
  <c r="C92" i="9"/>
  <c r="C94" i="9"/>
  <c r="E38" i="43"/>
  <c r="G38" i="43"/>
  <c r="I38" i="43"/>
  <c r="E36" i="43"/>
  <c r="G36" i="43"/>
  <c r="I36" i="43"/>
  <c r="G37" i="43"/>
  <c r="I37" i="43"/>
  <c r="E37" i="43"/>
  <c r="E29" i="43"/>
  <c r="C30" i="43"/>
  <c r="E30" i="43"/>
  <c r="E34" i="43"/>
  <c r="G34" i="43"/>
  <c r="I34" i="43"/>
  <c r="E33" i="43"/>
  <c r="G33" i="43"/>
  <c r="I33" i="43"/>
  <c r="G35" i="43"/>
  <c r="I35" i="43"/>
  <c r="E35" i="43"/>
  <c r="G39" i="43"/>
  <c r="I39" i="43"/>
  <c r="E39" i="43"/>
  <c r="J63" i="40"/>
  <c r="I65" i="40"/>
  <c r="C22" i="12"/>
  <c r="C30" i="12"/>
  <c r="C28" i="12"/>
  <c r="C13" i="67"/>
  <c r="J35" i="9"/>
  <c r="F35" i="9"/>
  <c r="C23" i="15"/>
  <c r="C29" i="15"/>
  <c r="C36" i="15"/>
  <c r="Q49" i="67"/>
  <c r="C36" i="67"/>
  <c r="J11" i="39"/>
  <c r="F11" i="39"/>
  <c r="H11" i="39"/>
  <c r="R27" i="6"/>
  <c r="R6" i="1"/>
  <c r="C42" i="11"/>
  <c r="C46" i="11"/>
  <c r="C45" i="11"/>
  <c r="C43" i="11"/>
  <c r="C24" i="68"/>
  <c r="C39" i="69"/>
  <c r="C42" i="69"/>
  <c r="C39" i="68"/>
  <c r="C42" i="68"/>
  <c r="C24" i="69"/>
  <c r="J68" i="39"/>
  <c r="I70" i="39"/>
  <c r="E40" i="36"/>
  <c r="F40" i="36"/>
  <c r="E41" i="36"/>
  <c r="F41" i="36"/>
  <c r="J52" i="37"/>
  <c r="C37" i="36"/>
  <c r="B2" i="36"/>
  <c r="B3" i="36"/>
  <c r="C36" i="36"/>
  <c r="I40" i="36"/>
  <c r="J40" i="36"/>
  <c r="I41" i="36"/>
  <c r="J41" i="36"/>
  <c r="J59" i="34"/>
  <c r="G40" i="36"/>
  <c r="H40" i="36"/>
  <c r="G41" i="36"/>
  <c r="H41" i="36"/>
  <c r="Q48" i="15"/>
  <c r="Q48" i="67"/>
  <c r="C37" i="67"/>
  <c r="M21" i="67"/>
  <c r="F35" i="15"/>
  <c r="M21" i="15"/>
  <c r="F35" i="67"/>
  <c r="Q70" i="67"/>
  <c r="J14" i="67"/>
  <c r="J22" i="67"/>
  <c r="C57" i="67"/>
  <c r="C27" i="12"/>
  <c r="C25" i="12"/>
  <c r="C32" i="12"/>
  <c r="B2" i="12"/>
  <c r="B3" i="12"/>
  <c r="C27" i="43"/>
  <c r="J65" i="40"/>
  <c r="K63" i="40"/>
  <c r="C26" i="43"/>
  <c r="C75" i="67"/>
  <c r="J13" i="67"/>
  <c r="J23" i="67"/>
  <c r="J19" i="15"/>
  <c r="C33" i="15"/>
  <c r="Q49" i="15"/>
  <c r="C57" i="15"/>
  <c r="C56" i="67"/>
  <c r="C65" i="67"/>
  <c r="J14" i="15"/>
  <c r="C13" i="15"/>
  <c r="S11" i="39"/>
  <c r="AA11" i="39"/>
  <c r="AB11" i="39"/>
  <c r="U11" i="39"/>
  <c r="W11" i="39"/>
  <c r="AC11" i="39"/>
  <c r="J20" i="67"/>
  <c r="J17" i="67"/>
  <c r="J16" i="67"/>
  <c r="J25" i="67"/>
  <c r="F63" i="67"/>
  <c r="C62" i="67"/>
  <c r="C34" i="67"/>
  <c r="C31" i="67"/>
  <c r="C30" i="67"/>
  <c r="C39" i="67"/>
  <c r="J20" i="15"/>
  <c r="C34" i="15"/>
  <c r="F63" i="15"/>
  <c r="C62" i="15"/>
  <c r="R16" i="1"/>
  <c r="C41" i="11"/>
  <c r="C49" i="11"/>
  <c r="C51" i="11"/>
  <c r="C52" i="11"/>
  <c r="B2" i="11"/>
  <c r="B3" i="11"/>
  <c r="C46" i="68"/>
  <c r="C45" i="68"/>
  <c r="C43" i="68"/>
  <c r="C41" i="68"/>
  <c r="C46" i="69"/>
  <c r="C45" i="69"/>
  <c r="C43" i="69"/>
  <c r="C41" i="69"/>
  <c r="K59" i="34"/>
  <c r="K52" i="37"/>
  <c r="K68" i="39"/>
  <c r="J70" i="39"/>
  <c r="L51" i="67"/>
  <c r="E6" i="76"/>
  <c r="C64" i="67"/>
  <c r="C61" i="67"/>
  <c r="C59" i="67"/>
  <c r="E2" i="76"/>
  <c r="B2" i="43"/>
  <c r="L63" i="40"/>
  <c r="K65" i="40"/>
  <c r="J17" i="15"/>
  <c r="C31" i="15"/>
  <c r="C37" i="15"/>
  <c r="C75" i="15"/>
  <c r="Q70" i="15"/>
  <c r="C56" i="15"/>
  <c r="C65" i="15"/>
  <c r="J13" i="15"/>
  <c r="J23" i="15"/>
  <c r="J22" i="15"/>
  <c r="C61" i="15"/>
  <c r="C59" i="15"/>
  <c r="C64" i="15"/>
  <c r="Q69" i="67"/>
  <c r="Q68" i="67"/>
  <c r="C80" i="67"/>
  <c r="C79" i="67"/>
  <c r="C40" i="67"/>
  <c r="C43" i="67"/>
  <c r="C49" i="68"/>
  <c r="C51" i="68"/>
  <c r="C49" i="69"/>
  <c r="C51" i="69"/>
  <c r="C56" i="11"/>
  <c r="C57" i="11"/>
  <c r="L52" i="37"/>
  <c r="L68" i="39"/>
  <c r="K70" i="39"/>
  <c r="L59" i="34"/>
  <c r="L57" i="15"/>
  <c r="L60" i="15"/>
  <c r="L46" i="15"/>
  <c r="Q67" i="67"/>
  <c r="L57" i="67"/>
  <c r="L60" i="67"/>
  <c r="L46" i="67"/>
  <c r="B6" i="76"/>
  <c r="C58" i="67"/>
  <c r="C67" i="67"/>
  <c r="C68" i="67"/>
  <c r="C71" i="67"/>
  <c r="B2" i="76"/>
  <c r="B3" i="76"/>
  <c r="L65" i="40"/>
  <c r="M63" i="40"/>
  <c r="B3" i="43"/>
  <c r="C58" i="15"/>
  <c r="C67" i="15"/>
  <c r="C68" i="15"/>
  <c r="C71" i="15"/>
  <c r="C45" i="67"/>
  <c r="C46" i="67"/>
  <c r="D2" i="67"/>
  <c r="B3" i="67"/>
  <c r="C30" i="15"/>
  <c r="C39" i="15"/>
  <c r="C40" i="15"/>
  <c r="J16" i="15"/>
  <c r="J25" i="15"/>
  <c r="Q47" i="67"/>
  <c r="Q53" i="67"/>
  <c r="Q56" i="67"/>
  <c r="C83" i="67"/>
  <c r="C82" i="67"/>
  <c r="Q65" i="67"/>
  <c r="M68" i="39"/>
  <c r="L70" i="39"/>
  <c r="M59" i="34"/>
  <c r="M52" i="37"/>
  <c r="Q66" i="67"/>
  <c r="Q57" i="67"/>
  <c r="Q57" i="15"/>
  <c r="Q66" i="15"/>
  <c r="D20" i="9"/>
  <c r="N63" i="40"/>
  <c r="M65" i="40"/>
  <c r="Q75" i="67"/>
  <c r="B2" i="67"/>
  <c r="Q69" i="15"/>
  <c r="Q68" i="15"/>
  <c r="C80" i="15"/>
  <c r="C79" i="15"/>
  <c r="C43" i="15"/>
  <c r="Q47" i="15"/>
  <c r="Q53" i="15"/>
  <c r="C83" i="15"/>
  <c r="C82" i="15"/>
  <c r="Q65" i="15"/>
  <c r="Q75" i="15"/>
  <c r="Q56" i="15"/>
  <c r="Q62" i="15"/>
  <c r="B2" i="15"/>
  <c r="B3" i="15"/>
  <c r="C46" i="15"/>
  <c r="D103" i="9"/>
  <c r="Q62" i="67"/>
  <c r="N68" i="39"/>
  <c r="M70" i="39"/>
  <c r="N52" i="37"/>
  <c r="O52" i="37"/>
  <c r="N59" i="34"/>
  <c r="O59" i="34"/>
  <c r="D19" i="9"/>
  <c r="L51" i="15"/>
  <c r="AO6" i="1"/>
  <c r="Q67" i="15"/>
  <c r="H7" i="34"/>
  <c r="H7" i="37"/>
  <c r="O63" i="40"/>
  <c r="O65" i="40"/>
  <c r="N65" i="40"/>
  <c r="H7" i="40"/>
  <c r="D21" i="9"/>
  <c r="D102" i="9"/>
  <c r="B6" i="70"/>
  <c r="B2" i="70"/>
  <c r="B3" i="70"/>
  <c r="U7" i="37"/>
  <c r="AB7" i="37"/>
  <c r="T42" i="37"/>
  <c r="G42" i="37"/>
  <c r="U7" i="34"/>
  <c r="AB7" i="34"/>
  <c r="T49" i="34"/>
  <c r="G49" i="34"/>
  <c r="F7" i="34"/>
  <c r="J7" i="34"/>
  <c r="F7" i="37"/>
  <c r="J7" i="37"/>
  <c r="O68" i="39"/>
  <c r="O70" i="39"/>
  <c r="N70" i="39"/>
  <c r="F7" i="40"/>
  <c r="J7" i="40"/>
  <c r="U7" i="40"/>
  <c r="AB7" i="40"/>
  <c r="T42" i="40"/>
  <c r="G42" i="40"/>
  <c r="W7" i="37"/>
  <c r="AC7" i="37"/>
  <c r="V42" i="37"/>
  <c r="I42" i="37"/>
  <c r="W7" i="34"/>
  <c r="AC7" i="34"/>
  <c r="V49" i="34"/>
  <c r="I49" i="34"/>
  <c r="G53" i="34"/>
  <c r="H53" i="34"/>
  <c r="G54" i="34"/>
  <c r="H54" i="34"/>
  <c r="G47" i="37"/>
  <c r="H47" i="37"/>
  <c r="G46" i="37"/>
  <c r="H46" i="37"/>
  <c r="F7" i="39"/>
  <c r="J7" i="39"/>
  <c r="H7" i="39"/>
  <c r="AA7" i="37"/>
  <c r="R42" i="37"/>
  <c r="S7" i="37"/>
  <c r="S7" i="34"/>
  <c r="AA7" i="34"/>
  <c r="R49" i="34"/>
  <c r="G46" i="40"/>
  <c r="H46" i="40"/>
  <c r="AC7" i="40"/>
  <c r="V42" i="40"/>
  <c r="I42" i="40"/>
  <c r="W7" i="40"/>
  <c r="S7" i="40"/>
  <c r="AA7" i="40"/>
  <c r="R42" i="40"/>
  <c r="E49" i="34"/>
  <c r="R50" i="34"/>
  <c r="R43" i="37"/>
  <c r="E42" i="37"/>
  <c r="AC7" i="39"/>
  <c r="V47" i="39"/>
  <c r="I47" i="39"/>
  <c r="I51" i="39"/>
  <c r="J51" i="39"/>
  <c r="W7" i="39"/>
  <c r="I53" i="34"/>
  <c r="J53" i="34"/>
  <c r="I54" i="34"/>
  <c r="J54" i="34"/>
  <c r="I46" i="37"/>
  <c r="J46" i="37"/>
  <c r="AB7" i="39"/>
  <c r="T47" i="39"/>
  <c r="G47" i="39"/>
  <c r="U7" i="39"/>
  <c r="S7" i="39"/>
  <c r="AA7" i="39"/>
  <c r="R47" i="39"/>
  <c r="E42" i="40"/>
  <c r="R43" i="40"/>
  <c r="I46" i="40"/>
  <c r="J46" i="40"/>
  <c r="I47" i="40"/>
  <c r="J47" i="40"/>
  <c r="G47" i="40"/>
  <c r="H47" i="40"/>
  <c r="R48" i="39"/>
  <c r="E47" i="39"/>
  <c r="E46" i="37"/>
  <c r="F46" i="37"/>
  <c r="E47" i="37"/>
  <c r="F47" i="37"/>
  <c r="C50" i="34"/>
  <c r="B2" i="34"/>
  <c r="B3" i="34"/>
  <c r="C49" i="34"/>
  <c r="G52" i="39"/>
  <c r="H52" i="39"/>
  <c r="G51" i="39"/>
  <c r="H51" i="39"/>
  <c r="I47" i="37"/>
  <c r="J47" i="37"/>
  <c r="C42" i="37"/>
  <c r="C43" i="37"/>
  <c r="B2" i="37"/>
  <c r="B3" i="37"/>
  <c r="E54" i="34"/>
  <c r="F54" i="34"/>
  <c r="E53" i="34"/>
  <c r="F53" i="34"/>
  <c r="C42" i="40"/>
  <c r="C43" i="40"/>
  <c r="E47" i="40"/>
  <c r="F47" i="40"/>
  <c r="E46" i="40"/>
  <c r="F46" i="40"/>
  <c r="I52" i="39"/>
  <c r="J52" i="39"/>
  <c r="E52" i="39"/>
  <c r="F52" i="39"/>
  <c r="E51" i="39"/>
  <c r="F51" i="39"/>
  <c r="C48" i="39"/>
  <c r="C47" i="39"/>
  <c r="B55" i="40"/>
  <c r="F55" i="40"/>
  <c r="B60" i="40"/>
  <c r="F60" i="40"/>
  <c r="B58" i="40"/>
  <c r="F58" i="40"/>
  <c r="B51" i="40"/>
  <c r="F51" i="40"/>
  <c r="B59" i="40"/>
  <c r="F59" i="40"/>
  <c r="B54" i="40"/>
  <c r="F54" i="40"/>
  <c r="B53" i="40"/>
  <c r="F53" i="40"/>
  <c r="F61" i="40"/>
  <c r="B2" i="40"/>
  <c r="B3" i="40"/>
  <c r="B52" i="40"/>
  <c r="F52" i="40"/>
  <c r="B57" i="40"/>
  <c r="F57" i="40"/>
  <c r="B56" i="40"/>
  <c r="F56" i="40"/>
  <c r="B61" i="39"/>
  <c r="F61" i="39"/>
  <c r="B65" i="39"/>
  <c r="F65" i="39"/>
  <c r="B60" i="39"/>
  <c r="F60" i="39"/>
  <c r="B58" i="39"/>
  <c r="F58" i="39"/>
  <c r="B64" i="39"/>
  <c r="F64" i="39"/>
  <c r="B57" i="39"/>
  <c r="F57" i="39"/>
  <c r="B62" i="39"/>
  <c r="F62" i="39"/>
  <c r="B56" i="39"/>
  <c r="F56" i="39"/>
  <c r="B59" i="39"/>
  <c r="F59" i="39"/>
  <c r="B63" i="39"/>
  <c r="F63" i="39"/>
  <c r="F66" i="39"/>
  <c r="B2" i="39"/>
  <c r="B3" i="39"/>
  <c r="C6" i="68"/>
  <c r="C7" i="68"/>
  <c r="C5" i="68"/>
  <c r="C23" i="68"/>
  <c r="C20" i="68"/>
  <c r="C25" i="68"/>
  <c r="C7" i="69"/>
  <c r="C5" i="69"/>
  <c r="C28" i="68"/>
  <c r="C27" i="68"/>
  <c r="C22" i="68"/>
  <c r="C23" i="69"/>
  <c r="C20" i="69"/>
  <c r="C25" i="69"/>
  <c r="C31" i="68"/>
  <c r="C52" i="68"/>
  <c r="B2" i="68"/>
  <c r="C22" i="69"/>
  <c r="C28" i="69"/>
  <c r="C27" i="69"/>
  <c r="B3" i="68"/>
  <c r="C57" i="68"/>
  <c r="C56" i="68"/>
  <c r="C31" i="69"/>
  <c r="C52" i="69"/>
  <c r="B2" i="69"/>
  <c r="C19" i="9"/>
  <c r="B3" i="69"/>
  <c r="C21" i="9"/>
  <c r="G19" i="9"/>
  <c r="C102" i="9"/>
  <c r="D22" i="9"/>
  <c r="C57" i="69"/>
  <c r="C56" i="69"/>
  <c r="C20" i="9"/>
  <c r="G21" i="9"/>
  <c r="C103" i="9"/>
  <c r="G20" i="9"/>
  <c r="R24" i="31"/>
  <c r="R86" i="31"/>
  <c r="S86" i="31"/>
  <c r="C35" i="9"/>
  <c r="F118" i="9"/>
  <c r="R71" i="31"/>
  <c r="S71" i="31"/>
  <c r="R104" i="31"/>
  <c r="S104" i="31"/>
  <c r="R91" i="31"/>
  <c r="S91" i="31"/>
  <c r="R55" i="31"/>
  <c r="S55" i="31"/>
  <c r="R56" i="31"/>
  <c r="S56" i="31"/>
  <c r="R39" i="31"/>
  <c r="S39" i="31"/>
  <c r="R88" i="31"/>
  <c r="S88" i="31"/>
  <c r="R89" i="31"/>
  <c r="S89" i="31"/>
  <c r="R72" i="31"/>
  <c r="S72" i="31"/>
  <c r="R40" i="31"/>
  <c r="S40" i="31"/>
  <c r="R41" i="31"/>
  <c r="S41" i="31"/>
  <c r="R105" i="31"/>
  <c r="S105" i="31"/>
  <c r="R73" i="31"/>
  <c r="S73" i="31"/>
  <c r="R67" i="31"/>
  <c r="S67" i="31"/>
  <c r="R57" i="31"/>
  <c r="S57" i="31"/>
  <c r="R25" i="31"/>
  <c r="S25" i="31"/>
  <c r="R35" i="31"/>
  <c r="S35" i="31"/>
  <c r="R83" i="31"/>
  <c r="S83" i="31"/>
  <c r="R51" i="31"/>
  <c r="S51" i="31"/>
  <c r="R68" i="31"/>
  <c r="S68" i="31"/>
  <c r="R100" i="31"/>
  <c r="S100" i="31"/>
  <c r="R101" i="31"/>
  <c r="S101" i="31"/>
  <c r="R84" i="31"/>
  <c r="S84" i="31"/>
  <c r="R52" i="31"/>
  <c r="S52" i="31"/>
  <c r="R53" i="31"/>
  <c r="S53" i="31"/>
  <c r="R36" i="31"/>
  <c r="S36" i="31"/>
  <c r="R85" i="31"/>
  <c r="S85" i="31"/>
  <c r="R42" i="31"/>
  <c r="S42" i="31"/>
  <c r="R69" i="31"/>
  <c r="S69" i="31"/>
  <c r="R37" i="31"/>
  <c r="S37" i="31"/>
  <c r="R78" i="31"/>
  <c r="S78" i="31"/>
  <c r="R95" i="31"/>
  <c r="S95" i="31"/>
  <c r="R103" i="31"/>
  <c r="S103" i="31"/>
  <c r="R34" i="31"/>
  <c r="S34" i="31"/>
  <c r="S24" i="31"/>
  <c r="R26" i="31"/>
  <c r="S26" i="31"/>
  <c r="R63" i="31"/>
  <c r="S63" i="31"/>
  <c r="R31" i="31"/>
  <c r="S31" i="31"/>
  <c r="R80" i="31"/>
  <c r="S80" i="31"/>
  <c r="R48" i="31"/>
  <c r="S48" i="31"/>
  <c r="R97" i="31"/>
  <c r="S97" i="31"/>
  <c r="R65" i="31"/>
  <c r="S65" i="31"/>
  <c r="R33" i="31"/>
  <c r="S33" i="31"/>
  <c r="R75" i="31"/>
  <c r="S75" i="31"/>
  <c r="R43" i="31"/>
  <c r="S43" i="31"/>
  <c r="R92" i="31"/>
  <c r="S92" i="31"/>
  <c r="R60" i="31"/>
  <c r="S60" i="31"/>
  <c r="R28" i="31"/>
  <c r="S28" i="31"/>
  <c r="R77" i="31"/>
  <c r="S77" i="31"/>
  <c r="R45" i="31"/>
  <c r="S45" i="31"/>
  <c r="R58" i="31"/>
  <c r="S58" i="31"/>
  <c r="R30" i="31"/>
  <c r="S30" i="31"/>
  <c r="R90" i="31"/>
  <c r="S90" i="31"/>
  <c r="R50" i="31"/>
  <c r="S50" i="31"/>
  <c r="R38" i="31"/>
  <c r="S38" i="31"/>
  <c r="R94" i="31"/>
  <c r="S94" i="31"/>
  <c r="R79" i="31"/>
  <c r="S79" i="31"/>
  <c r="R47" i="31"/>
  <c r="S47" i="31"/>
  <c r="R96" i="31"/>
  <c r="S96" i="31"/>
  <c r="R64" i="31"/>
  <c r="S64" i="31"/>
  <c r="R32" i="31"/>
  <c r="S32" i="31"/>
  <c r="R81" i="31"/>
  <c r="S81" i="31"/>
  <c r="R49" i="31"/>
  <c r="S49" i="31"/>
  <c r="R99" i="31"/>
  <c r="S99" i="31"/>
  <c r="R59" i="31"/>
  <c r="S59" i="31"/>
  <c r="R27" i="31"/>
  <c r="S27" i="31"/>
  <c r="R76" i="31"/>
  <c r="S76" i="31"/>
  <c r="R44" i="31"/>
  <c r="S44" i="31"/>
  <c r="R93" i="31"/>
  <c r="S93" i="31"/>
  <c r="R61" i="31"/>
  <c r="S61" i="31"/>
  <c r="R29" i="31"/>
  <c r="S29" i="31"/>
  <c r="R82" i="31"/>
  <c r="S82" i="31"/>
  <c r="R62" i="31"/>
  <c r="S62" i="31"/>
  <c r="R102" i="31"/>
  <c r="S102" i="31"/>
  <c r="R87" i="31"/>
  <c r="S87" i="31"/>
  <c r="R70" i="31"/>
  <c r="S70" i="31"/>
  <c r="R66" i="31"/>
  <c r="S66" i="31"/>
  <c r="R46" i="31"/>
  <c r="S46" i="31"/>
  <c r="R98" i="31"/>
  <c r="S98" i="31"/>
  <c r="R74" i="31"/>
  <c r="S74" i="31"/>
  <c r="R54" i="31"/>
  <c r="S54" i="31"/>
  <c r="R106" i="31"/>
  <c r="S106" i="31"/>
  <c r="F4" i="52"/>
  <c r="B51" i="72"/>
  <c r="F119" i="9"/>
  <c r="F5" i="52"/>
  <c r="B53" i="72"/>
  <c r="G118" i="9"/>
  <c r="G4" i="52"/>
  <c r="B52" i="72"/>
  <c r="S22" i="31"/>
  <c r="R22" i="31"/>
  <c r="B21" i="31"/>
  <c r="W21" i="31"/>
  <c r="B20" i="31"/>
  <c r="C32" i="9"/>
  <c r="D35" i="9"/>
  <c r="H118" i="9"/>
  <c r="L25" i="9"/>
  <c r="L26" i="9"/>
  <c r="L28" i="9"/>
  <c r="F34" i="9"/>
  <c r="C34" i="9"/>
  <c r="M26" i="9"/>
  <c r="M48" i="9"/>
  <c r="M49" i="9"/>
  <c r="G14" i="74"/>
  <c r="B6" i="74"/>
  <c r="D14" i="74"/>
  <c r="V21" i="31"/>
  <c r="D34" i="9"/>
  <c r="H119" i="9"/>
  <c r="H5" i="52"/>
  <c r="H101" i="9"/>
  <c r="I118" i="9"/>
  <c r="H4" i="52"/>
  <c r="C104" i="9"/>
  <c r="D118" i="9"/>
  <c r="L68" i="9"/>
  <c r="M68" i="9"/>
  <c r="L63" i="9"/>
  <c r="M63" i="9"/>
  <c r="E14" i="74"/>
  <c r="B5" i="74"/>
  <c r="F14" i="74"/>
  <c r="D6" i="74"/>
  <c r="C6" i="74"/>
  <c r="C105" i="9"/>
  <c r="I4" i="52"/>
  <c r="H102" i="9"/>
  <c r="D7" i="53"/>
  <c r="B21" i="72"/>
  <c r="D5" i="53"/>
  <c r="H107" i="9"/>
  <c r="E118" i="9"/>
  <c r="E4" i="52"/>
  <c r="B48" i="72"/>
  <c r="D119" i="9"/>
  <c r="D5" i="52"/>
  <c r="B49" i="72"/>
  <c r="D4" i="52"/>
  <c r="B47" i="72"/>
  <c r="L67" i="9"/>
  <c r="M67" i="9"/>
  <c r="D45" i="9"/>
  <c r="L64" i="9"/>
  <c r="M64" i="9"/>
  <c r="L66" i="9"/>
  <c r="M66" i="9"/>
  <c r="L65" i="9"/>
  <c r="M65" i="9"/>
  <c r="C93" i="9"/>
  <c r="C86" i="9"/>
  <c r="C72" i="9"/>
  <c r="D55" i="9"/>
  <c r="M53" i="9"/>
  <c r="D52" i="9"/>
  <c r="C85" i="9"/>
  <c r="C5" i="74"/>
  <c r="D5" i="74"/>
  <c r="B20" i="72"/>
  <c r="D6" i="53"/>
  <c r="B22" i="72"/>
  <c r="H108" i="9"/>
  <c r="D15" i="53"/>
  <c r="B31" i="72"/>
  <c r="D13" i="53"/>
  <c r="D122" i="9"/>
  <c r="M69" i="9"/>
  <c r="N69" i="9"/>
  <c r="C78" i="9"/>
  <c r="C73" i="9"/>
  <c r="C79" i="9"/>
  <c r="D53" i="9"/>
  <c r="D48" i="9"/>
  <c r="M52" i="9"/>
  <c r="C64" i="9"/>
  <c r="C63" i="9"/>
  <c r="C67" i="9"/>
  <c r="C68" i="9"/>
  <c r="D54" i="9"/>
  <c r="C95" i="9"/>
  <c r="C96" i="9"/>
  <c r="E96" i="9"/>
  <c r="E97" i="9"/>
  <c r="D14" i="53"/>
  <c r="B32" i="72"/>
  <c r="B30" i="72"/>
  <c r="D123" i="9"/>
  <c r="D9" i="52"/>
  <c r="D8" i="52"/>
  <c r="C80" i="9"/>
  <c r="E80" i="9"/>
  <c r="E81" i="9"/>
  <c r="C97" i="9"/>
  <c r="D58" i="9"/>
  <c r="D56" i="9"/>
  <c r="M54" i="9"/>
  <c r="N57" i="9"/>
  <c r="N58" i="9"/>
  <c r="V23" i="31"/>
  <c r="V30" i="31"/>
  <c r="W22" i="31"/>
  <c r="C81" i="9"/>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<sst xmlns="http://schemas.openxmlformats.org/spreadsheetml/2006/main" count="7930" uniqueCount="3371">
  <si>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</si>
  <si>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</si>
  <si>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</si>
  <si>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</si>
  <si>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</si>
  <si>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</si>
  <si>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</si>
  <si>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</si>
  <si>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</si>
  <si>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</si>
  <si>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</si>
  <si>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</si>
  <si>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</si>
  <si>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</si>
  <si>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</si>
  <si>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</si>
  <si>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</si>
  <si>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</si>
  <si>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</si>
  <si>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</si>
  <si>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</si>
  <si>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</si>
  <si>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</si>
  <si>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</si>
  <si>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</si>
  <si>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</si>
  <si>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</si>
  <si>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</si>
  <si>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</si>
  <si>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</si>
  <si>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</si>
  <si>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</si>
  <si>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</si>
  <si>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</si>
  <si>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</si>
  <si>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</si>
  <si>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</si>
  <si>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</si>
  <si>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</si>
  <si>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</si>
  <si>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</si>
  <si>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</si>
  <si>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</si>
  <si>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</si>
  <si>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</si>
  <si>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</si>
  <si>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</si>
  <si>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</si>
  <si>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</si>
  <si>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</si>
  <si>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</si>
  <si>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</si>
  <si>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</si>
  <si>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</si>
  <si>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</si>
  <si>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</si>
  <si>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</si>
  <si>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</si>
  <si>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</si>
  <si>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</si>
  <si>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</si>
  <si>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</si>
  <si>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</si>
  <si>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</si>
  <si>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</si>
  <si>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</si>
  <si>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</si>
  <si>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</si>
  <si>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</si>
  <si>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</si>
  <si>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</si>
  <si>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</si>
  <si>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</si>
  <si>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</si>
  <si>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</si>
  <si>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</si>
  <si>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</si>
  <si>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</si>
  <si>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</si>
  <si>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</si>
  <si>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</si>
  <si>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</si>
  <si>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</si>
  <si>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</si>
  <si>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</si>
  <si>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</si>
  <si>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</si>
  <si>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</si>
  <si>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</si>
  <si>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</si>
  <si>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</si>
  <si>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</si>
  <si>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</si>
  <si>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</si>
  <si>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</si>
  <si>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</si>
  <si>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</si>
  <si>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</si>
  <si>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</si>
  <si>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</si>
  <si>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</si>
  <si>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</si>
  <si>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</si>
  <si>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</si>
  <si>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</si>
  <si>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</si>
  <si>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</si>
  <si>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</si>
  <si>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</si>
  <si>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</si>
  <si>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</si>
  <si>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</si>
  <si>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</si>
  <si>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</si>
  <si>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</si>
  <si>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</si>
  <si>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</si>
  <si>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</si>
  <si>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</si>
  <si>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</si>
  <si>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</si>
  <si>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</si>
  <si>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</si>
  <si>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</si>
  <si>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</si>
  <si>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</si>
  <si>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</si>
  <si>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</si>
  <si>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</si>
  <si>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</si>
  <si>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</si>
  <si>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</si>
  <si>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</si>
  <si>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</si>
  <si>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</si>
  <si>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</si>
  <si>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</si>
  <si>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</si>
  <si>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</si>
  <si>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</si>
  <si>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</si>
  <si>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</si>
  <si>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</si>
  <si>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</si>
  <si>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</si>
  <si>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</si>
  <si>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</si>
  <si>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</si>
  <si>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</si>
  <si>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</si>
  <si>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</si>
  <si>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</si>
  <si>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</si>
  <si>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</si>
  <si>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</si>
  <si>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</si>
  <si>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</si>
  <si>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</si>
  <si>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</si>
  <si>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</si>
  <si>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</si>
  <si>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</si>
  <si>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</si>
  <si>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</si>
  <si>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</si>
  <si>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</si>
  <si>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</si>
  <si>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</si>
  <si>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</si>
  <si>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</si>
  <si>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</si>
  <si>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</si>
  <si>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</si>
  <si>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</si>
  <si>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</si>
  <si>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</si>
  <si>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</si>
  <si>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</si>
  <si>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</si>
  <si>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</si>
  <si>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</si>
  <si>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</si>
  <si>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</si>
  <si>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</si>
  <si>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</si>
  <si>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</si>
  <si>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</si>
  <si>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</si>
  <si>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</si>
  <si>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</si>
  <si>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</si>
  <si>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</si>
  <si>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</si>
  <si>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</si>
  <si>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</si>
  <si>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</si>
  <si>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</si>
  <si>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</si>
  <si>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</si>
  <si>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</si>
  <si>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</si>
  <si>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</si>
  <si>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</si>
  <si>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</si>
  <si>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</si>
  <si>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</si>
  <si>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</si>
  <si>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</si>
  <si>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</si>
  <si>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</si>
  <si>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</si>
  <si>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</si>
  <si>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</si>
  <si>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</si>
  <si>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</si>
  <si>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</si>
  <si>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</si>
  <si>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</si>
  <si>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</si>
  <si>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</si>
  <si>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</si>
  <si>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</si>
  <si>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</si>
  <si>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</si>
  <si>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</si>
  <si>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</si>
  <si>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</si>
  <si>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</si>
  <si>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</si>
  <si>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</si>
  <si>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</si>
  <si>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</si>
  <si>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</si>
  <si>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</si>
  <si>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</si>
  <si>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</si>
  <si>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</si>
  <si>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</si>
  <si>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</si>
  <si>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</si>
  <si>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</si>
  <si>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</si>
  <si>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</si>
  <si>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</si>
  <si>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</si>
  <si>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</si>
  <si>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</si>
  <si>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</si>
  <si>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</si>
  <si>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</si>
  <si>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</si>
  <si>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</si>
  <si>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</si>
  <si>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</si>
  <si>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</si>
  <si>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</si>
  <si>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</si>
  <si>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</si>
  <si>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</si>
  <si>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</si>
  <si>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</si>
  <si>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</si>
  <si>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</si>
  <si>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</si>
  <si>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</si>
  <si>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</si>
  <si>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</si>
  <si>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</si>
  <si>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</si>
  <si>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</si>
  <si>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</si>
  <si>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</si>
  <si>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</si>
  <si>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</si>
  <si>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</si>
  <si>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</si>
  <si>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</si>
  <si>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</si>
  <si>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</si>
  <si>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</si>
  <si>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</si>
  <si>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</si>
  <si>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</si>
  <si>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</si>
  <si>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</si>
  <si>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</si>
  <si>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</si>
  <si>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</si>
  <si>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</si>
  <si>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</si>
  <si>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</si>
  <si>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</si>
  <si>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</si>
  <si>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</si>
  <si>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</si>
  <si>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</si>
  <si>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</si>
  <si>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</si>
  <si>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</si>
  <si>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</si>
  <si>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</si>
  <si>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</si>
  <si>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</si>
  <si>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</si>
  <si>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</si>
  <si>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</si>
  <si>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</si>
  <si>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</si>
  <si>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</si>
  <si>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</si>
  <si>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</si>
  <si>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</si>
  <si>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</si>
  <si>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</si>
  <si>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</si>
  <si>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</si>
  <si>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</si>
  <si>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</si>
  <si>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</si>
  <si>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</si>
  <si>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</si>
  <si>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</si>
  <si>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</si>
  <si>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</si>
  <si>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</si>
  <si>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</si>
  <si>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</si>
  <si>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</si>
  <si>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</si>
  <si>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</si>
  <si>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</si>
  <si>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</si>
  <si>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</si>
  <si>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</si>
  <si>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</si>
  <si>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</si>
  <si>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</si>
  <si>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</si>
  <si>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</si>
  <si>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</si>
  <si>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</si>
  <si>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</si>
  <si>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</si>
  <si>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</si>
  <si>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</si>
  <si>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</si>
  <si>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</si>
  <si>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</si>
  <si>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</si>
  <si>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</si>
  <si>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</si>
  <si>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</si>
  <si>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</si>
  <si>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</si>
  <si>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</si>
  <si>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</si>
  <si>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</si>
  <si>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</si>
  <si>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</si>
  <si>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</si>
  <si>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</si>
  <si>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</si>
  <si>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</si>
  <si>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</si>
  <si>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</si>
  <si>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</si>
  <si>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</si>
  <si>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</si>
  <si>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</si>
  <si>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</si>
  <si>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</si>
  <si>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</si>
  <si>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</si>
  <si>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</si>
  <si>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</si>
  <si>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</si>
  <si>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</si>
  <si>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</si>
  <si>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</si>
  <si>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</si>
  <si>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</si>
  <si>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</si>
  <si>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</si>
  <si>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</si>
  <si>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</si>
  <si>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</si>
  <si>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</si>
  <si>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</si>
  <si>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</si>
  <si>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</si>
  <si>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</si>
  <si>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</si>
  <si>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</si>
  <si>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</si>
  <si>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</si>
  <si>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</si>
  <si>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</si>
  <si>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</si>
  <si>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</si>
  <si>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</si>
  <si>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</si>
  <si>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</si>
  <si>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</si>
  <si>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</si>
  <si>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</si>
  <si>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</si>
  <si>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</si>
  <si>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</si>
  <si>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</si>
  <si>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</si>
  <si>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</si>
  <si>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</si>
  <si>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</si>
  <si>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</si>
  <si>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</si>
  <si>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</si>
  <si>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</si>
  <si>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</si>
  <si>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</si>
  <si>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</si>
  <si>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</si>
  <si>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</si>
  <si>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</si>
  <si>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</si>
  <si>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</si>
  <si>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</si>
  <si>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</si>
  <si>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</si>
  <si>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</si>
  <si>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</si>
  <si>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</si>
  <si>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</si>
  <si>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</si>
  <si>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</si>
  <si>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</si>
  <si>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</si>
  <si>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</si>
  <si>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</si>
  <si>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</si>
  <si>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</si>
  <si>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</si>
  <si>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</si>
  <si>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</si>
  <si>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</si>
  <si>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</si>
  <si>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</si>
  <si>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</si>
  <si>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</si>
  <si>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</si>
  <si>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</si>
  <si>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</si>
  <si>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</si>
  <si>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</si>
  <si>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</si>
  <si>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</si>
  <si>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</si>
  <si>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</si>
  <si>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</si>
  <si>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</si>
  <si>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</si>
  <si>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</si>
  <si>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</si>
  <si>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</si>
  <si>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</si>
  <si>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</si>
  <si>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</si>
  <si>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</si>
  <si>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</si>
  <si>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</si>
  <si>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</si>
  <si>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</si>
  <si>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</si>
  <si>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</si>
  <si>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</si>
  <si>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</si>
  <si>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</si>
  <si>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</si>
  <si>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</si>
  <si>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</si>
  <si>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</si>
  <si>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</si>
  <si>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</si>
  <si>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</si>
  <si>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</si>
  <si>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</si>
  <si>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</si>
  <si>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</si>
  <si>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</si>
  <si>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</si>
  <si>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</si>
  <si>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</si>
  <si>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</si>
  <si>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</si>
  <si>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</si>
  <si>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</si>
  <si>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</si>
  <si>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</si>
  <si>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</si>
  <si>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</si>
  <si>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</si>
  <si>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</si>
  <si>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</si>
  <si>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</si>
  <si>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</si>
  <si>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</si>
  <si>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</si>
  <si>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</si>
  <si>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</si>
  <si>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</si>
  <si>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</si>
  <si>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</si>
  <si>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</si>
  <si>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</si>
  <si>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</si>
  <si>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</si>
  <si>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</si>
  <si>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</si>
  <si>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</si>
  <si>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</si>
  <si>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</si>
  <si>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</si>
  <si>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</si>
  <si>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</si>
  <si>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</si>
  <si>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</si>
  <si>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</si>
  <si>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</si>
  <si>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</si>
  <si>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</si>
  <si>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</si>
  <si>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</si>
  <si>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</si>
  <si>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</si>
  <si>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</si>
  <si>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</si>
  <si>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</si>
  <si>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</si>
  <si>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</si>
  <si>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</si>
  <si>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</si>
  <si>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</si>
  <si>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</si>
  <si>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</si>
  <si>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</si>
  <si>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</si>
  <si>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</si>
  <si>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</si>
  <si>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</si>
  <si>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</si>
  <si>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</si>
  <si>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</si>
  <si>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</si>
  <si>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</si>
  <si>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</si>
  <si>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</si>
  <si>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</si>
  <si>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</si>
  <si>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</si>
  <si>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</si>
  <si>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</si>
  <si>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</si>
  <si>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</si>
  <si>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</si>
  <si>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</si>
  <si>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</si>
  <si>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</si>
  <si>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</si>
  <si>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</si>
  <si>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</si>
  <si>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</si>
  <si>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</si>
  <si>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</si>
  <si>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</si>
  <si>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</si>
  <si>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</si>
  <si>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</si>
  <si>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</si>
  <si>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</si>
  <si>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</si>
  <si>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</si>
  <si>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</si>
  <si>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</si>
  <si>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</si>
  <si>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</si>
  <si>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</si>
  <si>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</si>
  <si>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</si>
  <si>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</si>
  <si>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</si>
  <si>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</si>
  <si>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</si>
  <si>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</si>
  <si>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</si>
  <si>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</si>
  <si>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</si>
  <si>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</si>
  <si>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</si>
  <si>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</si>
  <si>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</si>
  <si>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</si>
  <si>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</si>
  <si>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</si>
  <si>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</si>
  <si>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</si>
  <si>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</si>
  <si>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</si>
  <si>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</si>
  <si>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</si>
  <si>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</si>
  <si>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</si>
  <si>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</si>
  <si>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</si>
  <si>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</si>
  <si>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</si>
  <si>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</si>
  <si>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</si>
  <si>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</si>
  <si>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</si>
  <si>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</si>
  <si>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</si>
  <si>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</si>
  <si>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</si>
  <si>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</si>
  <si>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</si>
  <si>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</si>
  <si>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</si>
  <si>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</si>
  <si>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</si>
  <si>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</si>
  <si>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</si>
  <si>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</si>
  <si>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</si>
  <si>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</si>
  <si>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</si>
  <si>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</si>
  <si>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</si>
  <si>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</si>
  <si>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</si>
  <si>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</si>
  <si>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</si>
  <si>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</si>
  <si>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</si>
  <si>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</si>
  <si>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</si>
  <si>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</si>
  <si>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</si>
  <si>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</si>
  <si>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</si>
  <si>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</si>
  <si>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</si>
  <si>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</si>
  <si>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</si>
  <si>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</si>
  <si>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</si>
  <si>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</si>
  <si>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</si>
  <si>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</si>
  <si>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</si>
  <si>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</si>
  <si>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</si>
  <si>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</si>
  <si>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</si>
  <si>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</si>
  <si>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</si>
  <si>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</si>
  <si>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</si>
  <si>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</si>
  <si>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</si>
  <si>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</si>
  <si>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</si>
  <si>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</si>
  <si>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</si>
  <si>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</si>
  <si>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</si>
  <si>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</si>
  <si>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</si>
  <si>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</si>
  <si>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</si>
  <si>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</si>
  <si>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</si>
  <si>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</si>
  <si>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</si>
  <si>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</si>
  <si>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</si>
  <si>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</si>
  <si>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</si>
  <si>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</si>
  <si>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</si>
  <si>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</si>
  <si>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</si>
  <si>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</si>
  <si>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</si>
  <si>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</si>
  <si>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</si>
  <si>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</si>
  <si>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</si>
  <si>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</si>
  <si>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</si>
  <si>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</si>
  <si>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</si>
  <si>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</si>
  <si>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</si>
  <si>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</si>
  <si>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</si>
  <si>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</si>
  <si>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</si>
  <si>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</si>
  <si>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</si>
  <si>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</si>
  <si>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</si>
  <si>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</si>
  <si>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</si>
  <si>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</si>
  <si>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</si>
  <si>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</si>
  <si>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</si>
  <si>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</si>
  <si>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</si>
  <si>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</si>
  <si>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</si>
  <si>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</si>
  <si>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</si>
  <si>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</si>
  <si>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</si>
  <si>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</si>
  <si>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</si>
  <si>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</si>
  <si>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</si>
  <si>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</si>
  <si>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</si>
  <si>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</si>
  <si>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</si>
  <si>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</si>
  <si>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</si>
  <si>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</si>
  <si>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</si>
  <si>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</si>
  <si>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</si>
  <si>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</si>
  <si>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</si>
  <si>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</si>
  <si>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</si>
  <si>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</si>
  <si>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</si>
  <si>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</si>
  <si>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</si>
  <si>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</si>
  <si>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</si>
  <si>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</si>
  <si>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</si>
  <si>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</si>
  <si>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</si>
  <si>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</si>
  <si>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</si>
  <si>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</si>
  <si>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</si>
  <si>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</si>
  <si>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</si>
  <si>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</si>
  <si>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</si>
  <si>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</si>
  <si>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</si>
  <si>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</si>
  <si>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</si>
  <si>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</si>
  <si>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</si>
  <si>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</si>
  <si>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</si>
  <si>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</si>
  <si>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</si>
  <si>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</si>
  <si>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</si>
  <si>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</si>
  <si>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</si>
  <si>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</si>
  <si>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</si>
  <si>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</si>
  <si>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</si>
  <si>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</si>
  <si>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</si>
  <si>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</si>
  <si>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</si>
  <si>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</si>
  <si>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</si>
  <si>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</si>
  <si>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</si>
  <si>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</si>
  <si>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</si>
  <si>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</si>
  <si>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</si>
  <si>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</si>
  <si>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</si>
  <si>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</si>
  <si>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</si>
  <si>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</si>
  <si>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</si>
  <si>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</si>
  <si>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</si>
  <si>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</si>
  <si>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</si>
  <si>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</si>
  <si>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</si>
  <si>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</si>
  <si>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</si>
  <si>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</si>
  <si>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</si>
  <si>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</si>
  <si>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</si>
  <si>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</si>
  <si>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</si>
  <si>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</si>
  <si>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</si>
  <si>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</si>
  <si>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</si>
  <si>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</si>
  <si>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</si>
  <si>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</si>
  <si>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</si>
  <si>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</si>
  <si>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</si>
  <si>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</si>
  <si>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</si>
  <si>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</si>
  <si>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</si>
  <si>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</si>
  <si>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</si>
  <si>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</si>
  <si>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</si>
  <si>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</si>
  <si>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</si>
  <si>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</si>
  <si>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</si>
  <si>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</si>
  <si>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</si>
  <si>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</si>
  <si>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</si>
  <si>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</si>
  <si>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</si>
  <si>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</si>
  <si>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</si>
  <si>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</si>
  <si>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</si>
  <si>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</si>
  <si>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</si>
  <si>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</si>
  <si>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</si>
  <si>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</si>
  <si>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</si>
  <si>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</si>
  <si>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</si>
  <si>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</si>
  <si>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</si>
  <si>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</si>
  <si>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</si>
  <si>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</si>
  <si>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</si>
  <si>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</si>
  <si>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</si>
  <si>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</si>
  <si>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</si>
  <si>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</si>
  <si>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</si>
  <si>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</si>
  <si>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</si>
  <si>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</si>
  <si>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</si>
  <si>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</si>
  <si>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</si>
  <si>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</si>
  <si>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</si>
  <si>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</si>
  <si>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</si>
  <si>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</si>
  <si>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</si>
  <si>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</si>
  <si>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</si>
  <si>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</si>
  <si>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</si>
  <si>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</si>
  <si>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</si>
  <si>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</si>
  <si>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</si>
  <si>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</si>
  <si>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</si>
  <si>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</si>
  <si>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</si>
  <si>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</si>
  <si>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</si>
  <si>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</si>
  <si>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</si>
  <si>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</si>
  <si>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</si>
  <si>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</si>
  <si>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</si>
  <si>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</si>
  <si>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</si>
  <si>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</si>
  <si>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</si>
  <si>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</si>
  <si>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</si>
  <si>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</si>
  <si>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</si>
  <si>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</si>
  <si>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</si>
  <si>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</si>
  <si>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</si>
  <si>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</si>
  <si>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</si>
  <si>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</si>
  <si>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</si>
  <si>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</si>
  <si>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</si>
  <si>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</si>
  <si>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</si>
  <si>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</si>
  <si>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</si>
  <si>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</si>
  <si>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</si>
  <si>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</si>
  <si>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</si>
  <si>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</si>
  <si>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</si>
  <si>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</si>
  <si>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</si>
  <si>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</si>
  <si>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</si>
  <si>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</si>
  <si>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</si>
  <si>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</si>
  <si>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</si>
  <si>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</si>
  <si>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</si>
  <si>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</si>
  <si>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</si>
  <si>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</si>
  <si>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</si>
  <si>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</si>
  <si>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</si>
  <si>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</si>
  <si>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</si>
  <si>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</si>
  <si>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</si>
  <si>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</si>
  <si>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</si>
  <si>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</si>
  <si>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</si>
  <si>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</si>
  <si>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</si>
  <si>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</si>
  <si>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</si>
  <si>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</si>
  <si>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</si>
  <si>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</si>
  <si>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</si>
  <si>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</si>
  <si>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</si>
  <si>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</si>
  <si>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</si>
  <si>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</si>
  <si>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</si>
  <si>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</si>
  <si>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</si>
  <si>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</si>
  <si>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</si>
  <si>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</si>
  <si>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</si>
  <si>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</si>
  <si>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</si>
  <si>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</si>
  <si>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</si>
  <si>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</si>
  <si>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</si>
  <si>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</si>
  <si>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</si>
  <si>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</si>
  <si>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</si>
  <si>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</si>
  <si>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</si>
  <si>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</si>
  <si>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</si>
  <si>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</si>
  <si>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</si>
  <si>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</si>
  <si>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</si>
  <si>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</si>
  <si>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</si>
  <si>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</si>
  <si>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</si>
  <si>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</si>
  <si>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</si>
  <si>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</si>
  <si>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</si>
  <si>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</si>
  <si>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</si>
  <si>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</si>
  <si>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</si>
  <si>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</si>
  <si>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</si>
  <si>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</si>
  <si>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</si>
  <si>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</si>
  <si>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</si>
  <si>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</si>
  <si>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</si>
  <si>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</si>
  <si>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</si>
  <si>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</si>
  <si>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</si>
  <si>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</si>
  <si>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</si>
  <si>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</si>
  <si>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</si>
  <si>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</si>
  <si>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</si>
  <si>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</si>
  <si>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</si>
  <si>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</si>
  <si>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</si>
  <si>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</si>
  <si>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</si>
  <si>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</si>
  <si>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</si>
  <si>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</si>
  <si>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</si>
  <si>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</si>
  <si>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</si>
  <si>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</si>
  <si>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</si>
  <si>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</si>
  <si>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</si>
  <si>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</si>
  <si>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</si>
  <si>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</si>
  <si>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</si>
  <si>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</si>
  <si>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</si>
  <si>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</si>
  <si>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</si>
  <si>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</si>
  <si>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</si>
  <si>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</si>
  <si>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</si>
  <si>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</si>
  <si>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</si>
  <si>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</si>
  <si>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</si>
  <si>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</si>
  <si>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</si>
  <si>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</si>
  <si>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</si>
  <si>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</si>
  <si>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</si>
  <si>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</si>
  <si>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</si>
  <si>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</si>
  <si>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</si>
  <si>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</si>
  <si>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</si>
  <si>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</si>
  <si>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</si>
  <si>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</si>
  <si>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</si>
  <si>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</si>
  <si>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</si>
  <si>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</si>
  <si>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</si>
  <si>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</si>
  <si>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</si>
  <si>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</si>
  <si>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</si>
  <si>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</si>
  <si>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</si>
  <si>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</si>
  <si>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</si>
  <si>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</si>
  <si>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</si>
  <si>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</si>
  <si>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</si>
  <si>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</si>
  <si>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</si>
  <si>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</si>
  <si>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</si>
  <si>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</si>
  <si>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</si>
  <si>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</si>
  <si>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</si>
  <si>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</si>
  <si>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</si>
  <si>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</si>
  <si>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</si>
  <si>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</si>
  <si>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</si>
  <si>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</si>
  <si>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</si>
  <si>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</si>
  <si>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</si>
  <si>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</si>
  <si>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</si>
  <si>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</si>
  <si>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</si>
  <si>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</si>
  <si>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</si>
  <si>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</si>
  <si>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</si>
  <si>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</si>
  <si>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</si>
  <si>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</si>
  <si>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</si>
  <si>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</si>
  <si>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</si>
  <si>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</si>
  <si>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</si>
  <si>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</si>
  <si>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</si>
  <si>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</si>
  <si>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</si>
  <si>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</si>
  <si>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</si>
  <si>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</si>
  <si>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</si>
  <si>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</si>
  <si>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</si>
  <si>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</si>
  <si>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</si>
  <si>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</si>
  <si>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</si>
  <si>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</si>
  <si>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</si>
  <si>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</si>
  <si>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</si>
  <si>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</si>
  <si>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</si>
  <si>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</si>
  <si>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</si>
  <si>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</si>
  <si>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</si>
  <si>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</si>
  <si>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</si>
  <si>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</si>
  <si>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</si>
  <si>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</si>
  <si>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</si>
  <si>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</si>
  <si>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</si>
  <si>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</si>
  <si>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</si>
  <si>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</si>
  <si>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</si>
  <si>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</si>
  <si>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</si>
  <si>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</si>
  <si>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</si>
  <si>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</si>
  <si>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</si>
  <si>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</si>
  <si>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</si>
  <si>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</si>
  <si>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</si>
  <si>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</si>
  <si>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</si>
  <si>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</si>
  <si>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</si>
  <si>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</si>
  <si>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</si>
  <si>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</si>
  <si>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</si>
  <si>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</si>
  <si>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</si>
  <si>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</si>
  <si>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</si>
  <si>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</si>
  <si>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</si>
  <si>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</si>
  <si>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</si>
  <si>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</si>
  <si>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</si>
  <si>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</si>
  <si>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</si>
  <si>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</si>
  <si>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</si>
  <si>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</si>
  <si>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</si>
  <si>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</si>
  <si>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</si>
  <si>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</si>
  <si>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</si>
  <si>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</si>
  <si>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</si>
  <si>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</si>
  <si>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</si>
  <si>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</si>
  <si>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</si>
  <si>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</si>
  <si>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</si>
  <si>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</si>
  <si>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</si>
  <si>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</si>
  <si>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</si>
  <si>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</si>
  <si>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</si>
  <si>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</si>
  <si>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</si>
  <si>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</si>
  <si>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</si>
  <si>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</si>
  <si>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</si>
  <si>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</si>
  <si>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</si>
  <si>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</si>
  <si>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</si>
  <si>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</si>
  <si>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</si>
  <si>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</si>
  <si>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</si>
  <si>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</si>
  <si>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</si>
  <si>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</si>
  <si>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</si>
  <si>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</si>
  <si>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</si>
  <si>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</si>
  <si>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</si>
  <si>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</si>
  <si>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</si>
  <si>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</si>
  <si>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</si>
  <si>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</si>
  <si>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</si>
  <si>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</si>
  <si>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</si>
  <si>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</si>
  <si>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</si>
  <si>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</si>
  <si>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</si>
  <si>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</si>
  <si>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</si>
  <si>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</si>
  <si>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</si>
  <si>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</si>
  <si>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</si>
  <si>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</si>
  <si>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</si>
  <si>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</si>
  <si>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</si>
  <si>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</si>
  <si>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</si>
  <si>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</si>
  <si>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</si>
  <si>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</si>
  <si>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</si>
  <si>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</si>
  <si>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</si>
  <si>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</si>
  <si>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</si>
  <si>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</si>
  <si>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</si>
  <si>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</si>
  <si>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</si>
  <si>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</si>
  <si>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</si>
  <si>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</si>
  <si>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</si>
  <si>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</si>
  <si>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</si>
  <si>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</si>
  <si>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</si>
  <si>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</si>
  <si>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</si>
  <si>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</si>
  <si>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</si>
  <si>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</si>
  <si>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</si>
  <si>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</si>
  <si>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</si>
  <si>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</si>
  <si>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</si>
  <si>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</si>
  <si>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</si>
  <si>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</si>
  <si>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</si>
  <si>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</si>
  <si>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</si>
  <si>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</si>
  <si>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</si>
  <si>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</si>
  <si>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</si>
  <si>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</si>
  <si>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</si>
  <si>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</si>
  <si>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</si>
  <si>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</si>
  <si>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</si>
  <si>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</si>
  <si>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</si>
  <si>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</si>
  <si>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</si>
  <si>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</si>
  <si>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</si>
  <si>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</si>
  <si>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</si>
  <si>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</si>
  <si>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</si>
  <si>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</si>
  <si>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</si>
  <si>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</si>
  <si>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</si>
  <si>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</si>
  <si>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</si>
  <si>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</si>
  <si>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</si>
  <si>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</si>
  <si>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</si>
  <si>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</si>
  <si>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</si>
  <si>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</si>
  <si>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</si>
  <si>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</si>
  <si>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</si>
  <si>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</si>
  <si>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</si>
  <si>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</si>
  <si>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</si>
  <si>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</si>
  <si>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</si>
  <si>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</si>
  <si>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</si>
  <si>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</si>
  <si>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</si>
  <si>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</si>
  <si>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</si>
  <si>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</si>
  <si>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</si>
  <si>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</si>
  <si>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</si>
  <si>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</si>
  <si>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</si>
  <si>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</si>
  <si>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</si>
  <si>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</si>
  <si>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</si>
  <si>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</si>
  <si>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</si>
  <si>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</si>
  <si>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</si>
  <si>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</si>
  <si>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</si>
  <si>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</si>
  <si>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</si>
  <si>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</si>
  <si>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</si>
  <si>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</si>
  <si>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</si>
  <si>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</si>
  <si>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</si>
  <si>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</si>
  <si>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</si>
  <si>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</si>
  <si>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</si>
  <si>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</si>
  <si>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</si>
  <si>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</si>
  <si>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</si>
  <si>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</si>
  <si>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</si>
  <si>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</si>
  <si>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</si>
  <si>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</si>
  <si>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</si>
  <si>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</si>
  <si>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</si>
  <si>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</si>
  <si>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</si>
  <si>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</si>
  <si>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</si>
  <si>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</si>
  <si>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</si>
  <si>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</si>
  <si>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</si>
  <si>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</si>
  <si>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</si>
  <si>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</si>
  <si>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</si>
  <si>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</si>
  <si>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</si>
  <si>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</si>
  <si>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</si>
  <si>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</si>
  <si>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</si>
  <si>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</si>
  <si>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</si>
  <si>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</si>
  <si>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</si>
  <si>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</si>
  <si>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</si>
  <si>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</si>
  <si>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</si>
  <si>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</si>
  <si>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</si>
  <si>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</si>
  <si>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</si>
  <si>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</si>
  <si>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</si>
  <si>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</si>
  <si>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</si>
  <si>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</si>
  <si>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</si>
  <si>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</si>
  <si>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</si>
  <si>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</si>
  <si>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</si>
  <si>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</si>
  <si>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</si>
  <si>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</si>
  <si>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</si>
  <si>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</si>
  <si>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</si>
  <si>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</si>
  <si>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</si>
  <si>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</si>
  <si>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</si>
  <si>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</si>
  <si>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</si>
  <si>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</si>
  <si>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</si>
  <si>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</si>
  <si>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</si>
  <si>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</si>
  <si>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</si>
  <si>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</si>
  <si>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</si>
  <si>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</si>
  <si>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</si>
  <si>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</si>
  <si>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</si>
  <si>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</si>
  <si>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</si>
  <si>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</si>
  <si>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</si>
  <si>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</si>
  <si>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</si>
  <si>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</si>
  <si>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</si>
  <si>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</si>
  <si>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</si>
  <si>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</si>
  <si>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</si>
  <si>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</si>
  <si>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</si>
  <si>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</si>
  <si>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</si>
  <si>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</si>
  <si>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</si>
  <si>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</si>
  <si>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</si>
  <si>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</si>
  <si>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</si>
  <si>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</si>
  <si>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</si>
  <si>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</si>
  <si>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</si>
  <si>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</si>
  <si>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</si>
  <si>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</si>
  <si>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</si>
  <si>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</si>
  <si>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</si>
  <si>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</si>
  <si>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</si>
  <si>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</si>
  <si>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</si>
  <si>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</si>
  <si>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</si>
  <si>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</si>
  <si>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</si>
  <si>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</si>
  <si>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</si>
  <si>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</si>
  <si>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</si>
  <si>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</si>
  <si>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</si>
  <si>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</si>
  <si>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</si>
  <si>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</si>
  <si>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</si>
  <si>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</si>
  <si>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</si>
  <si>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</si>
  <si>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</si>
  <si>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</si>
  <si>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</si>
  <si>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</si>
  <si>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</si>
  <si>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</si>
  <si>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</si>
  <si>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</si>
  <si>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</si>
  <si>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</si>
  <si>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</si>
  <si>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</si>
  <si>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</si>
  <si>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</si>
  <si>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</si>
  <si>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</si>
  <si>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</si>
  <si>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</si>
  <si>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</si>
  <si>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</si>
  <si>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</si>
  <si>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</si>
  <si>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</si>
  <si>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</si>
  <si>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</si>
  <si>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</si>
  <si>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</si>
  <si>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</si>
  <si>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</si>
  <si>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</si>
  <si>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</si>
  <si>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</si>
  <si>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</si>
  <si>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</si>
  <si>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</si>
  <si>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</si>
  <si>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</si>
  <si>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</si>
  <si>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</si>
  <si>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</si>
  <si>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</si>
  <si>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</si>
  <si>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</si>
  <si>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</si>
  <si>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</si>
  <si>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</si>
  <si>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</si>
  <si>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</si>
  <si>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</si>
  <si>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</si>
  <si>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</si>
  <si>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</si>
  <si>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</si>
  <si>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</si>
  <si>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</si>
  <si>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</si>
  <si>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</si>
  <si>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</si>
  <si>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</si>
  <si>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</si>
  <si>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</si>
  <si>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</si>
  <si>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</si>
  <si>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</si>
  <si>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</si>
  <si>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</si>
  <si>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</si>
  <si>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</si>
  <si>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</si>
  <si>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</si>
  <si>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</si>
  <si>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</si>
  <si>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</si>
  <si>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</si>
  <si>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</si>
  <si>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</si>
  <si>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</si>
  <si>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</si>
  <si>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</si>
  <si>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</si>
  <si>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</si>
  <si>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</si>
  <si>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</si>
  <si>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</si>
  <si>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</si>
  <si>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</si>
  <si>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</si>
  <si>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</si>
  <si>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</si>
  <si>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</si>
  <si>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</si>
  <si>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</si>
  <si>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</si>
  <si>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</si>
  <si>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</si>
  <si>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</si>
  <si>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</si>
  <si>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</si>
  <si>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</si>
  <si>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</si>
  <si>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</si>
  <si>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</si>
  <si>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</si>
  <si>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</si>
  <si>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</si>
  <si>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</si>
  <si>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</si>
  <si>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</si>
  <si>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</si>
  <si>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</si>
  <si>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</si>
  <si>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</si>
  <si>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</si>
  <si>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</si>
  <si>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</si>
  <si>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</si>
  <si>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</si>
  <si>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</si>
  <si>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</si>
  <si>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</si>
  <si>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</si>
  <si>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</si>
  <si>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</si>
  <si>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</si>
  <si>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</si>
  <si>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</si>
  <si>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</si>
  <si>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</si>
  <si>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</si>
  <si>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</si>
  <si>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</si>
  <si>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</si>
  <si>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</si>
  <si>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</si>
  <si>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</si>
  <si>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</si>
  <si>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</si>
  <si>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</si>
  <si>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</si>
  <si>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</si>
  <si>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</si>
  <si>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</si>
  <si>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</si>
  <si>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</si>
  <si>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</si>
  <si>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</si>
  <si>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</si>
  <si>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</si>
  <si>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</si>
  <si>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</si>
  <si>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</si>
  <si>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</si>
  <si>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</si>
  <si>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</si>
  <si>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</si>
  <si>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</si>
  <si>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</si>
  <si>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</si>
  <si>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</si>
  <si>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</si>
  <si>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</si>
  <si>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</si>
  <si>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</si>
  <si>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</si>
  <si>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</si>
  <si>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</si>
  <si>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</si>
  <si>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</si>
  <si>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</si>
  <si>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</si>
  <si>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</si>
  <si>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</si>
  <si>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</si>
  <si>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</si>
  <si>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</si>
  <si>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</si>
  <si>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</si>
  <si>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</si>
  <si>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</si>
  <si>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</si>
  <si>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</si>
  <si>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</si>
  <si>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</si>
  <si>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</si>
  <si>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</si>
  <si>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</si>
  <si>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</si>
  <si>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</si>
  <si>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</si>
  <si>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</si>
  <si>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</si>
  <si>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</si>
  <si>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</si>
  <si>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</si>
  <si>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</si>
  <si>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</si>
  <si>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</si>
  <si>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</si>
  <si>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</si>
  <si>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</si>
  <si>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</si>
  <si>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</si>
  <si>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</si>
  <si>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</si>
  <si>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</si>
  <si>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</si>
  <si>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</si>
  <si>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</si>
  <si>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</si>
  <si>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</si>
  <si>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</si>
  <si>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</si>
  <si>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</si>
  <si>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</si>
  <si>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</si>
  <si>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</si>
  <si>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</si>
  <si>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</si>
  <si>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</si>
  <si>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</si>
  <si>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</si>
  <si>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</si>
  <si>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</si>
  <si>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</si>
  <si>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</si>
  <si>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</si>
  <si>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</si>
  <si>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</si>
  <si>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</si>
  <si>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</si>
  <si>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</si>
  <si>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</si>
  <si>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</si>
  <si>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</si>
  <si>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</si>
  <si>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</si>
  <si>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</si>
  <si>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</si>
  <si>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</si>
  <si>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</si>
  <si>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</si>
  <si>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</si>
  <si>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</si>
  <si>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</si>
  <si>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</si>
  <si>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</si>
  <si>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</si>
  <si>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</si>
  <si>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</si>
  <si>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</si>
  <si>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</si>
  <si>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</si>
  <si>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</si>
  <si>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</si>
  <si>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</si>
  <si>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</si>
  <si>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</si>
  <si>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</si>
  <si>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</si>
  <si>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</si>
  <si>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</si>
  <si>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</si>
  <si>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</si>
  <si>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</si>
  <si>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</si>
  <si>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</si>
  <si>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</si>
  <si>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</si>
  <si>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</si>
  <si>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</si>
  <si>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</si>
  <si>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</si>
  <si>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</si>
  <si>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</si>
  <si>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</si>
  <si>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</si>
  <si>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</si>
  <si>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</si>
  <si>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</si>
  <si>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</si>
  <si>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</si>
  <si>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</si>
  <si>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</si>
  <si>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</si>
  <si>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</si>
  <si>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</si>
  <si>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</si>
  <si>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</si>
  <si>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</si>
  <si>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</si>
  <si>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</si>
  <si>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</si>
  <si>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</si>
  <si>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</si>
  <si>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</si>
  <si>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</si>
  <si>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</si>
  <si>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</si>
  <si>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</si>
  <si>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</si>
  <si>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</si>
  <si>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</si>
  <si>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</si>
  <si>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</si>
  <si>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</si>
  <si>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</si>
  <si>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</si>
  <si>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</si>
  <si>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</si>
  <si>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</si>
  <si>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</si>
  <si>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</si>
  <si>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</si>
  <si>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</si>
  <si>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</si>
  <si>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</si>
  <si>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</si>
  <si>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</si>
  <si>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</si>
  <si>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</si>
  <si>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</si>
  <si>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</si>
  <si>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</si>
  <si>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</si>
  <si>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</si>
  <si>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</si>
  <si>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</si>
  <si>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</si>
  <si>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</si>
  <si>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</si>
  <si>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</si>
  <si>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</si>
  <si>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</si>
  <si>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</si>
  <si>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</si>
  <si>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</si>
  <si>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</si>
  <si>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</si>
  <si>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</si>
  <si>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</si>
  <si>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</si>
  <si>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</si>
  <si>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</si>
  <si>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</si>
  <si>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</si>
  <si>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</si>
  <si>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</si>
  <si>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</si>
  <si>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</si>
  <si>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</si>
  <si>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</si>
  <si>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</si>
  <si>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</si>
  <si>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</si>
  <si>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</si>
  <si>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</si>
  <si>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</si>
  <si>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</si>
  <si>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</si>
  <si>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</si>
  <si>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</si>
  <si>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</si>
  <si>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</si>
  <si>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</si>
  <si>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</si>
  <si>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</si>
  <si>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</si>
  <si>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</si>
  <si>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</si>
  <si>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</si>
  <si>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</si>
  <si>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</si>
  <si>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</si>
  <si>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</si>
  <si>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</si>
  <si>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</si>
  <si>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</si>
  <si>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</si>
  <si>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</si>
  <si>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</si>
  <si>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</si>
  <si>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</si>
  <si>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</si>
  <si>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</si>
  <si>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</si>
  <si>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</si>
  <si>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</si>
  <si>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</si>
  <si>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</si>
  <si>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</si>
  <si>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</si>
  <si>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</si>
  <si>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</si>
  <si>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</si>
  <si>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</si>
  <si>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</si>
  <si>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</si>
  <si>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</si>
  <si>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</si>
  <si>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</si>
  <si>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</si>
  <si>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</si>
  <si>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</si>
  <si>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</si>
  <si>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</si>
  <si>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</si>
  <si>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</si>
  <si>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</si>
  <si>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</si>
  <si>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</si>
  <si>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</si>
  <si>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</si>
  <si>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</si>
  <si>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</si>
  <si>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</si>
  <si>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</si>
  <si>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</si>
  <si>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</si>
  <si>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</si>
  <si>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</si>
  <si>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</si>
  <si>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</si>
  <si>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</si>
  <si>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</si>
  <si>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</si>
  <si>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</si>
  <si>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</si>
  <si>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</si>
  <si>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</si>
  <si>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</si>
  <si>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</si>
  <si>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</si>
  <si>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</si>
  <si>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</si>
  <si>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</si>
  <si>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</si>
  <si>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</si>
  <si>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</si>
  <si>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</si>
  <si>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</si>
  <si>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</si>
  <si>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</si>
  <si>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</si>
  <si>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</si>
  <si>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</si>
  <si>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</si>
  <si>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</si>
  <si>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</si>
  <si>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</si>
  <si>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</si>
  <si>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</si>
  <si>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</si>
  <si>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</si>
  <si>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</si>
  <si>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</si>
  <si>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</si>
  <si>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</si>
  <si>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</si>
  <si>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</si>
  <si>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</si>
  <si>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</si>
  <si>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</si>
  <si>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</si>
  <si>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</si>
  <si>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</si>
  <si>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</si>
  <si>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</si>
  <si>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</si>
  <si>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</si>
  <si>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</si>
  <si>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</si>
  <si>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</si>
  <si>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</si>
  <si>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</si>
  <si>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</si>
  <si>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</si>
  <si>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</si>
  <si>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</si>
  <si>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</si>
  <si>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</si>
  <si>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</si>
  <si>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</si>
  <si>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</si>
  <si>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</si>
  <si>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</si>
  <si>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</si>
  <si>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</si>
  <si>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</si>
  <si>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</si>
  <si>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</si>
  <si>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</si>
  <si>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</si>
  <si>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</si>
  <si>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</si>
  <si>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</si>
  <si>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</si>
  <si>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</si>
  <si>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</si>
  <si>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</si>
  <si>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</si>
  <si>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</si>
  <si>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</si>
  <si>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</si>
  <si>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</si>
  <si>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</si>
  <si>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</si>
  <si>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</si>
  <si>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</si>
  <si>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</si>
  <si>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</si>
  <si>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</si>
  <si>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</si>
  <si>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</si>
  <si>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</si>
  <si>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</si>
  <si>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</si>
  <si>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</si>
  <si>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</si>
  <si>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</si>
  <si>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</si>
  <si>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</si>
  <si>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</si>
  <si>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</si>
  <si>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</si>
  <si>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</si>
  <si>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</si>
  <si>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</si>
  <si>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</si>
  <si>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</si>
  <si>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</si>
  <si>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</si>
  <si>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</si>
  <si>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</si>
  <si>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</si>
  <si>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</si>
  <si>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</si>
  <si>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</si>
  <si>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</si>
  <si>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</si>
  <si>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</si>
  <si>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</si>
  <si>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</si>
  <si>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</si>
  <si>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</si>
  <si>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</si>
  <si>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</si>
  <si>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</si>
  <si>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</si>
  <si>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</si>
  <si>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</si>
  <si>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</si>
  <si>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</si>
  <si>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</si>
  <si>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</si>
  <si>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</si>
  <si>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</si>
  <si>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</si>
  <si>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</si>
  <si>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</si>
  <si>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</si>
  <si>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</si>
  <si>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</si>
  <si>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</si>
  <si>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</si>
  <si>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</si>
  <si>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</si>
  <si>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</si>
  <si>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</si>
  <si>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</si>
  <si>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</si>
  <si>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</si>
  <si>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</si>
  <si>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</si>
  <si>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</si>
  <si>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</si>
  <si>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</si>
  <si>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</si>
  <si>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</si>
  <si>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</si>
  <si>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</si>
  <si>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</si>
  <si>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</si>
  <si>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</si>
  <si>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</si>
  <si>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</si>
  <si>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</si>
  <si>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</si>
  <si>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</si>
  <si>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</si>
  <si>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</si>
  <si>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</si>
  <si>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</si>
  <si>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</si>
  <si>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</si>
  <si>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</si>
  <si>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</si>
  <si>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</si>
  <si>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</si>
  <si>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</si>
  <si>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</si>
  <si>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</si>
  <si>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</si>
  <si>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</si>
  <si>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</si>
  <si>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</si>
  <si>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</si>
  <si>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</si>
  <si>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</si>
  <si>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</si>
  <si>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</si>
  <si>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</si>
  <si>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</si>
  <si>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</si>
  <si>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</si>
  <si>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</si>
  <si>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</si>
  <si>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</si>
  <si>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</si>
  <si>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</si>
  <si>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</si>
  <si>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</si>
  <si>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</si>
  <si>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</si>
  <si>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</si>
  <si>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</si>
  <si>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</si>
  <si>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</si>
  <si>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</si>
  <si>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</si>
  <si>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</si>
  <si>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</si>
  <si>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</si>
  <si>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</si>
  <si>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</si>
  <si>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</si>
  <si>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</si>
  <si>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</si>
  <si>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</si>
  <si>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</si>
  <si>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</si>
  <si>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</si>
  <si>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</si>
  <si>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</si>
  <si>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</si>
  <si>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</si>
  <si>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</si>
  <si>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</si>
  <si>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</si>
  <si>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</si>
  <si>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</si>
  <si>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</si>
  <si>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</si>
  <si>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</si>
  <si>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</si>
  <si>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</si>
  <si>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</si>
  <si>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</si>
  <si>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</si>
  <si>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</si>
  <si>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</si>
  <si>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</si>
  <si>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</si>
  <si>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</si>
  <si>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</si>
  <si>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</si>
  <si>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</si>
  <si>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</si>
  <si>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</si>
  <si>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</si>
  <si>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</si>
  <si>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</si>
  <si>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</si>
  <si>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</si>
  <si>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</si>
  <si>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</si>
  <si>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</si>
  <si>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</si>
  <si>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</si>
  <si>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</si>
  <si>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</si>
  <si>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</si>
  <si>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</si>
  <si>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</si>
  <si>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</si>
  <si>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</si>
  <si>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</si>
  <si>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</si>
  <si>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</si>
  <si>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</si>
  <si>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</si>
  <si>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</si>
  <si>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</si>
  <si>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</si>
  <si>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</si>
  <si>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</si>
  <si>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</si>
  <si>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</si>
  <si>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</si>
  <si>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</si>
  <si>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</si>
  <si>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</si>
  <si>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</si>
  <si>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</si>
  <si>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</si>
  <si>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</si>
  <si>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</si>
  <si>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</si>
  <si>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</si>
  <si>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</si>
  <si>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</si>
  <si>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</si>
  <si>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</si>
  <si>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</si>
  <si>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</si>
  <si>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</si>
  <si>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</si>
  <si>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</si>
  <si>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</si>
  <si>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</si>
  <si>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</si>
  <si>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</si>
  <si>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</si>
  <si>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</si>
  <si>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</si>
  <si>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</si>
  <si>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</si>
  <si>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</si>
  <si>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</si>
  <si>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</si>
  <si>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</si>
  <si>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</si>
  <si>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</si>
  <si>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</si>
  <si>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</si>
  <si>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</si>
  <si>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</si>
  <si>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</si>
  <si>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</si>
  <si>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</si>
  <si>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</si>
  <si>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</si>
  <si>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</si>
  <si>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</si>
  <si>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</si>
  <si>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</si>
  <si>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</si>
  <si>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</si>
  <si>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</si>
  <si>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</si>
  <si>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</si>
  <si>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</si>
  <si>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</si>
  <si>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</si>
  <si>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</si>
  <si>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</si>
  <si>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</si>
  <si>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</si>
  <si>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</si>
  <si>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</si>
  <si>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</si>
  <si>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</si>
  <si>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</si>
  <si>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</si>
  <si>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</si>
  <si>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</si>
  <si>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</si>
  <si>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</si>
  <si>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</si>
  <si>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</si>
  <si>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</si>
  <si>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</si>
  <si>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</si>
  <si>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</si>
  <si>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</si>
  <si>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</si>
  <si>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</si>
  <si>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</si>
  <si>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</si>
  <si>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</si>
  <si>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</si>
  <si>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</si>
  <si>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</si>
  <si>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</si>
  <si>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</si>
  <si>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</si>
  <si>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</si>
  <si>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</si>
  <si>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</si>
  <si>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</si>
  <si>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</si>
  <si>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</si>
  <si>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</si>
  <si>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</si>
  <si>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</si>
  <si>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</si>
  <si>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</si>
  <si>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</si>
  <si>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</si>
  <si>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</si>
  <si>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</si>
  <si>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</si>
  <si>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</si>
  <si>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</si>
  <si>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</si>
  <si>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</si>
  <si>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</si>
  <si>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</si>
  <si>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</si>
  <si>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</si>
  <si>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</si>
  <si>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</si>
  <si>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</si>
  <si>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</si>
  <si>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</si>
  <si>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</si>
  <si>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</si>
  <si>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</si>
  <si>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</si>
  <si>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</si>
  <si>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</si>
  <si>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</si>
  <si>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</si>
  <si>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</si>
  <si>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</si>
  <si>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</si>
  <si>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</si>
  <si>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</si>
  <si>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</si>
  <si>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</si>
  <si>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</si>
  <si>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</si>
  <si>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</si>
  <si>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</si>
  <si>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</si>
  <si>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</si>
  <si>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</si>
  <si>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</si>
  <si>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</si>
  <si>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</si>
  <si>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</si>
  <si>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</si>
  <si>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</si>
  <si>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</si>
  <si>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</si>
  <si>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</si>
  <si>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</si>
  <si>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</si>
  <si>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</si>
  <si>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</si>
  <si>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</si>
  <si>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</si>
  <si>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</si>
  <si>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</si>
  <si>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</si>
  <si>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</si>
  <si>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</si>
  <si>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</si>
  <si>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</si>
  <si>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</si>
  <si>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</si>
  <si>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</si>
  <si>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</si>
  <si>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</si>
  <si>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</si>
  <si>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</si>
  <si>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</si>
  <si>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</si>
  <si>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</si>
  <si>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</si>
  <si>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</si>
  <si>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</si>
  <si>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</si>
  <si>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</si>
  <si>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</si>
  <si>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</si>
  <si>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</si>
  <si>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</si>
  <si>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</si>
  <si>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</si>
  <si>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</si>
  <si>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</si>
  <si>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</si>
  <si>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</si>
  <si>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</si>
  <si>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</si>
  <si>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</si>
  <si>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</si>
  <si>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</si>
  <si>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</si>
  <si>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</si>
  <si>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</si>
  <si>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</si>
  <si>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</si>
  <si>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</si>
  <si>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</si>
  <si>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</si>
  <si>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</si>
  <si>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</si>
  <si>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</si>
  <si>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</si>
  <si>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</si>
  <si>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</si>
  <si>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</si>
  <si>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</si>
  <si>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</si>
  <si>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</si>
  <si>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</si>
  <si>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</si>
  <si>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</si>
  <si>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</si>
  <si>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</si>
  <si>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</si>
  <si>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</si>
  <si>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</si>
  <si>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</si>
  <si>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</si>
  <si>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</si>
  <si>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</si>
  <si>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</si>
  <si>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</si>
  <si>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</si>
  <si>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</si>
  <si>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</si>
  <si>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</si>
  <si>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</si>
  <si>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</si>
  <si>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</si>
  <si>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</si>
  <si>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</si>
  <si>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</si>
  <si>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</si>
  <si>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</si>
  <si>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</si>
  <si>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</si>
  <si>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</si>
  <si>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</si>
  <si>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</si>
  <si>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</si>
  <si>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</si>
  <si>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</si>
  <si>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</si>
  <si>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</si>
  <si>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</si>
  <si>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</si>
  <si>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</si>
  <si>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</si>
  <si>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</si>
  <si>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</si>
  <si>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</si>
  <si>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</si>
  <si>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</si>
  <si>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</si>
  <si>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</si>
  <si>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</si>
  <si>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</si>
  <si>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</si>
  <si>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</si>
  <si>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</si>
  <si>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</si>
  <si>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</si>
  <si>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</si>
  <si>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</si>
  <si>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</si>
  <si>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</si>
  <si>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</si>
  <si>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</si>
  <si>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</si>
  <si>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</si>
  <si>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</si>
  <si>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</si>
  <si>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</si>
  <si>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</si>
  <si>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</si>
  <si>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</si>
  <si>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</si>
  <si>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</si>
  <si>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</si>
  <si>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</si>
  <si>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</si>
  <si>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</si>
  <si>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</si>
  <si>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</si>
  <si>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</si>
  <si>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</si>
  <si>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</si>
  <si>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</si>
  <si>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</si>
  <si>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</si>
  <si>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</si>
  <si>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</si>
  <si>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</si>
  <si>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</si>
  <si>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</si>
  <si>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</si>
  <si>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</si>
  <si>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</si>
  <si>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</si>
  <si>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</si>
  <si>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</si>
  <si>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</si>
  <si>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</si>
  <si>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</si>
  <si>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</si>
  <si>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</si>
  <si>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</si>
  <si>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</si>
  <si>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</si>
  <si>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</si>
  <si>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</si>
  <si>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</si>
  <si>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</si>
  <si>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</si>
  <si>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</si>
  <si>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</si>
  <si>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</si>
  <si>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</si>
  <si>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</si>
  <si>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</si>
  <si>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</si>
  <si>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</si>
  <si>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</si>
  <si>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</si>
  <si>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</si>
  <si>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</si>
  <si>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</si>
  <si>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</si>
  <si>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</si>
  <si>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</si>
  <si>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</si>
  <si>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</si>
  <si>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</si>
  <si>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</si>
  <si>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</si>
  <si>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</si>
  <si>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</si>
  <si>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</si>
  <si>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</si>
  <si>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</si>
  <si>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</si>
  <si>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</si>
  <si>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</si>
  <si>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</si>
  <si>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</si>
  <si>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</si>
  <si>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</si>
  <si>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</si>
  <si>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</si>
  <si>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</si>
  <si>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</si>
  <si>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</si>
  <si>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</si>
  <si>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</si>
  <si>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</si>
  <si>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</si>
  <si>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</si>
  <si>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</si>
  <si>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</si>
  <si>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</si>
  <si>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</si>
  <si>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</si>
  <si>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</si>
  <si>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</si>
  <si>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</si>
  <si>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</si>
  <si>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</si>
  <si>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</si>
  <si>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</si>
  <si>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</si>
  <si>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</si>
  <si>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</si>
  <si>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</si>
  <si>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</si>
  <si>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</si>
  <si>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</si>
  <si>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</si>
  <si>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</si>
  <si>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</si>
  <si>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</si>
  <si>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</si>
  <si>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</si>
  <si>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</si>
  <si>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</si>
  <si>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</si>
  <si>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</si>
  <si>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</si>
  <si>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</si>
  <si>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</si>
  <si>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</si>
  <si>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</si>
  <si>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</si>
  <si>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</si>
  <si>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</si>
  <si>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</si>
  <si>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</si>
  <si>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</si>
  <si>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</si>
  <si>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</si>
  <si>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</si>
  <si>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</si>
  <si>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</si>
  <si>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</si>
  <si>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</si>
  <si>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</si>
  <si>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</si>
  <si>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</si>
  <si>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</si>
  <si>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</si>
  <si>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</si>
  <si>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</si>
  <si>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</si>
  <si>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</si>
  <si>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</si>
  <si>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</si>
  <si>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</si>
  <si>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</si>
  <si>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</si>
  <si>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</si>
  <si>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</si>
  <si>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</si>
  <si>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</si>
  <si>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</si>
  <si>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</si>
  <si>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</si>
  <si>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</si>
  <si>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</si>
  <si>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</si>
  <si>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</si>
  <si>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</si>
  <si>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</si>
  <si>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</si>
  <si>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</si>
  <si>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</si>
  <si>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</si>
  <si>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</si>
  <si>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</si>
  <si>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</si>
  <si>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</si>
  <si>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</si>
  <si>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</si>
  <si>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</si>
  <si>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</si>
  <si>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</si>
  <si>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</si>
  <si>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</si>
  <si>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</si>
  <si>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</si>
  <si>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</si>
  <si>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</si>
  <si>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</si>
  <si>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</si>
  <si>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</si>
  <si>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</si>
  <si>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</si>
  <si>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</si>
  <si>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</si>
  <si>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</si>
  <si>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</si>
  <si>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</si>
  <si>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</si>
  <si>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</si>
  <si>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</si>
  <si>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</si>
  <si>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</si>
  <si>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</si>
  <si>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</si>
  <si>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</si>
  <si>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</si>
  <si>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</si>
  <si>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</si>
  <si>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</si>
  <si>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</si>
  <si>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</si>
  <si>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</si>
  <si>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</si>
  <si>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</si>
  <si>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</si>
  <si>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</si>
  <si>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</si>
  <si>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</si>
  <si>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</si>
  <si>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</si>
  <si>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</si>
  <si>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</si>
  <si>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</si>
  <si>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</si>
  <si>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</si>
  <si>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</si>
  <si>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</si>
  <si>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</si>
  <si>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</si>
  <si>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</si>
  <si>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</si>
  <si>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</si>
  <si>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</si>
  <si>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</si>
  <si>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</si>
  <si>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</si>
  <si>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</si>
  <si>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</si>
  <si>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</si>
  <si>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</si>
  <si>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</si>
  <si>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</si>
  <si>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</si>
  <si>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</si>
  <si>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</si>
  <si>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</si>
  <si>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</si>
  <si>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</si>
  <si>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</si>
  <si>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</si>
  <si>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</si>
  <si>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</si>
  <si>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</si>
  <si>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</si>
  <si>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</si>
  <si>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</si>
  <si>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</si>
  <si>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</si>
  <si>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</si>
  <si>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</si>
  <si>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</si>
  <si>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</si>
  <si>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</si>
  <si>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</si>
  <si>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</si>
  <si>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</si>
  <si>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</si>
  <si>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</si>
  <si>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</si>
  <si>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</si>
  <si>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</si>
  <si>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</si>
  <si>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</si>
  <si>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</si>
  <si>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</si>
  <si>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</si>
  <si>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</si>
  <si>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</si>
  <si>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</si>
  <si>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</si>
  <si>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</si>
  <si>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</si>
  <si>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</si>
  <si>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</si>
  <si>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</si>
  <si>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</si>
  <si>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</si>
  <si>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</si>
  <si>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</si>
  <si>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</si>
  <si>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</si>
  <si>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</si>
  <si>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</si>
  <si>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</si>
  <si>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</si>
  <si>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</si>
  <si>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</si>
  <si>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</si>
  <si>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</si>
  <si>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</si>
  <si>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</si>
  <si>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</si>
  <si>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</si>
  <si>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</si>
  <si>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</si>
  <si>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</si>
  <si>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</si>
  <si>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</si>
  <si>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</si>
  <si>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</si>
  <si>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</si>
  <si>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</si>
  <si>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</si>
  <si>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</si>
  <si>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</si>
  <si>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</si>
  <si>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</si>
  <si>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</si>
  <si>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</si>
  <si>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</si>
  <si>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</si>
  <si>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</si>
  <si>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</si>
  <si>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</si>
  <si>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</si>
  <si>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</si>
  <si>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</si>
  <si>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</si>
  <si>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</si>
  <si>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</si>
  <si>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</si>
  <si>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</si>
  <si>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</si>
  <si>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</si>
  <si>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</si>
  <si>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</si>
  <si>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</si>
  <si>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</si>
  <si>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</si>
  <si>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</si>
  <si>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</si>
  <si>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</si>
  <si>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</si>
  <si>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</si>
  <si>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</si>
  <si>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</si>
  <si>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</si>
  <si>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</si>
  <si>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</si>
  <si>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</si>
  <si>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</si>
  <si>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</si>
  <si>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</si>
  <si>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</si>
  <si>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</si>
  <si>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</si>
  <si>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</si>
  <si>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</si>
  <si>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</si>
  <si>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</si>
  <si>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</si>
  <si>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</si>
  <si>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</si>
  <si>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</si>
  <si>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</si>
  <si>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</si>
  <si>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</si>
  <si>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</si>
  <si>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</si>
  <si>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</si>
  <si>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</si>
  <si>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</si>
  <si>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</si>
  <si>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</si>
  <si>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</si>
  <si>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</si>
  <si>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</si>
  <si>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</si>
  <si>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</si>
  <si>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</si>
  <si>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</si>
  <si>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</si>
  <si>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</si>
  <si>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</si>
  <si>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</si>
  <si>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</si>
  <si>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</si>
  <si>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</si>
  <si>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</si>
  <si>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</si>
  <si>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</si>
  <si>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</si>
  <si>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</si>
  <si>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</si>
  <si>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</si>
  <si>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</si>
  <si>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</si>
  <si>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</si>
  <si>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</si>
  <si>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</si>
  <si>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</si>
  <si>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</si>
  <si>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</si>
  <si>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</si>
  <si>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</si>
  <si>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</si>
  <si>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</si>
  <si>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</si>
  <si>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</si>
  <si>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</si>
  <si>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</si>
  <si>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</si>
  <si>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</si>
  <si>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</si>
  <si>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</si>
  <si>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</si>
  <si>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</si>
  <si>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</si>
  <si>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</si>
  <si>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</si>
  <si>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</si>
  <si>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</si>
  <si>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</si>
  <si>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</si>
  <si>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</si>
  <si>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</si>
  <si>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</si>
  <si>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</si>
  <si>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</si>
  <si>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</si>
  <si>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</si>
  <si>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</si>
  <si>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</si>
  <si>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</si>
  <si>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</si>
  <si>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</si>
  <si>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</si>
  <si>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</si>
  <si>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</si>
  <si>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</si>
  <si>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</si>
  <si>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</si>
  <si>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</si>
  <si>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</si>
  <si>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</si>
  <si>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</si>
  <si>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</si>
  <si>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</si>
  <si>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</si>
  <si>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</si>
  <si>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</si>
  <si>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</si>
  <si>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</si>
  <si>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</si>
  <si>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</si>
  <si>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</si>
  <si>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</si>
  <si>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</si>
  <si>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</si>
  <si>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</si>
  <si>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</si>
  <si>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</si>
  <si>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</si>
  <si>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</si>
  <si>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</si>
  <si>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</si>
  <si>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</si>
  <si>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</si>
  <si>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</si>
  <si>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</si>
  <si>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</si>
  <si>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</si>
  <si>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</si>
  <si>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</si>
  <si>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</si>
  <si>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</si>
  <si>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</si>
  <si>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</si>
  <si>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</si>
  <si>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</si>
  <si>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</si>
  <si>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</si>
  <si>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</si>
  <si>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</si>
  <si>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</si>
  <si>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</si>
  <si>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</si>
  <si>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</si>
  <si>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</si>
  <si>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</si>
  <si>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</si>
  <si>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</si>
  <si>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</si>
  <si>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</si>
  <si>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</si>
  <si>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</si>
  <si>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</si>
  <si>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</si>
  <si>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</si>
  <si>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</si>
  <si>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</si>
  <si>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</si>
  <si>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</si>
  <si>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</si>
  <si>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</si>
  <si>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</si>
  <si>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</si>
  <si>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</si>
  <si>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</si>
  <si>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</si>
  <si>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</si>
  <si>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</si>
  <si>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</si>
  <si>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</si>
  <si>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</si>
  <si>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</si>
  <si>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</si>
  <si>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</si>
  <si>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</si>
  <si>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</si>
  <si>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</si>
  <si>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</si>
  <si>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</si>
  <si>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</si>
  <si>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</si>
  <si>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</si>
  <si>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</si>
  <si>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</si>
  <si>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</si>
  <si>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</si>
  <si>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</si>
  <si>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</si>
  <si>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</si>
  <si>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</si>
  <si>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</si>
  <si>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</si>
  <si>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</si>
  <si>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</si>
  <si>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</si>
  <si>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</si>
  <si>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</si>
  <si>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</si>
  <si>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</si>
  <si>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</si>
  <si>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</si>
  <si>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</si>
  <si>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</si>
  <si>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</si>
  <si>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</si>
  <si>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</si>
  <si>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</si>
  <si>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</si>
  <si>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</si>
  <si>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</si>
  <si>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</si>
  <si>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</si>
  <si>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</si>
  <si>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</si>
  <si>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</si>
  <si>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</si>
  <si>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</si>
  <si>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</si>
  <si>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</si>
  <si>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</si>
  <si>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</si>
  <si>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</si>
  <si>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</si>
  <si>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</si>
  <si>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</si>
  <si>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</si>
  <si>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</si>
  <si>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</si>
  <si>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</si>
  <si>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</si>
  <si>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</si>
  <si>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</si>
  <si>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</si>
  <si>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</si>
  <si>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</si>
  <si>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</si>
  <si>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</si>
  <si>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</si>
  <si>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</si>
  <si>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</si>
  <si>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</si>
  <si>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</si>
  <si>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</si>
  <si>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</si>
  <si>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</si>
  <si>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</si>
  <si>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</si>
  <si>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</si>
  <si>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</si>
  <si>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</si>
  <si>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</si>
  <si>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</si>
  <si>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</si>
  <si>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</si>
  <si>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</si>
  <si>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</si>
  <si>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</si>
  <si>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</si>
  <si>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</si>
  <si>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</si>
  <si>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</si>
  <si>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</si>
  <si>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</si>
  <si>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</si>
  <si>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</si>
  <si>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</si>
  <si>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</si>
  <si>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</si>
  <si>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</si>
  <si>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</si>
  <si>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</si>
  <si>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</si>
  <si>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</si>
  <si>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</si>
  <si>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</si>
  <si>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</si>
  <si>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</si>
  <si>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</si>
  <si>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</si>
  <si>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</si>
  <si>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</si>
  <si>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</si>
  <si>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</si>
  <si>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</si>
  <si>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</si>
  <si>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</si>
  <si>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</si>
  <si>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</si>
  <si>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</si>
  <si>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</si>
  <si>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</si>
  <si>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</si>
  <si>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</si>
  <si>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</si>
  <si>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</si>
  <si>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</si>
  <si>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</si>
  <si>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</si>
  <si>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</si>
  <si>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</si>
  <si>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</si>
  <si>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</si>
  <si>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</si>
  <si>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</si>
  <si>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</si>
  <si>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</si>
  <si>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</si>
  <si>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</si>
  <si>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</si>
  <si>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</si>
  <si>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</si>
  <si>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</si>
  <si>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</si>
  <si>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</si>
  <si>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</si>
  <si>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</si>
  <si>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</si>
  <si>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</si>
  <si>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</si>
  <si>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</si>
  <si>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</si>
  <si>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</si>
  <si>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</si>
  <si>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</si>
  <si>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</si>
  <si>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</si>
  <si>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</si>
  <si>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</si>
  <si>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</si>
  <si>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</si>
  <si>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</si>
  <si>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</si>
  <si>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</si>
  <si>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</si>
  <si>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</si>
  <si>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</si>
  <si>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</si>
  <si>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</si>
  <si>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</si>
  <si>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</si>
  <si>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</si>
  <si>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</si>
  <si>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</si>
  <si>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</si>
  <si>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</si>
  <si>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</si>
  <si>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</si>
  <si>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</si>
  <si>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</si>
  <si>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</si>
  <si>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</si>
  <si>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</si>
  <si>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</si>
  <si>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</si>
  <si>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</si>
  <si>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</si>
  <si>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</si>
  <si>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</si>
  <si>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</si>
  <si>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</si>
  <si>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</si>
  <si>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</si>
  <si>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</si>
  <si>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</si>
  <si>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</si>
  <si>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</si>
  <si>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</si>
  <si>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</si>
  <si>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</si>
  <si>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</si>
  <si>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</si>
  <si>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</si>
  <si>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</si>
  <si>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</si>
  <si>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</si>
  <si>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</si>
  <si>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</si>
  <si>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</si>
  <si>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</si>
  <si>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</si>
  <si>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</si>
  <si>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</si>
  <si>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</si>
  <si>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</si>
  <si>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</si>
  <si>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</si>
  <si>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</si>
  <si>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</si>
  <si>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</si>
  <si>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</si>
  <si>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</si>
  <si>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</si>
  <si>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</si>
  <si>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</si>
  <si>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</si>
  <si>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</si>
  <si>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</si>
  <si>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</si>
  <si>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</si>
  <si>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</si>
  <si>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</si>
  <si>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</si>
  <si>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</si>
  <si>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</si>
  <si>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</si>
  <si>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</si>
  <si>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</si>
  <si>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</si>
  <si>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</si>
  <si>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</si>
  <si>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</si>
  <si>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</si>
  <si>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</si>
  <si>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</si>
  <si>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</si>
  <si>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</si>
  <si>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</si>
  <si>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</si>
  <si>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</si>
  <si>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</si>
  <si>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</si>
  <si>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</si>
  <si>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</si>
  <si>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</si>
  <si>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</si>
  <si>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</si>
  <si>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</si>
  <si>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</si>
  <si>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</si>
  <si>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</si>
  <si>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</si>
  <si>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</si>
  <si>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</si>
  <si>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</si>
  <si>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</si>
  <si>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</si>
  <si>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</si>
  <si>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</si>
  <si>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</si>
  <si>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</si>
  <si>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</si>
  <si>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</si>
  <si>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</si>
  <si>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</si>
  <si>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</si>
  <si>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</si>
  <si>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</si>
  <si>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</si>
  <si>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</si>
  <si>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</si>
  <si>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</si>
  <si>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</si>
  <si>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</si>
  <si>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</si>
  <si>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</si>
  <si>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</si>
  <si>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</si>
  <si>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</si>
  <si>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</si>
  <si>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</si>
  <si>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</si>
  <si>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</si>
  <si>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</si>
  <si>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</si>
  <si>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</si>
  <si>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</si>
  <si>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</si>
  <si>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</si>
  <si>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</si>
  <si>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</si>
  <si>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</si>
  <si>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</si>
  <si>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</si>
  <si>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</si>
  <si>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</si>
  <si>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</si>
  <si>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</si>
  <si>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</si>
  <si>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</si>
  <si>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</si>
  <si>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</si>
  <si>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</si>
  <si>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</si>
  <si>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</si>
  <si>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</si>
  <si>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</si>
  <si>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</si>
  <si>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</si>
  <si>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</si>
  <si>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</si>
  <si>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</si>
  <si>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</si>
  <si>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</si>
  <si>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</si>
  <si>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</si>
  <si>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</si>
  <si>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</si>
  <si>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</si>
  <si>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</si>
  <si>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</si>
  <si>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</si>
  <si>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</si>
  <si>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</si>
  <si>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</si>
  <si>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</si>
  <si>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</si>
  <si>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</si>
  <si>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</si>
  <si>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</si>
  <si>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</si>
  <si>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</si>
  <si>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</si>
  <si>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</si>
  <si>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</si>
  <si>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</si>
  <si>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</si>
  <si>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</si>
  <si>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</si>
  <si>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</si>
  <si>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</si>
  <si>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</si>
  <si>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</si>
  <si>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</si>
  <si>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</si>
  <si>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</si>
  <si>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</si>
  <si>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</si>
  <si>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</si>
  <si>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</si>
  <si>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</si>
  <si>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</si>
  <si>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</si>
  <si>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</si>
  <si>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</si>
  <si>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</si>
  <si>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</si>
  <si>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</si>
  <si>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</si>
  <si>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</si>
  <si>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</si>
  <si>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</si>
  <si>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</si>
  <si>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</si>
  <si>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</si>
  <si>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区域内多为商业办公用地吗，土地利用方向较一致。</t>
    <phoneticPr fontId="26" type="noConversion"/>
  </si>
  <si>
    <t>城市次干道——交子大道</t>
    <phoneticPr fontId="26"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</si>
  <si>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</si>
  <si>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t>城市次干道——千龙路</t>
    <phoneticPr fontId="32" type="noConversion"/>
  </si>
  <si>
    <t>城市快速路——剑南大道中段</t>
    <phoneticPr fontId="32" type="noConversion"/>
  </si>
  <si>
    <t>楼面地价</t>
  </si>
  <si>
    <t>情况3</t>
  </si>
  <si>
    <t>出让金+开发费</t>
  </si>
  <si>
    <t>W酒店</t>
  </si>
  <si>
    <t>悠方</t>
  </si>
  <si>
    <t>注销后放款</t>
  </si>
  <si>
    <t>武侯区簇锦街道铁佛村9组</t>
    <phoneticPr fontId="4" type="noConversion"/>
  </si>
  <si>
    <t>武侯区簇锦街道铁佛村9、10组</t>
    <phoneticPr fontId="4" type="noConversion"/>
  </si>
  <si>
    <t>估价对象所在区域基础设施水平达到“六通”。</t>
    <phoneticPr fontId="26" type="noConversion"/>
  </si>
  <si>
    <t>w1</t>
    <phoneticPr fontId="9" type="noConversion"/>
  </si>
  <si>
    <t>w2</t>
    <phoneticPr fontId="9" type="noConversion"/>
  </si>
  <si>
    <t>悠方现房</t>
    <phoneticPr fontId="9"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</si>
  <si>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</si>
  <si>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</si>
  <si>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</si>
  <si>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</si>
  <si>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</si>
  <si>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</si>
  <si>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</si>
  <si>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</si>
  <si>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</si>
  <si>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</si>
  <si>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自定义</t>
  </si>
  <si>
    <t>建筑物价值</t>
  </si>
  <si>
    <t>土地面积</t>
    <phoneticPr fontId="9" type="noConversion"/>
  </si>
  <si>
    <t>建筑面积</t>
    <phoneticPr fontId="9" type="noConversion"/>
  </si>
  <si>
    <t>估价对象位于成都市高新区，周边商业氛围较成熟，人流量较大，有九方购物中心、天虹商场等商业项目，商业繁华度较好。</t>
    <phoneticPr fontId="26"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</si>
  <si>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</si>
  <si>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区域自然环境：鲨鱼公园；人文环境：成都规划馆；综合评价环境状况一般。</t>
    <phoneticPr fontId="42" type="noConversion"/>
  </si>
  <si>
    <t>估价对象周边路网较密集、公共交通通达情况较好，有115、236路及地铁1号线等公共交通，停车便捷程度较好，综合评价交通便捷度较好。</t>
    <phoneticPr fontId="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</si>
</sst>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81" fillId="7" borderId="0" xfId="0" applyFont="1" applyFill="1" applyProtection="1">
      <alignment vertical="center"/>
      <protection locked="0"/>
    </xf>
    <xf numFmtId="49" fontId="1" fillId="0" borderId="35" xfId="0" applyNumberFormat="1" applyFont="1" applyFill="1" applyBorder="1" applyAlignment="1" applyProtection="1">
      <alignment horizontal="center" vertical="center" wrapText="1"/>
      <protection locked="0"/>
    </xf>
    <xf numFmtId="49" fontId="1"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158107136"/>
        <c:axId val="158108672"/>
      </c:barChart>
      <c:catAx>
        <c:axId val="158107136"/>
        <c:scaling>
          <c:orientation val="minMax"/>
        </c:scaling>
        <c:delete val="0"/>
        <c:axPos val="b"/>
        <c:majorTickMark val="out"/>
        <c:minorTickMark val="none"/>
        <c:tickLblPos val="nextTo"/>
        <c:crossAx val="158108672"/>
        <c:crosses val="autoZero"/>
        <c:auto val="1"/>
        <c:lblAlgn val="ctr"/>
        <c:lblOffset val="100"/>
        <c:noMultiLvlLbl val="0"/>
      </c:catAx>
      <c:valAx>
        <c:axId val="158108672"/>
        <c:scaling>
          <c:orientation val="minMax"/>
        </c:scaling>
        <c:delete val="0"/>
        <c:axPos val="l"/>
        <c:majorGridlines/>
        <c:numFmt formatCode="General" sourceLinked="1"/>
        <c:majorTickMark val="out"/>
        <c:minorTickMark val="none"/>
        <c:tickLblPos val="nextTo"/>
        <c:crossAx val="15810713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F01&#65289;W&#37202;&#2421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F01&#65289;W&#37202;&#24215;2&#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F02&#25253;&#21578;&#27979;&#31639;/F02&#25104;&#37117;&#24736;&#26041;&#65288;&#22312;&#24314;&#25913;&#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收益法-商业"/>
      <sheetName val="收益法-地下酒店"/>
      <sheetName val="收益法-车库"/>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分摊土地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4005.32</v>
          </cell>
          <cell r="E3">
            <v>50064.18</v>
          </cell>
        </row>
      </sheetData>
      <sheetData sheetId="14"/>
      <sheetData sheetId="15"/>
      <sheetData sheetId="16">
        <row r="14">
          <cell r="B14">
            <v>50064.18</v>
          </cell>
          <cell r="C14">
            <v>4005.32</v>
          </cell>
          <cell r="D14">
            <v>51235</v>
          </cell>
          <cell r="G14">
            <v>48562</v>
          </cell>
        </row>
      </sheetData>
      <sheetData sheetId="17">
        <row r="19">
          <cell r="G19">
            <v>51235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3497.69</v>
          </cell>
          <cell r="E3">
            <v>43719.19</v>
          </cell>
        </row>
      </sheetData>
      <sheetData sheetId="14"/>
      <sheetData sheetId="15"/>
      <sheetData sheetId="16">
        <row r="14">
          <cell r="B14">
            <v>43719.19</v>
          </cell>
          <cell r="C14">
            <v>3497.69</v>
          </cell>
          <cell r="D14">
            <v>49926</v>
          </cell>
          <cell r="G14">
            <v>49926</v>
          </cell>
        </row>
      </sheetData>
      <sheetData sheetId="17">
        <row r="19">
          <cell r="G19">
            <v>49926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212496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row r="19">
          <cell r="C19">
            <v>42881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C19">
            <v>28686</v>
          </cell>
        </row>
      </sheetData>
      <sheetData sheetId="45">
        <row r="19">
          <cell r="C19">
            <v>16061</v>
          </cell>
        </row>
      </sheetData>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47837</v>
      </c>
    </row>
    <row r="21" spans="1:2" s="1595" customFormat="1">
      <c r="A21" s="1593" t="s">
        <v>1235</v>
      </c>
      <c r="B21" s="1594">
        <f ca="1">'预评函-2'!D7</f>
        <v>18441</v>
      </c>
    </row>
    <row r="22" spans="1:2" s="1595" customFormat="1">
      <c r="A22" s="1593" t="s">
        <v>1236</v>
      </c>
      <c r="B22" s="1594" t="str">
        <f ca="1">'预评函-2'!D6</f>
        <v>肆亿柒仟捌佰叁拾柒万元整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46237</v>
      </c>
    </row>
    <row r="31" spans="1:2" s="1595" customFormat="1">
      <c r="A31" s="1593" t="s">
        <v>1274</v>
      </c>
      <c r="B31" s="1594">
        <f ca="1">'预评函-2'!D15</f>
        <v>17824</v>
      </c>
    </row>
    <row r="32" spans="1:2" s="1595" customFormat="1">
      <c r="A32" s="1593" t="s">
        <v>1241</v>
      </c>
      <c r="B32" s="1594" t="str">
        <f ca="1">'预评函-2'!D14</f>
        <v>肆亿陆仟贰佰叁拾柒万元整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f ca="1">'预评函-3'!D4</f>
        <v>17948</v>
      </c>
    </row>
    <row r="48" spans="1:2" s="1595" customFormat="1">
      <c r="A48" s="1593" t="s">
        <v>1247</v>
      </c>
      <c r="B48" s="1594">
        <f ca="1">'预评函-3'!E4</f>
        <v>6919</v>
      </c>
    </row>
    <row r="49" spans="1:2" s="1595" customFormat="1">
      <c r="A49" s="1593" t="s">
        <v>1248</v>
      </c>
      <c r="B49" s="1594" t="str">
        <f ca="1">'预评函-3'!D5</f>
        <v>壹亿柒仟玖佰肆拾捌万元整</v>
      </c>
    </row>
    <row r="50" spans="1:2" s="1595" customFormat="1">
      <c r="A50" s="1593" t="s">
        <v>1272</v>
      </c>
      <c r="B50" s="1594" t="str">
        <f>'预评函-3'!F2</f>
        <v>建筑物价值</v>
      </c>
    </row>
    <row r="51" spans="1:2" s="1595" customFormat="1">
      <c r="A51" s="1593" t="s">
        <v>1249</v>
      </c>
      <c r="B51" s="1594">
        <f ca="1">'预评函-3'!F4</f>
        <v>29889</v>
      </c>
    </row>
    <row r="52" spans="1:2" s="1595" customFormat="1">
      <c r="A52" s="1593" t="s">
        <v>1250</v>
      </c>
      <c r="B52" s="1594">
        <f ca="1">'预评函-3'!G4</f>
        <v>11522</v>
      </c>
    </row>
    <row r="53" spans="1:2" s="1595" customFormat="1">
      <c r="A53" s="1593" t="s">
        <v>1278</v>
      </c>
      <c r="B53" s="1594" t="str">
        <f ca="1">'预评函-3'!F5</f>
        <v>贰亿玖仟捌佰捌拾玖万元整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4" t="s">
        <v>864</v>
      </c>
      <c r="C54" s="2021" t="s">
        <v>1281</v>
      </c>
    </row>
    <row r="55" spans="1:4">
      <c r="A55" s="3036"/>
      <c r="B55" s="2024" t="s">
        <v>865</v>
      </c>
      <c r="C55" s="2021" t="s">
        <v>1282</v>
      </c>
    </row>
    <row r="56" spans="1:4">
      <c r="A56" s="3036"/>
      <c r="B56" s="2024" t="s">
        <v>866</v>
      </c>
      <c r="C56" s="2021" t="s">
        <v>1286</v>
      </c>
    </row>
    <row r="57" spans="1:4">
      <c r="A57" s="303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37" t="str">
        <f>IF(B10="北京市","北京市",C10)&amp;F10&amp;IF(结果表!G1="在建","出让国有建设用地使用权及在建建筑物",IF(结果表!G1="土地","出让国有建设用地使用权",))&amp;B9&amp;"预评估"</f>
        <v>四川省成都市高新区交子大道300号房地产抵押价值预评估</v>
      </c>
      <c r="C1" s="3038"/>
      <c r="D1" s="3038"/>
      <c r="E1" s="3038"/>
      <c r="F1" s="3038"/>
      <c r="G1" s="3038"/>
      <c r="H1" s="3038"/>
      <c r="I1" s="303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3063</v>
      </c>
      <c r="C4" s="1040">
        <f ca="1">SUMIF(注册房地产估价师,B4,估价师及机构信息!B3:B24)</f>
        <v>1120070131</v>
      </c>
      <c r="D4" s="2041" t="s">
        <v>3064</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3065</v>
      </c>
      <c r="C7" s="2051"/>
      <c r="D7" s="2052"/>
      <c r="E7" s="2036"/>
      <c r="F7" s="2044"/>
      <c r="G7" s="2044"/>
      <c r="H7" s="2044"/>
      <c r="I7" s="2044"/>
      <c r="J7" s="2044"/>
      <c r="K7" s="2054"/>
      <c r="L7" s="2030"/>
      <c r="M7" s="2030"/>
      <c r="N7" s="2031"/>
      <c r="O7" s="2032"/>
      <c r="P7" s="2031"/>
      <c r="Q7" s="2031"/>
      <c r="R7" s="2031"/>
    </row>
    <row r="8" spans="1:19" ht="18" customHeight="1">
      <c r="A8" s="2049" t="s">
        <v>1784</v>
      </c>
      <c r="B8" s="2055" t="s">
        <v>3067</v>
      </c>
      <c r="C8" s="2056"/>
      <c r="D8" s="3040" t="s">
        <v>1785</v>
      </c>
      <c r="E8" s="2057" t="s">
        <v>3066</v>
      </c>
      <c r="F8" s="2058"/>
      <c r="G8" s="2028"/>
      <c r="H8" s="2028"/>
      <c r="I8" s="2028"/>
      <c r="J8" s="2044"/>
      <c r="K8" s="2045"/>
      <c r="L8" s="2030"/>
      <c r="M8" s="2030"/>
      <c r="N8" s="2031"/>
      <c r="O8" s="2032"/>
      <c r="P8" s="2031"/>
      <c r="Q8" s="2031"/>
      <c r="R8" s="2031"/>
    </row>
    <row r="9" spans="1:19" ht="18" customHeight="1" thickBot="1">
      <c r="A9" s="2042" t="s">
        <v>1786</v>
      </c>
      <c r="B9" s="2059" t="s">
        <v>3066</v>
      </c>
      <c r="C9" s="2060"/>
      <c r="D9" s="3041"/>
      <c r="E9" s="2059"/>
      <c r="F9" s="2061"/>
      <c r="G9" s="2062"/>
      <c r="H9" s="2062"/>
      <c r="I9" s="2062"/>
      <c r="J9" s="2044"/>
      <c r="K9" s="2054"/>
      <c r="L9" s="2030"/>
      <c r="M9" s="2030"/>
      <c r="N9" s="2031"/>
      <c r="O9" s="2032"/>
      <c r="P9" s="2031"/>
      <c r="Q9" s="2031"/>
      <c r="R9" s="2031"/>
    </row>
    <row r="10" spans="1:19" ht="18" customHeight="1" thickTop="1">
      <c r="A10" s="2063" t="s">
        <v>1787</v>
      </c>
      <c r="B10" s="2064" t="s">
        <v>3058</v>
      </c>
      <c r="C10" s="2961" t="s">
        <v>3059</v>
      </c>
      <c r="D10" s="2048"/>
      <c r="E10" s="2065" t="s">
        <v>1788</v>
      </c>
      <c r="F10" s="2066" t="s">
        <v>3060</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3057</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47"/>
      <c r="C16" s="3048"/>
      <c r="D16" s="3049"/>
      <c r="E16" s="2085" t="s">
        <v>1802</v>
      </c>
      <c r="F16" s="3050" t="s">
        <v>3061</v>
      </c>
      <c r="G16" s="3051"/>
      <c r="H16" s="3051"/>
      <c r="I16" s="3052"/>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3" t="s">
        <v>3062</v>
      </c>
      <c r="F17" s="3054"/>
      <c r="G17" s="3054"/>
      <c r="H17" s="3054"/>
      <c r="I17" s="3055"/>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56" t="s">
        <v>3070</v>
      </c>
      <c r="F18" s="3057"/>
      <c r="G18" s="3057"/>
      <c r="H18" s="3057"/>
      <c r="I18" s="3058"/>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3069</v>
      </c>
      <c r="D19" s="2092" t="s">
        <v>1810</v>
      </c>
      <c r="E19" s="2093" t="s">
        <v>3069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3" t="s">
        <v>1812</v>
      </c>
      <c r="C20" s="3044"/>
      <c r="D20" s="3045" t="s">
        <v>1813</v>
      </c>
      <c r="E20" s="3046"/>
      <c r="F20" s="2097" t="s">
        <v>1814</v>
      </c>
      <c r="G20" s="2044"/>
      <c r="H20" s="2044"/>
      <c r="I20" s="2044"/>
      <c r="J20" s="2044"/>
      <c r="K20" s="3042"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60" t="s">
        <v>1827</v>
      </c>
      <c r="B27" s="2063" t="s">
        <v>1828</v>
      </c>
      <c r="C27" s="2119" t="s">
        <v>3071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60"/>
      <c r="B28" s="2037" t="s">
        <v>1829</v>
      </c>
      <c r="C28" s="2121" t="s">
        <v>3072</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60"/>
      <c r="B29" s="2037" t="s">
        <v>1830</v>
      </c>
      <c r="C29" s="2124" t="s">
        <v>3068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61"/>
      <c r="B30" s="2037" t="s">
        <v>1831</v>
      </c>
      <c r="C30" s="3062"/>
      <c r="D30" s="3063"/>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64" t="s">
        <v>1832</v>
      </c>
      <c r="B31" s="2126" t="s">
        <v>3073</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65"/>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65"/>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3074</v>
      </c>
      <c r="C34" s="2133" t="s">
        <v>3075</v>
      </c>
      <c r="D34" s="2133" t="s">
        <v>3075</v>
      </c>
      <c r="E34" s="2133" t="s">
        <v>3076</v>
      </c>
      <c r="F34" s="2133" t="s">
        <v>3077</v>
      </c>
      <c r="G34" s="2133" t="s">
        <v>3078</v>
      </c>
      <c r="H34" s="2133"/>
      <c r="I34" s="2044"/>
      <c r="J34" s="2044"/>
      <c r="K34" s="1797">
        <f>COUNTIF(B34:H34,"——")</f>
        <v>0</v>
      </c>
      <c r="L34" s="2074" t="s">
        <v>1834</v>
      </c>
      <c r="M34" s="2074" t="s">
        <v>1835</v>
      </c>
      <c r="N34" s="2074" t="s">
        <v>1836</v>
      </c>
      <c r="O34" s="2074" t="s">
        <v>1837</v>
      </c>
      <c r="P34" s="2074" t="s">
        <v>1838</v>
      </c>
      <c r="Q34" s="2074" t="s">
        <v>1839</v>
      </c>
      <c r="R34" s="2074" t="s">
        <v>1840</v>
      </c>
      <c r="S34" s="3059" t="s">
        <v>1841</v>
      </c>
      <c r="T34" s="2134" t="str">
        <f>NUMBERSTRING(7-K34,1)&amp;"通"</f>
        <v>七通</v>
      </c>
      <c r="U34" s="2031"/>
      <c r="V34" s="2031"/>
    </row>
    <row r="35" spans="1:22" ht="18" customHeight="1">
      <c r="A35" s="2135"/>
      <c r="B35" s="3066" t="s">
        <v>1842</v>
      </c>
      <c r="C35" s="3066"/>
      <c r="D35" s="3066"/>
      <c r="E35" s="3066"/>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59"/>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3104</v>
      </c>
      <c r="J9" s="984"/>
      <c r="K9" s="2191" t="s">
        <v>3108</v>
      </c>
      <c r="L9" s="984"/>
      <c r="M9" s="2191" t="s">
        <v>3108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3109</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3069</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3069</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3069</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3068</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3105</v>
      </c>
      <c r="D17" s="2213" t="s">
        <v>3068</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3106</v>
      </c>
      <c r="D18" s="2976" t="s">
        <v>3068</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3107</v>
      </c>
      <c r="D19" s="2976" t="s">
        <v>3068</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SheetLayoutView="90" workbookViewId="0">
      <selection activeCell="I19" sqref="I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8" t="s">
        <v>1938</v>
      </c>
      <c r="B2" s="3078"/>
      <c r="C2" s="3078"/>
      <c r="D2" s="970" t="s">
        <v>1914</v>
      </c>
      <c r="E2" s="2227" t="s">
        <v>1915</v>
      </c>
      <c r="F2" s="1395"/>
      <c r="G2" s="2228"/>
      <c r="H2" s="2229"/>
      <c r="I2" s="2230" t="s">
        <v>1939</v>
      </c>
      <c r="J2" s="1395"/>
      <c r="K2" s="1395"/>
      <c r="L2" s="1395"/>
      <c r="M2" s="1395"/>
      <c r="N2" s="1430"/>
      <c r="O2" s="1395"/>
      <c r="P2" s="1395"/>
    </row>
    <row r="3" spans="1:16" ht="15.75" thickBot="1">
      <c r="A3" s="3079" t="s">
        <v>1912</v>
      </c>
      <c r="B3" s="3079"/>
      <c r="C3" s="3079"/>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80"/>
      <c r="B4" s="3081"/>
      <c r="C4" s="3082"/>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3" t="s">
        <v>1917</v>
      </c>
      <c r="C5" s="3083"/>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3" t="s">
        <v>1918</v>
      </c>
      <c r="C6" s="3083"/>
      <c r="D6" s="48">
        <f>ROUND($D$3*E6/$E$3,2)</f>
        <v>2075.37</v>
      </c>
      <c r="E6" s="49">
        <f>E3-E5</f>
        <v>25941</v>
      </c>
      <c r="F6" s="1395"/>
      <c r="G6" s="2235" t="s">
        <v>1919</v>
      </c>
      <c r="H6" s="1402" t="s">
        <v>1920</v>
      </c>
      <c r="I6" s="942">
        <f>ROUND(F31/D31,2)</f>
        <v>12.5</v>
      </c>
      <c r="J6" s="1395"/>
      <c r="K6" s="1395"/>
      <c r="L6" s="1395"/>
      <c r="M6" s="1395"/>
      <c r="N6" s="1395"/>
      <c r="O6" s="1395"/>
      <c r="P6" s="1395"/>
    </row>
    <row r="7" spans="1:16" ht="15">
      <c r="A7" s="3075"/>
      <c r="B7" s="3076"/>
      <c r="C7" s="3077"/>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72" t="s">
        <v>1942</v>
      </c>
      <c r="L16" s="3073"/>
      <c r="M16" s="3073"/>
      <c r="N16" s="3073"/>
      <c r="O16" s="3073"/>
      <c r="P16" s="3074"/>
    </row>
    <row r="17" spans="1:19" ht="15">
      <c r="A17" s="2242" t="s">
        <v>1943</v>
      </c>
      <c r="B17" s="2243" t="s">
        <v>1944</v>
      </c>
      <c r="C17" s="2244" t="s">
        <v>1945</v>
      </c>
      <c r="D17" s="2245" t="s">
        <v>1933</v>
      </c>
      <c r="E17" s="2246" t="s">
        <v>1934</v>
      </c>
      <c r="F17" s="2247"/>
      <c r="G17" s="2248"/>
      <c r="H17" s="2249" t="s">
        <v>1946</v>
      </c>
      <c r="I17" s="2250" t="s">
        <v>1931</v>
      </c>
      <c r="J17" s="1395"/>
      <c r="K17" s="3069" t="s">
        <v>1947</v>
      </c>
      <c r="L17" s="3070"/>
      <c r="M17" s="3071"/>
      <c r="N17" s="3069" t="s">
        <v>1948</v>
      </c>
      <c r="O17" s="3070"/>
      <c r="P17" s="3071"/>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3111</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3112</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3113</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3116</v>
      </c>
      <c r="AO6" s="55">
        <f ca="1">SUMIF(INDIRECT("'"&amp;AN6&amp;"'"&amp;"!A:A"),"总价",INDIRECT("'"&amp;AN6&amp;"'"&amp;"!B:B"))</f>
        <v>743</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3</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3</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3</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3</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130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4" t="s">
        <v>2083</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3367</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3370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3368</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3349</v>
      </c>
      <c r="D8" s="2377"/>
      <c r="E8" s="2377"/>
      <c r="F8" s="1136"/>
      <c r="G8" s="1136"/>
      <c r="H8" s="2368"/>
      <c r="I8" s="2368"/>
      <c r="J8" s="2368"/>
      <c r="K8" s="2368"/>
      <c r="L8" s="2368"/>
      <c r="M8" s="2368"/>
      <c r="N8" s="2368"/>
      <c r="O8" s="2368"/>
      <c r="P8" s="2368"/>
      <c r="Q8" s="2368"/>
      <c r="R8" s="2368"/>
    </row>
    <row r="9" spans="1:29" ht="40.5">
      <c r="A9" s="431"/>
      <c r="B9" s="1797" t="s">
        <v>2102</v>
      </c>
      <c r="C9" s="2984" t="s">
        <v>3369</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3337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3336</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3297</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4" sqref="F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119724.37</v>
      </c>
      <c r="C1" s="1744"/>
      <c r="D1" s="1744"/>
      <c r="E1" s="1744"/>
      <c r="F1" s="1744"/>
      <c r="G1" s="1742"/>
    </row>
    <row r="2" spans="1:10" ht="16.5">
      <c r="A2" s="1745" t="s">
        <v>1353</v>
      </c>
      <c r="B2" s="1745">
        <f>SUM(C14:C23)</f>
        <v>9578.380000000001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148998</v>
      </c>
      <c r="C5" s="1745">
        <f ca="1">ROUND(B5*10000/$B$1,0)</f>
        <v>12445</v>
      </c>
      <c r="D5" s="1745">
        <f ca="1">ROUND(B5*10000/$B$2,0)</f>
        <v>155557</v>
      </c>
      <c r="E5" s="1744"/>
      <c r="F5" s="1742"/>
      <c r="G5" s="1742"/>
    </row>
    <row r="6" spans="1:10" ht="16.5">
      <c r="A6" s="1745" t="s">
        <v>1356</v>
      </c>
      <c r="B6" s="1745">
        <f ca="1">SUM(G14:G23)</f>
        <v>146325</v>
      </c>
      <c r="C6" s="1745">
        <f ca="1">ROUND(B6*10000/$B$1,0)</f>
        <v>12222</v>
      </c>
      <c r="D6" s="1745">
        <f ca="1">ROUND(B6*10000/$B$2,0)</f>
        <v>152766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47837</v>
      </c>
      <c r="E14" s="1743">
        <f ca="1">ROUND(D14*10000/B14,0)</f>
        <v>18441</v>
      </c>
      <c r="F14" s="1743">
        <f ca="1">ROUND(D14*10000/C14,0)</f>
        <v>230499</v>
      </c>
      <c r="G14" s="1743">
        <f ca="1">典型户型修正!B20</f>
        <v>47837</v>
      </c>
      <c r="H14" s="1743" t="str">
        <f>结果表!D124</f>
        <v>——</v>
      </c>
      <c r="I14" s="1743" t="str">
        <f>结果表!D126</f>
        <v>——</v>
      </c>
      <c r="J14" s="1742"/>
    </row>
    <row r="15" spans="1:10" ht="16.5">
      <c r="A15" s="1741" t="s">
        <v>1349</v>
      </c>
      <c r="B15" s="1748">
        <f>[1]系统读取表!$B$14</f>
        <v>50064.18</v>
      </c>
      <c r="C15" s="1748">
        <f>[1]系统读取表!$C$14</f>
        <v>4005.32</v>
      </c>
      <c r="D15" s="1748">
        <f>[1]系统读取表!$D$14</f>
        <v>51235</v>
      </c>
      <c r="E15" s="1743">
        <f t="shared" ref="E15:E23" si="0">ROUND(D15*10000/B15,0)</f>
        <v>10234</v>
      </c>
      <c r="F15" s="1743">
        <f t="shared" ref="F15:F23" si="1">ROUND(D15*10000/C15,0)</f>
        <v>127917</v>
      </c>
      <c r="G15" s="1749">
        <f>[1]系统读取表!$G$14</f>
        <v>48562</v>
      </c>
      <c r="H15" s="1749"/>
      <c r="I15" s="1748"/>
      <c r="J15" s="1742"/>
    </row>
    <row r="16" spans="1:10" ht="16.5">
      <c r="A16" s="1741" t="s">
        <v>1348</v>
      </c>
      <c r="B16" s="1748">
        <f>[2]系统读取表!$B$14</f>
        <v>43719.19</v>
      </c>
      <c r="C16" s="1748">
        <f>[2]系统读取表!$C$14</f>
        <v>3497.69</v>
      </c>
      <c r="D16" s="1748">
        <f>[2]系统读取表!$D$14</f>
        <v>49926</v>
      </c>
      <c r="E16" s="1743">
        <f t="shared" si="0"/>
        <v>11420</v>
      </c>
      <c r="F16" s="1743">
        <f t="shared" si="1"/>
        <v>142740</v>
      </c>
      <c r="G16" s="1749">
        <f>[2]系统读取表!$G$14</f>
        <v>49926</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SheetLayoutView="100" zoomScalePageLayoutView="80" workbookViewId="0">
      <selection activeCell="I92" sqref="I9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3110</v>
      </c>
      <c r="D1" s="2418"/>
      <c r="E1" s="2418"/>
      <c r="F1" s="2420" t="s">
        <v>2118</v>
      </c>
      <c r="G1" s="2070" t="s">
        <v>3073</v>
      </c>
      <c r="H1" s="2421" t="str">
        <f>IF(G1="现房","——","估价对象范围")</f>
        <v>——</v>
      </c>
      <c r="I1" s="2422" t="s">
        <v>3120</v>
      </c>
    </row>
    <row r="2" spans="1:12" ht="21.75" customHeight="1" thickBot="1">
      <c r="A2" s="3158" t="str">
        <f>项目基本情况!S2</f>
        <v>四川省成都市高新区交子大道300号房地产</v>
      </c>
      <c r="B2" s="3159"/>
      <c r="C2" s="3159"/>
      <c r="D2" s="3159"/>
      <c r="E2" s="3159"/>
      <c r="F2" s="3159"/>
      <c r="G2" s="3159"/>
      <c r="H2" s="3159"/>
      <c r="I2" s="3160"/>
    </row>
    <row r="3" spans="1:12" ht="12.75">
      <c r="A3" s="3161" t="s">
        <v>2119</v>
      </c>
      <c r="B3" s="3162"/>
      <c r="C3" s="3162"/>
      <c r="D3" s="3162"/>
      <c r="E3" s="3162"/>
      <c r="F3" s="3162"/>
      <c r="G3" s="3162"/>
      <c r="H3" s="3162"/>
      <c r="I3" s="3162"/>
    </row>
    <row r="4" spans="1:12" ht="14.25">
      <c r="A4" s="2425" t="s">
        <v>2120</v>
      </c>
      <c r="B4" s="2426" t="s">
        <v>2121</v>
      </c>
      <c r="C4" s="2427" t="s">
        <v>3121</v>
      </c>
      <c r="D4" s="2427" t="s">
        <v>3116</v>
      </c>
      <c r="E4" s="3142" t="s">
        <v>2122</v>
      </c>
      <c r="F4" s="3155"/>
      <c r="G4" s="3155"/>
      <c r="H4" s="3155"/>
      <c r="I4" s="314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3" t="s">
        <v>2123</v>
      </c>
      <c r="B5" s="3059">
        <v>25</v>
      </c>
      <c r="C5" s="3163"/>
      <c r="D5" s="3151"/>
      <c r="E5" s="140" t="s">
        <v>2124</v>
      </c>
      <c r="F5" s="2429"/>
      <c r="G5" s="2429"/>
      <c r="H5" s="2429"/>
      <c r="I5" s="1833"/>
    </row>
    <row r="6" spans="1:12" ht="12.75">
      <c r="A6" s="3133"/>
      <c r="B6" s="3059"/>
      <c r="C6" s="3165"/>
      <c r="D6" s="3151"/>
      <c r="E6" s="140" t="s">
        <v>2125</v>
      </c>
      <c r="F6" s="2429"/>
      <c r="G6" s="2429"/>
      <c r="H6" s="2429"/>
      <c r="I6" s="1833"/>
    </row>
    <row r="7" spans="1:12" ht="12.75">
      <c r="A7" s="3133"/>
      <c r="B7" s="3059"/>
      <c r="C7" s="3164"/>
      <c r="D7" s="3151"/>
      <c r="E7" s="140" t="s">
        <v>2126</v>
      </c>
      <c r="F7" s="2429"/>
      <c r="G7" s="2429"/>
      <c r="H7" s="2429"/>
      <c r="I7" s="1833"/>
    </row>
    <row r="8" spans="1:12" ht="12.75">
      <c r="A8" s="3133" t="s">
        <v>2127</v>
      </c>
      <c r="B8" s="3059">
        <v>15</v>
      </c>
      <c r="C8" s="3163"/>
      <c r="D8" s="3151"/>
      <c r="E8" s="140" t="s">
        <v>2128</v>
      </c>
      <c r="F8" s="2429"/>
      <c r="G8" s="2429"/>
      <c r="H8" s="2429"/>
      <c r="I8" s="1833"/>
    </row>
    <row r="9" spans="1:12" ht="12.75">
      <c r="A9" s="3133"/>
      <c r="B9" s="3059"/>
      <c r="C9" s="3164"/>
      <c r="D9" s="3151"/>
      <c r="E9" s="140" t="s">
        <v>2129</v>
      </c>
      <c r="F9" s="2429"/>
      <c r="G9" s="2429"/>
      <c r="H9" s="2429"/>
      <c r="I9" s="1833"/>
    </row>
    <row r="10" spans="1:12" ht="12.75">
      <c r="A10" s="3133" t="s">
        <v>2130</v>
      </c>
      <c r="B10" s="3059">
        <v>15</v>
      </c>
      <c r="C10" s="3163"/>
      <c r="D10" s="3151"/>
      <c r="E10" s="140" t="s">
        <v>2131</v>
      </c>
      <c r="F10" s="2429"/>
      <c r="G10" s="2429"/>
      <c r="H10" s="2429"/>
      <c r="I10" s="1833"/>
    </row>
    <row r="11" spans="1:12" ht="12.75">
      <c r="A11" s="3133"/>
      <c r="B11" s="3059"/>
      <c r="C11" s="3164"/>
      <c r="D11" s="3151"/>
      <c r="E11" s="140" t="s">
        <v>2132</v>
      </c>
      <c r="F11" s="2429"/>
      <c r="G11" s="2429"/>
      <c r="H11" s="2429"/>
      <c r="I11" s="1833"/>
    </row>
    <row r="12" spans="1:12" ht="12.75">
      <c r="A12" s="3133" t="s">
        <v>2133</v>
      </c>
      <c r="B12" s="3059">
        <v>15</v>
      </c>
      <c r="C12" s="3163"/>
      <c r="D12" s="3151"/>
      <c r="E12" s="140" t="s">
        <v>2134</v>
      </c>
      <c r="F12" s="2429"/>
      <c r="G12" s="2429"/>
      <c r="H12" s="2429"/>
      <c r="I12" s="1833"/>
    </row>
    <row r="13" spans="1:12" ht="12.75">
      <c r="A13" s="3133"/>
      <c r="B13" s="3059"/>
      <c r="C13" s="3164"/>
      <c r="D13" s="3151"/>
      <c r="E13" s="140" t="s">
        <v>2135</v>
      </c>
      <c r="F13" s="2429"/>
      <c r="G13" s="2429"/>
      <c r="H13" s="2429"/>
      <c r="I13" s="1833"/>
    </row>
    <row r="14" spans="1:12" ht="12.75">
      <c r="A14" s="3133" t="s">
        <v>2136</v>
      </c>
      <c r="B14" s="3059">
        <v>30</v>
      </c>
      <c r="C14" s="3163">
        <v>3</v>
      </c>
      <c r="D14" s="3151">
        <v>7</v>
      </c>
      <c r="E14" s="140" t="s">
        <v>2137</v>
      </c>
      <c r="F14" s="2429"/>
      <c r="G14" s="2429"/>
      <c r="H14" s="2429"/>
      <c r="I14" s="1833"/>
    </row>
    <row r="15" spans="1:12" ht="12.75">
      <c r="A15" s="3133"/>
      <c r="B15" s="3059"/>
      <c r="C15" s="3165"/>
      <c r="D15" s="3151"/>
      <c r="E15" s="140" t="s">
        <v>2138</v>
      </c>
      <c r="F15" s="2429"/>
      <c r="G15" s="2429"/>
      <c r="H15" s="2429"/>
      <c r="I15" s="1833"/>
    </row>
    <row r="16" spans="1:12" ht="12.75">
      <c r="A16" s="3133"/>
      <c r="B16" s="3059"/>
      <c r="C16" s="3164"/>
      <c r="D16" s="3151"/>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345</v>
      </c>
      <c r="D19" s="144">
        <f ca="1">SUMIF(INDIRECT("'"&amp;D4&amp;"'"&amp;"!A:A"),结果表!B19,INDIRECT("'"&amp;D4&amp;"'"&amp;"!B:B"))</f>
        <v>743</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21806</v>
      </c>
      <c r="D20" s="147">
        <f ca="1">SUMIF(INDIRECT("'"&amp;D4&amp;"'"&amp;"!A:A"),结果表!B20,INDIRECT("'"&amp;D4&amp;"'"&amp;"!B:B"))</f>
        <v>46958</v>
      </c>
      <c r="E20" s="2437"/>
      <c r="F20" s="1250" t="s">
        <v>2150</v>
      </c>
      <c r="G20" s="148">
        <f ca="1">ROUND(C20*$C$18+D20*$D$18,0)</f>
        <v>39412</v>
      </c>
      <c r="H20" s="983" t="s">
        <v>2151</v>
      </c>
      <c r="I20" s="138"/>
    </row>
    <row r="21" spans="1:35" ht="15" customHeight="1" thickBot="1">
      <c r="A21" s="1003"/>
      <c r="B21" s="2438" t="s">
        <v>2152</v>
      </c>
      <c r="C21" s="789">
        <f ca="1">ROUND(C19*10000/L19,0)</f>
        <v>198048</v>
      </c>
      <c r="D21" s="790">
        <f ca="1">ROUND(D19*10000/L19,0)</f>
        <v>426521</v>
      </c>
      <c r="E21" s="1003"/>
      <c r="F21" s="2438" t="s">
        <v>2152</v>
      </c>
      <c r="G21" s="149">
        <f ca="1">ROUND(G19*10000/L19,0)</f>
        <v>358209</v>
      </c>
      <c r="H21" s="2439" t="s">
        <v>2151</v>
      </c>
      <c r="I21" s="138"/>
    </row>
    <row r="22" spans="1:35" ht="15" thickBot="1">
      <c r="A22" s="2281" t="s">
        <v>2153</v>
      </c>
      <c r="B22" s="2440"/>
      <c r="C22" s="2441"/>
      <c r="D22" s="791">
        <f ca="1">IF(C19&lt;D19,D19/C19-1,C19/D19-1)</f>
        <v>1.1536231884057973</v>
      </c>
      <c r="E22" s="138"/>
      <c r="F22" s="138"/>
      <c r="G22" s="138"/>
      <c r="H22" s="138"/>
      <c r="I22" s="138"/>
    </row>
    <row r="23" spans="1:35" ht="13.5" thickBot="1">
      <c r="A23" s="2418"/>
      <c r="B23" s="2418"/>
      <c r="C23" s="2418"/>
      <c r="D23" s="2418"/>
      <c r="E23" s="138"/>
      <c r="F23" s="138"/>
      <c r="G23" s="138"/>
      <c r="H23" s="138"/>
      <c r="I23" s="138"/>
      <c r="J23" s="795" t="s">
        <v>3350</v>
      </c>
      <c r="K23" s="795">
        <v>52068</v>
      </c>
      <c r="L23" s="795">
        <f>[1]结果表!$G$19</f>
        <v>51235</v>
      </c>
    </row>
    <row r="24" spans="1:35" ht="14.25">
      <c r="A24" s="3172" t="s">
        <v>2154</v>
      </c>
      <c r="B24" s="2435" t="s">
        <v>2146</v>
      </c>
      <c r="C24" s="145">
        <f>IF(B30=0,0,D30)</f>
        <v>0</v>
      </c>
      <c r="D24" s="2442"/>
      <c r="E24" s="138"/>
      <c r="F24" s="138"/>
      <c r="G24" s="138"/>
      <c r="H24" s="138"/>
      <c r="I24" s="138"/>
      <c r="J24" s="795" t="s">
        <v>3351</v>
      </c>
      <c r="K24" s="795">
        <v>47865</v>
      </c>
      <c r="L24" s="795">
        <f>[2]结果表!$G$19</f>
        <v>49926</v>
      </c>
    </row>
    <row r="25" spans="1:35" ht="14.25">
      <c r="A25" s="3173"/>
      <c r="B25" s="1250" t="s">
        <v>2150</v>
      </c>
      <c r="C25" s="150">
        <f>IF(B30=0,0,C30)</f>
        <v>0</v>
      </c>
      <c r="D25" s="2443"/>
      <c r="E25" s="138"/>
      <c r="F25" s="138"/>
      <c r="G25" s="138"/>
      <c r="H25" s="138"/>
      <c r="I25" s="138"/>
      <c r="J25" s="2990" t="s">
        <v>3352</v>
      </c>
      <c r="K25" s="795">
        <v>47711</v>
      </c>
      <c r="L25" s="795">
        <f ca="1">典型户型修正!B20</f>
        <v>47837</v>
      </c>
    </row>
    <row r="26" spans="1:35" ht="13.5" customHeight="1">
      <c r="A26" s="2444" t="s">
        <v>2155</v>
      </c>
      <c r="B26" s="151" t="s">
        <v>2156</v>
      </c>
      <c r="C26" s="151" t="s">
        <v>2157</v>
      </c>
      <c r="D26" s="152" t="s">
        <v>2158</v>
      </c>
      <c r="E26" s="138"/>
      <c r="F26" s="138"/>
      <c r="G26" s="138"/>
      <c r="H26" s="138"/>
      <c r="I26" s="138"/>
      <c r="K26" s="795">
        <f>SUM(K23:K25)</f>
        <v>147644</v>
      </c>
      <c r="L26" s="795">
        <f ca="1">SUM(L23:L25)</f>
        <v>148998</v>
      </c>
      <c r="M26" s="795">
        <f ca="1">L26-K26</f>
        <v>1354</v>
      </c>
    </row>
    <row r="27" spans="1:35" ht="14.25">
      <c r="A27" s="2444"/>
      <c r="B27" s="151">
        <v>0</v>
      </c>
      <c r="C27" s="151">
        <v>0</v>
      </c>
      <c r="D27" s="152">
        <f>ROUND(C27*B27/10000,0)</f>
        <v>0</v>
      </c>
      <c r="E27" s="138"/>
      <c r="F27" s="138"/>
      <c r="G27" s="138"/>
      <c r="H27" s="138"/>
      <c r="I27" s="138"/>
      <c r="L27" s="795">
        <f>[3]结果表!$G$19</f>
        <v>212496</v>
      </c>
    </row>
    <row r="28" spans="1:35" ht="14.25">
      <c r="A28" s="2444"/>
      <c r="B28" s="151"/>
      <c r="C28" s="151"/>
      <c r="D28" s="152"/>
      <c r="E28" s="138"/>
      <c r="F28" s="138"/>
      <c r="G28" s="138"/>
      <c r="H28" s="138"/>
      <c r="I28" s="138"/>
      <c r="L28" s="795">
        <f ca="1">L26+L27</f>
        <v>361494</v>
      </c>
    </row>
    <row r="29" spans="1:35" ht="14.25">
      <c r="A29" s="2444"/>
      <c r="B29" s="151"/>
      <c r="C29" s="151"/>
      <c r="D29" s="152"/>
      <c r="E29" s="138"/>
      <c r="F29" s="138"/>
      <c r="G29" s="138"/>
      <c r="H29" s="138"/>
      <c r="I29" s="138"/>
      <c r="J29" s="798"/>
      <c r="K29" s="2988" t="s">
        <v>3365</v>
      </c>
      <c r="L29" s="2988" t="s">
        <v>3366</v>
      </c>
    </row>
    <row r="30" spans="1:35" ht="14.25">
      <c r="A30" s="151" t="s">
        <v>2159</v>
      </c>
      <c r="B30" s="151"/>
      <c r="C30" s="151"/>
      <c r="D30" s="151"/>
      <c r="E30" s="2927" t="s">
        <v>3033</v>
      </c>
      <c r="F30" s="138"/>
      <c r="G30" s="138"/>
      <c r="H30" s="138"/>
      <c r="I30" s="138"/>
      <c r="J30" s="798" t="s">
        <v>3350</v>
      </c>
      <c r="K30" s="2988">
        <f>'[1]数据-汇总表'!$D$3</f>
        <v>4005.32</v>
      </c>
      <c r="L30" s="798">
        <f>'[1]数据-汇总表'!$E$3</f>
        <v>50064.18</v>
      </c>
    </row>
    <row r="31" spans="1:35" s="2446" customFormat="1" ht="15" thickBot="1">
      <c r="A31" s="2445"/>
      <c r="B31" s="2445"/>
      <c r="C31" s="2445"/>
      <c r="D31" s="2445"/>
      <c r="E31" s="138"/>
      <c r="F31" s="138"/>
      <c r="G31" s="138"/>
      <c r="H31" s="138"/>
      <c r="I31" s="138"/>
      <c r="J31" s="798" t="s">
        <v>3351</v>
      </c>
      <c r="K31" s="798">
        <f>'[2]数据-汇总表'!$D$3</f>
        <v>3497.69</v>
      </c>
      <c r="L31" s="798">
        <f>'[2]数据-汇总表'!$E$3</f>
        <v>43719.19</v>
      </c>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典型户型修正!B20</f>
        <v>47837</v>
      </c>
      <c r="D32" s="2449" t="s">
        <v>2161</v>
      </c>
      <c r="E32" s="138"/>
      <c r="F32" s="138"/>
      <c r="G32" s="138"/>
      <c r="H32" s="138"/>
      <c r="I32" s="138"/>
      <c r="J32" s="2988" t="s">
        <v>3352</v>
      </c>
      <c r="K32" s="798">
        <f>'数据-汇总表'!D3</f>
        <v>2075.37</v>
      </c>
      <c r="L32" s="798">
        <f>'数据-汇总表'!E3</f>
        <v>25941</v>
      </c>
    </row>
    <row r="33" spans="1:15" ht="15">
      <c r="A33" s="960" t="s">
        <v>2162</v>
      </c>
      <c r="B33" s="2450"/>
      <c r="C33" s="2451" t="s">
        <v>3363</v>
      </c>
      <c r="D33" s="2452"/>
      <c r="E33" s="2453" t="s">
        <v>2163</v>
      </c>
      <c r="F33" s="2454" t="str">
        <f>IF(D32="楼面单价","取值（单价）","取值（总价）")</f>
        <v>取值（总价）</v>
      </c>
      <c r="G33" s="138"/>
      <c r="H33" s="138"/>
      <c r="I33" s="138"/>
      <c r="K33" s="798">
        <f>K30+K31+K32</f>
        <v>9578.380000000001</v>
      </c>
      <c r="L33" s="798">
        <f>L30+L31+L32</f>
        <v>119724.37</v>
      </c>
    </row>
    <row r="34" spans="1:15" ht="15">
      <c r="A34" s="2455"/>
      <c r="B34" s="2456" t="s">
        <v>2164</v>
      </c>
      <c r="C34" s="157">
        <f ca="1">IF(C33="自定义",F34,C32-C35)</f>
        <v>17948</v>
      </c>
      <c r="D34" s="1058">
        <f ca="1">IF(C33="自定义",ROUND(C34/C32,3),IF(C33="收益比率",SUMIF(INDIRECT("'"&amp;D33&amp;"'"&amp;"!b:b"),"土地收益比率",INDIRECT("'"&amp;D33&amp;"'"&amp;"!c:c")),SUMIF(INDIRECT("'"&amp;D33&amp;"'"&amp;"!b:b"),"土地成本比率",INDIRECT("'"&amp;D33&amp;"'"&amp;"!c:c"))))</f>
        <v>0.375</v>
      </c>
      <c r="E34" s="2457" t="s">
        <v>2165</v>
      </c>
      <c r="F34" s="1738">
        <f ca="1">典型户型修正!B20-结果表!F35</f>
        <v>17948</v>
      </c>
      <c r="G34" s="138"/>
      <c r="H34" s="138"/>
      <c r="I34" s="138"/>
    </row>
    <row r="35" spans="1:15" ht="15.75" thickBot="1">
      <c r="A35" s="2458"/>
      <c r="B35" s="2459" t="s">
        <v>2166</v>
      </c>
      <c r="C35" s="1444">
        <f ca="1">IF(C33="自定义",F35,ROUND(C32*D35,0))</f>
        <v>29889</v>
      </c>
      <c r="D35" s="1445">
        <f ca="1">IF(C33="自定义",ROUND(C35/C32,3),IF(C33="收益比率",SUMIF(INDIRECT("'"&amp;D33&amp;"'"&amp;"!b:b"),"建筑物收益比率",INDIRECT("'"&amp;D33&amp;"'"&amp;"!c:c")),SUMIF(INDIRECT("'"&amp;D33&amp;"'"&amp;"!b:b"),"建筑物成本比率",INDIRECT("'"&amp;D33&amp;"'"&amp;"!c:c"))))</f>
        <v>0.625</v>
      </c>
      <c r="E35" s="2460" t="s">
        <v>2167</v>
      </c>
      <c r="F35" s="163">
        <f ca="1">ROUND(J35*'数据-汇总表'!E3/10000,0)</f>
        <v>29889</v>
      </c>
      <c r="G35" s="138"/>
      <c r="H35" s="138"/>
      <c r="I35" s="138"/>
      <c r="J35" s="795">
        <f ca="1">ROUND('收益法 (元)'!C13/'收益法 (元)'!F7,0)</f>
        <v>11522</v>
      </c>
    </row>
    <row r="36" spans="1:15" ht="15.75" thickBot="1">
      <c r="A36" s="3152" t="s">
        <v>2168</v>
      </c>
      <c r="B36" s="2461" t="s">
        <v>2169</v>
      </c>
      <c r="C36" s="154">
        <v>50000</v>
      </c>
      <c r="D36" s="2462" t="s">
        <v>3346</v>
      </c>
      <c r="E36" s="2463"/>
      <c r="F36" s="2464"/>
      <c r="G36" s="138"/>
      <c r="H36" s="138"/>
      <c r="I36" s="138"/>
    </row>
    <row r="37" spans="1:15" ht="15.75" thickBot="1">
      <c r="A37" s="3153"/>
      <c r="B37" s="2267" t="s">
        <v>2170</v>
      </c>
      <c r="C37" s="156">
        <v>1600</v>
      </c>
      <c r="D37" s="1395"/>
      <c r="E37" s="1395"/>
      <c r="F37" s="2464"/>
      <c r="G37" s="138"/>
      <c r="H37" s="138"/>
      <c r="I37" s="138"/>
    </row>
    <row r="38" spans="1:15" ht="15.75" thickBot="1">
      <c r="A38" s="3154"/>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9" t="s">
        <v>2182</v>
      </c>
      <c r="B45" s="3170"/>
      <c r="C45" s="3171"/>
      <c r="D45" s="164">
        <f ca="1">M49</f>
        <v>234416</v>
      </c>
      <c r="E45" s="165" t="s">
        <v>2183</v>
      </c>
      <c r="F45" s="166">
        <v>1</v>
      </c>
      <c r="G45" s="167" t="s">
        <v>2184</v>
      </c>
      <c r="H45" s="138"/>
      <c r="I45" s="138"/>
      <c r="J45" s="3088" t="s">
        <v>2185</v>
      </c>
      <c r="K45" s="3088"/>
      <c r="L45" s="3088"/>
      <c r="M45" s="3088"/>
      <c r="N45" s="3088"/>
      <c r="O45" s="3088"/>
    </row>
    <row r="46" spans="1:15" ht="14.25" customHeight="1">
      <c r="A46" s="3166" t="s">
        <v>2186</v>
      </c>
      <c r="B46" s="3167"/>
      <c r="C46" s="3167"/>
      <c r="D46" s="3167"/>
      <c r="E46" s="3167"/>
      <c r="F46" s="3167"/>
      <c r="G46" s="3168"/>
      <c r="H46" s="2480"/>
      <c r="I46" s="168"/>
      <c r="J46" s="1811">
        <v>1</v>
      </c>
      <c r="K46" s="3088" t="s">
        <v>2187</v>
      </c>
      <c r="L46" s="3088"/>
      <c r="M46" s="3089"/>
      <c r="N46" s="3089"/>
      <c r="O46" s="3089"/>
    </row>
    <row r="47" spans="1:15" ht="12" customHeight="1">
      <c r="A47" s="169" t="s">
        <v>2188</v>
      </c>
      <c r="B47" s="170"/>
      <c r="C47" s="171"/>
      <c r="D47" s="172" t="s">
        <v>2189</v>
      </c>
      <c r="E47" s="24" t="s">
        <v>2190</v>
      </c>
      <c r="F47" s="173" t="s">
        <v>2191</v>
      </c>
      <c r="G47" s="174" t="s">
        <v>2192</v>
      </c>
      <c r="H47" s="2480"/>
      <c r="I47" s="168"/>
      <c r="J47" s="1811">
        <v>2</v>
      </c>
      <c r="K47" s="3088" t="s">
        <v>2193</v>
      </c>
      <c r="L47" s="3088"/>
      <c r="M47" s="3090">
        <f>'数据-取费表'!B2</f>
        <v>43324</v>
      </c>
      <c r="N47" s="3090"/>
      <c r="O47" s="3090"/>
    </row>
    <row r="48" spans="1:15" ht="25.5">
      <c r="A48" s="3156" t="s">
        <v>2194</v>
      </c>
      <c r="B48" s="3157"/>
      <c r="C48" s="3157"/>
      <c r="D48" s="140">
        <f ca="1">IF(H48="情况1",0,IF(H48="情况2",D52,IF(H48="情况3",D53,IF(H48="情况4",D54))))</f>
        <v>12502</v>
      </c>
      <c r="E48" s="1800" t="str">
        <f>IF(H48="情况4","(销售额-原购置价)×税（费）率","销售额×税（费）率")</f>
        <v>销售额×税（费）率</v>
      </c>
      <c r="F48" s="175">
        <f>IF(H48="情况1","免征",'数据-取费表'!B41)</f>
        <v>5.6000000000000001E-2</v>
      </c>
      <c r="G48" s="2481" t="s">
        <v>2195</v>
      </c>
      <c r="H48" s="2482" t="s">
        <v>3342</v>
      </c>
      <c r="I48" s="2480"/>
      <c r="J48" s="1811">
        <v>3</v>
      </c>
      <c r="K48" s="3088" t="s">
        <v>2196</v>
      </c>
      <c r="L48" s="3088"/>
      <c r="M48" s="3091">
        <f ca="1">典型户型修正!B20+[4]结果表!$H$101</f>
        <v>236016</v>
      </c>
      <c r="N48" s="3091"/>
      <c r="O48" s="3091"/>
    </row>
    <row r="49" spans="1:35" ht="25.5" customHeight="1">
      <c r="A49" s="176" t="s">
        <v>2197</v>
      </c>
      <c r="B49" s="3136" t="s">
        <v>2198</v>
      </c>
      <c r="C49" s="3136"/>
      <c r="D49" s="177">
        <v>0</v>
      </c>
      <c r="E49" s="23" t="s">
        <v>2199</v>
      </c>
      <c r="F49" s="28" t="s">
        <v>34</v>
      </c>
      <c r="G49" s="3117"/>
      <c r="H49" s="138"/>
      <c r="I49" s="2483"/>
      <c r="J49" s="1811">
        <v>4</v>
      </c>
      <c r="K49" s="3088" t="str">
        <f>IF(项目基本情况!E8="房地产抵押价值","房地产抵押价值","抵押担保权已注销时的房地产抵押价值")</f>
        <v>房地产抵押价值</v>
      </c>
      <c r="L49" s="3088"/>
      <c r="M49" s="3091">
        <f ca="1">M48-C37</f>
        <v>234416</v>
      </c>
      <c r="N49" s="3091"/>
      <c r="O49" s="3091"/>
    </row>
    <row r="50" spans="1:35" ht="25.5" customHeight="1">
      <c r="A50" s="178"/>
      <c r="B50" s="3136" t="s">
        <v>2200</v>
      </c>
      <c r="C50" s="3136"/>
      <c r="D50" s="179"/>
      <c r="E50" s="31"/>
      <c r="F50" s="180"/>
      <c r="G50" s="3118"/>
      <c r="H50" s="138"/>
      <c r="I50" s="2483"/>
      <c r="J50" s="3088" t="s">
        <v>2201</v>
      </c>
      <c r="K50" s="3088"/>
      <c r="L50" s="3088"/>
      <c r="M50" s="3088"/>
      <c r="N50" s="3088"/>
      <c r="O50" s="3088"/>
    </row>
    <row r="51" spans="1:35" ht="12" customHeight="1">
      <c r="A51" s="181"/>
      <c r="B51" s="3136" t="s">
        <v>2202</v>
      </c>
      <c r="C51" s="3136"/>
      <c r="D51" s="182"/>
      <c r="E51" s="30"/>
      <c r="F51" s="180"/>
      <c r="G51" s="3119"/>
      <c r="H51" s="138"/>
      <c r="I51" s="2483"/>
      <c r="J51" s="2484" t="s">
        <v>2203</v>
      </c>
      <c r="K51" s="3088" t="s">
        <v>2204</v>
      </c>
      <c r="L51" s="3088"/>
      <c r="M51" s="2484" t="s">
        <v>2205</v>
      </c>
      <c r="N51" s="2484" t="s">
        <v>2206</v>
      </c>
      <c r="O51" s="2484" t="s">
        <v>2207</v>
      </c>
    </row>
    <row r="52" spans="1:35" ht="24" customHeight="1">
      <c r="A52" s="183" t="s">
        <v>2208</v>
      </c>
      <c r="B52" s="3136" t="s">
        <v>2209</v>
      </c>
      <c r="C52" s="3136"/>
      <c r="D52" s="182">
        <f ca="1">ROUND(D45*'数据-取费表'!B41/(1+'数据-取费表'!C42),0)</f>
        <v>12502</v>
      </c>
      <c r="E52" s="11" t="s">
        <v>2210</v>
      </c>
      <c r="F52" s="184">
        <f>'数据-取费表'!B41</f>
        <v>5.6000000000000001E-2</v>
      </c>
      <c r="G52" s="2485"/>
      <c r="H52" s="138"/>
      <c r="I52" s="2483"/>
      <c r="J52" s="1811">
        <v>1</v>
      </c>
      <c r="K52" s="3111" t="s">
        <v>2211</v>
      </c>
      <c r="L52" s="3111"/>
      <c r="M52" s="1753">
        <f ca="1">D48</f>
        <v>12502</v>
      </c>
      <c r="N52" s="1811" t="str">
        <f>E48</f>
        <v>销售额×税（费）率</v>
      </c>
      <c r="O52" s="1754">
        <f>F48</f>
        <v>5.6000000000000001E-2</v>
      </c>
    </row>
    <row r="53" spans="1:35" ht="12" customHeight="1">
      <c r="A53" s="183" t="s">
        <v>2212</v>
      </c>
      <c r="B53" s="3137" t="s">
        <v>2213</v>
      </c>
      <c r="C53" s="3138"/>
      <c r="D53" s="182">
        <f ca="1">ROUND(D45*'数据-取费表'!B41/(1+'数据-取费表'!C42),0)</f>
        <v>12502</v>
      </c>
      <c r="E53" s="11" t="s">
        <v>2210</v>
      </c>
      <c r="F53" s="184">
        <f>'数据-取费表'!B41</f>
        <v>5.6000000000000001E-2</v>
      </c>
      <c r="G53" s="2485"/>
      <c r="H53" s="138"/>
      <c r="I53" s="2483"/>
      <c r="J53" s="1811">
        <v>2</v>
      </c>
      <c r="K53" s="3111" t="s">
        <v>2214</v>
      </c>
      <c r="L53" s="3111"/>
      <c r="M53" s="1753">
        <f t="shared" ref="M53:O54" ca="1" si="0">D55</f>
        <v>117</v>
      </c>
      <c r="N53" s="1811" t="str">
        <f t="shared" si="0"/>
        <v>销售额×税（费）率</v>
      </c>
      <c r="O53" s="1754">
        <f t="shared" si="0"/>
        <v>5.0000000000000001E-4</v>
      </c>
    </row>
    <row r="54" spans="1:35" ht="12" customHeight="1">
      <c r="A54" s="183" t="s">
        <v>2215</v>
      </c>
      <c r="B54" s="3137" t="s">
        <v>2216</v>
      </c>
      <c r="C54" s="3138"/>
      <c r="D54" s="182">
        <f ca="1">C68</f>
        <v>12502</v>
      </c>
      <c r="E54" s="30" t="s">
        <v>2217</v>
      </c>
      <c r="F54" s="184">
        <f>'数据-取费表'!B41</f>
        <v>5.6000000000000001E-2</v>
      </c>
      <c r="G54" s="2485"/>
      <c r="H54" s="2486"/>
      <c r="I54" s="2483"/>
      <c r="J54" s="1811">
        <v>3</v>
      </c>
      <c r="K54" s="3111" t="s">
        <v>2218</v>
      </c>
      <c r="L54" s="3111"/>
      <c r="M54" s="1753">
        <f t="shared" ca="1" si="0"/>
        <v>13691</v>
      </c>
      <c r="N54" s="1811" t="str">
        <f t="shared" si="0"/>
        <v>增值额×税（费）率</v>
      </c>
      <c r="O54" s="1755" t="str">
        <f t="shared" si="0"/>
        <v>——</v>
      </c>
    </row>
    <row r="55" spans="1:35" ht="24" customHeight="1">
      <c r="A55" s="3175" t="s">
        <v>2219</v>
      </c>
      <c r="B55" s="3157"/>
      <c r="C55" s="3157"/>
      <c r="D55" s="185">
        <f ca="1">IF(H55="个人住宅",0,ROUND(D45*I55,0))</f>
        <v>117</v>
      </c>
      <c r="E55" s="11" t="s">
        <v>2220</v>
      </c>
      <c r="F55" s="184">
        <f>IF(H55="正常",I55,"免征")</f>
        <v>5.0000000000000001E-4</v>
      </c>
      <c r="G55" s="2485"/>
      <c r="H55" s="2482" t="s">
        <v>2221</v>
      </c>
      <c r="I55" s="186">
        <f>'数据-取费表'!B49</f>
        <v>5.0000000000000001E-4</v>
      </c>
      <c r="J55" s="1811" t="str">
        <f>IF(H59="非个人房产","",4)</f>
        <v/>
      </c>
      <c r="K55" s="3111" t="str">
        <f>IF(H59="非个人房产","——","个人所得税")</f>
        <v>——</v>
      </c>
      <c r="L55" s="3111"/>
      <c r="M55" s="1756" t="str">
        <f>D59</f>
        <v>——</v>
      </c>
      <c r="N55" s="1809" t="str">
        <f>E59</f>
        <v>——</v>
      </c>
      <c r="O55" s="1757" t="str">
        <f>F59</f>
        <v>——</v>
      </c>
    </row>
    <row r="56" spans="1:35" ht="24.75">
      <c r="A56" s="3175" t="s">
        <v>2222</v>
      </c>
      <c r="B56" s="3157"/>
      <c r="C56" s="3157"/>
      <c r="D56" s="185">
        <f ca="1">IF(H56="个人住宅",D57,D58)</f>
        <v>13691</v>
      </c>
      <c r="E56" s="11" t="s">
        <v>2223</v>
      </c>
      <c r="F56" s="184" t="str">
        <f>IF(H56="正常",F58,"免征")</f>
        <v>——</v>
      </c>
      <c r="G56" s="2487" t="s">
        <v>2224</v>
      </c>
      <c r="H56" s="2488" t="s">
        <v>2221</v>
      </c>
      <c r="I56" s="2489"/>
      <c r="J56" s="1811" t="str">
        <f>IF(项目基本情况!K6="上海银行",IF(J55="",4,J55+1),"")</f>
        <v/>
      </c>
      <c r="K56" s="3094" t="str">
        <f>IF(项目基本情况!K6="上海银行","其他处置费用","")</f>
        <v/>
      </c>
      <c r="L56" s="3095"/>
      <c r="M56" s="1753" t="str">
        <f>IF(项目基本情况!K6="上海银行",M69,"")</f>
        <v/>
      </c>
      <c r="N56" s="3097" t="str">
        <f>IF(项目基本情况!K6="上海银行","包含处置中涉及的律师、诉讼、拍卖、评估等费用","")</f>
        <v/>
      </c>
      <c r="O56" s="3098"/>
    </row>
    <row r="57" spans="1:35" ht="12.75">
      <c r="A57" s="183" t="s">
        <v>2197</v>
      </c>
      <c r="B57" s="3142" t="s">
        <v>2225</v>
      </c>
      <c r="C57" s="3143"/>
      <c r="D57" s="187">
        <v>0</v>
      </c>
      <c r="E57" s="23" t="s">
        <v>2199</v>
      </c>
      <c r="F57" s="155"/>
      <c r="G57" s="2485"/>
      <c r="H57" s="2489"/>
      <c r="I57" s="2489"/>
      <c r="J57" s="3111">
        <f>IF(AND(J55="",J56=""),4,IF(项目基本情况!K6="上海银行",结果表!J56+1,结果表!J55+1))</f>
        <v>4</v>
      </c>
      <c r="K57" s="3111" t="s">
        <v>2226</v>
      </c>
      <c r="L57" s="2490" t="s">
        <v>2227</v>
      </c>
      <c r="M57" s="1758"/>
      <c r="N57" s="1759">
        <f ca="1">SUMIF(M52:M56,"&lt;9e307")</f>
        <v>26310</v>
      </c>
      <c r="O57" s="2491"/>
      <c r="P57" s="1752">
        <f ca="1">N57/M49</f>
        <v>0.11223636611835369</v>
      </c>
    </row>
    <row r="58" spans="1:35" ht="24.75">
      <c r="A58" s="183" t="s">
        <v>2208</v>
      </c>
      <c r="B58" s="3142" t="s">
        <v>2228</v>
      </c>
      <c r="C58" s="3155"/>
      <c r="D58" s="185">
        <f ca="1">IF(H58="转让取得",C81,C97)</f>
        <v>13691</v>
      </c>
      <c r="E58" s="11" t="s">
        <v>2223</v>
      </c>
      <c r="F58" s="24" t="s">
        <v>34</v>
      </c>
      <c r="G58" s="2485"/>
      <c r="H58" s="2488" t="s">
        <v>2229</v>
      </c>
      <c r="I58" s="2489"/>
      <c r="J58" s="3111"/>
      <c r="K58" s="3111"/>
      <c r="L58" s="2490" t="s">
        <v>2230</v>
      </c>
      <c r="M58" s="1760"/>
      <c r="N58" s="2492" t="str">
        <f ca="1">NUMBERSTRING(INT(N57*10000),2)&amp;"元整"</f>
        <v>贰亿陆仟叁佰壹拾万元整</v>
      </c>
      <c r="O58" s="2493"/>
    </row>
    <row r="59" spans="1:35" ht="24.75" thickBot="1">
      <c r="A59" s="3115" t="s">
        <v>2231</v>
      </c>
      <c r="B59" s="3116"/>
      <c r="C59" s="3116"/>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3">
        <f>J57+1</f>
        <v>5</v>
      </c>
      <c r="K59" s="3111" t="s">
        <v>2233</v>
      </c>
      <c r="L59" s="1811" t="s">
        <v>2227</v>
      </c>
      <c r="M59" s="1761"/>
      <c r="N59" s="1762">
        <f ca="1">M49-N57</f>
        <v>208106</v>
      </c>
      <c r="O59" s="2495"/>
    </row>
    <row r="60" spans="1:35" ht="12" customHeight="1">
      <c r="A60" s="2496"/>
      <c r="B60" s="2418"/>
      <c r="C60" s="2418"/>
      <c r="D60" s="2418"/>
      <c r="E60" s="2166"/>
      <c r="F60" s="2489"/>
      <c r="G60" s="2489"/>
      <c r="H60" s="2497"/>
      <c r="I60" s="138"/>
      <c r="J60" s="3114"/>
      <c r="K60" s="3111"/>
      <c r="L60" s="2490" t="s">
        <v>2230</v>
      </c>
      <c r="M60" s="1760"/>
      <c r="N60" s="2492" t="str">
        <f ca="1">NUMBERSTRING(INT(N59*10000),2)&amp;"元整"</f>
        <v>贰拾亿捌仟壹佰零陆万元整</v>
      </c>
      <c r="O60" s="2493"/>
    </row>
    <row r="61" spans="1:35" ht="13.5" thickBot="1">
      <c r="A61" s="3174" t="s">
        <v>2234</v>
      </c>
      <c r="B61" s="3174"/>
      <c r="C61" s="3174"/>
      <c r="D61" s="3174"/>
      <c r="E61" s="3174"/>
      <c r="F61" s="2489"/>
      <c r="G61" s="2489"/>
      <c r="H61" s="2497"/>
      <c r="I61" s="138"/>
      <c r="J61" s="1811">
        <f>J59+1</f>
        <v>6</v>
      </c>
      <c r="K61" s="3111" t="s">
        <v>2235</v>
      </c>
      <c r="L61" s="3111"/>
      <c r="M61" s="1763"/>
      <c r="N61" s="1764">
        <f ca="1">ROUND(N59*10000/('数据-汇总表'!E3+'[4]数据-汇总表'!$E$3),0)</f>
        <v>10941</v>
      </c>
      <c r="O61" s="2498"/>
    </row>
    <row r="62" spans="1:35" ht="12.75">
      <c r="A62" s="3131" t="s">
        <v>2236</v>
      </c>
      <c r="B62" s="3132"/>
      <c r="C62" s="1803"/>
      <c r="D62" s="1803" t="s">
        <v>2237</v>
      </c>
      <c r="E62" s="192" t="s">
        <v>2238</v>
      </c>
      <c r="F62" s="2489"/>
      <c r="G62" s="2489"/>
      <c r="H62" s="2497"/>
      <c r="I62" s="138"/>
    </row>
    <row r="63" spans="1:35" ht="12.75">
      <c r="A63" s="203" t="s">
        <v>775</v>
      </c>
      <c r="B63" s="193" t="s">
        <v>2239</v>
      </c>
      <c r="C63" s="194">
        <f ca="1">ROUND((C64+C65)/(1+'数据-取费表'!C42),0)</f>
        <v>223253</v>
      </c>
      <c r="D63" s="195"/>
      <c r="E63" s="196"/>
      <c r="F63" s="2489"/>
      <c r="G63" s="2489"/>
      <c r="H63" s="2497"/>
      <c r="I63" s="138"/>
      <c r="J63" s="3096" t="s">
        <v>2240</v>
      </c>
      <c r="K63" s="2499" t="s">
        <v>2241</v>
      </c>
      <c r="L63" s="1751">
        <f ca="1">IF(M49&gt;10000,M49*0.5%,IF(AND(M49&gt;1000,M49&lt;=10000),M49*1%,IF(AND(M49&gt;100,M49&lt;=1000),M49*3%,IF(AND(M49&gt;10,M49&lt;=100),M49*5%,M49*8%))))</f>
        <v>1172.08</v>
      </c>
      <c r="M63" s="24">
        <f ca="1">ROUND(L63,1)</f>
        <v>1172.0999999999999</v>
      </c>
      <c r="Z63" s="2423"/>
      <c r="AI63" s="2424"/>
    </row>
    <row r="64" spans="1:35" ht="14.25" customHeight="1">
      <c r="A64" s="197" t="s">
        <v>770</v>
      </c>
      <c r="B64" s="198" t="s">
        <v>2242</v>
      </c>
      <c r="C64" s="199">
        <f ca="1">D45</f>
        <v>234416</v>
      </c>
      <c r="D64" s="200" t="s">
        <v>32</v>
      </c>
      <c r="E64" s="201"/>
      <c r="F64" s="2489"/>
      <c r="G64" s="2489"/>
      <c r="H64" s="2497"/>
      <c r="I64" s="138"/>
      <c r="J64" s="3096"/>
      <c r="K64" s="2499" t="s">
        <v>2243</v>
      </c>
      <c r="L64" s="1751">
        <f ca="1">IF(M49&gt;2000,M49*0.5%,IF(AND(M49&gt;1000,M49&lt;=2000),M49*0.6%,IF(AND(M49&gt;500,M49&lt;=1000),M49*0.7%,IF(AND(M49&gt;200,M49&lt;=500),M49*0.8%,IF(AND(M49&gt;100,M49&lt;=200),M49*0.9%,IF(AND(M49&gt;50,M49&lt;=100),M49*1%,IF(AND(M49&gt;20,M49&lt;=50),M49*1.5%,IF(AND(M49&gt;10,M49&lt;=20),M49*2%,IF(AND(M49&gt;1,M49&lt;=10),M49*2.5%)))))))))</f>
        <v>1172.08</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096"/>
      <c r="K65" s="2499" t="s">
        <v>2246</v>
      </c>
      <c r="L65" s="1751">
        <f ca="1">IF(M49&gt;1000,M49*0.1%,IF(AND(M49&gt;500,M49&lt;=1000),M49*0.5%,IF(AND(M49&gt;50,M49&lt;=500),M49*1%,IF(AND(M49&gt;1,M49&lt;=50),M49*1.5%))))</f>
        <v>234.416</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096"/>
      <c r="K66" s="2499" t="s">
        <v>2248</v>
      </c>
      <c r="L66" s="1751">
        <f ca="1">M49*0.5%</f>
        <v>1172.08</v>
      </c>
      <c r="M66" s="24">
        <f ca="1">IF(L66&gt;0.5,0.5,ROUND(L66,0))</f>
        <v>0.5</v>
      </c>
      <c r="N66" s="138" t="s">
        <v>2249</v>
      </c>
      <c r="Z66" s="2423"/>
      <c r="AI66" s="2424"/>
    </row>
    <row r="67" spans="1:35" ht="14.25" customHeight="1">
      <c r="A67" s="203" t="s">
        <v>773</v>
      </c>
      <c r="B67" s="204" t="s">
        <v>2250</v>
      </c>
      <c r="C67" s="207">
        <f ca="1">C63-C66</f>
        <v>223253</v>
      </c>
      <c r="D67" s="200" t="s">
        <v>32</v>
      </c>
      <c r="E67" s="201"/>
      <c r="F67" s="2489"/>
      <c r="G67" s="2489"/>
      <c r="H67" s="2497"/>
      <c r="I67" s="138"/>
      <c r="J67" s="3096"/>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30.691600000000001</v>
      </c>
      <c r="M67" s="24">
        <f ca="1">ROUND(L67*0.9,1)</f>
        <v>27.6</v>
      </c>
      <c r="Z67" s="2423"/>
      <c r="AI67" s="2424"/>
    </row>
    <row r="68" spans="1:35" ht="14.25" customHeight="1" thickBot="1">
      <c r="A68" s="208" t="s">
        <v>774</v>
      </c>
      <c r="B68" s="209" t="s">
        <v>2252</v>
      </c>
      <c r="C68" s="210">
        <f ca="1">IF(C67&lt;=0,0,ROUND(C67*D68,0))</f>
        <v>12502</v>
      </c>
      <c r="D68" s="211">
        <f>'数据-取费表'!B41</f>
        <v>5.6000000000000001E-2</v>
      </c>
      <c r="E68" s="212"/>
      <c r="F68" s="2489"/>
      <c r="G68" s="2489"/>
      <c r="H68" s="2497"/>
      <c r="I68" s="138"/>
      <c r="J68" s="3096"/>
      <c r="K68" s="2499" t="s">
        <v>2253</v>
      </c>
      <c r="L68" s="1751">
        <f ca="1">IF(M49&gt;10000,M49*0.5%,IF(AND(M49&gt;5000,M49&lt;=10000),M49*1%,IF(AND(M49&gt;1000,M49&lt;=5000),M49*2%,IF(AND(M49&gt;200,M49&lt;=1000),M49*3%,M49*5%))))</f>
        <v>1172.08</v>
      </c>
      <c r="M68" s="24">
        <f ca="1">ROUND(L68,1)</f>
        <v>1172.0999999999999</v>
      </c>
      <c r="Z68" s="2423"/>
      <c r="AI68" s="2424"/>
    </row>
    <row r="69" spans="1:35" s="2446" customFormat="1" ht="16.5" customHeight="1">
      <c r="A69" s="2500"/>
      <c r="B69" s="2501"/>
      <c r="C69" s="2502"/>
      <c r="D69" s="2503"/>
      <c r="E69" s="2504"/>
      <c r="F69" s="2166"/>
      <c r="G69" s="2166"/>
      <c r="H69" s="2165"/>
      <c r="I69" s="2418"/>
      <c r="J69" s="3096"/>
      <c r="K69" s="2499" t="s">
        <v>2254</v>
      </c>
      <c r="L69" s="2505"/>
      <c r="M69" s="24">
        <f ca="1">ROUND(SUM(M63:M68),0)</f>
        <v>3779</v>
      </c>
      <c r="N69" s="1752">
        <f ca="1">M69/M49</f>
        <v>1.6120913248242441E-2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40" t="s">
        <v>2255</v>
      </c>
      <c r="B70" s="3141"/>
      <c r="C70" s="3141"/>
      <c r="D70" s="3141"/>
      <c r="E70" s="3141"/>
      <c r="F70" s="3141"/>
      <c r="G70" s="3141"/>
      <c r="H70" s="3141"/>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1" t="s">
        <v>2236</v>
      </c>
      <c r="B71" s="3132"/>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223253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1340</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37" t="s">
        <v>2264</v>
      </c>
      <c r="F76" s="3136"/>
      <c r="G76" s="3136"/>
      <c r="H76" s="3139"/>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1340</v>
      </c>
      <c r="D78" s="226">
        <f>'数据-取费表'!B43</f>
        <v>6.000000000000001E-3</v>
      </c>
      <c r="E78" s="3128" t="s">
        <v>2269</v>
      </c>
      <c r="F78" s="3129"/>
      <c r="G78" s="3129"/>
      <c r="H78" s="3130"/>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221913</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165.60671641791043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132679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0" t="s">
        <v>2273</v>
      </c>
      <c r="B83" s="3141"/>
      <c r="C83" s="3141"/>
      <c r="D83" s="3141"/>
      <c r="E83" s="3141"/>
      <c r="F83" s="3141"/>
      <c r="G83" s="3141"/>
      <c r="H83" s="3141"/>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1" t="s">
        <v>2236</v>
      </c>
      <c r="B84" s="3132"/>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223253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177615.52687100001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32761.526870999998</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L91*'数据-基础表'!A3/10000</f>
        <v>31791.526870999998</v>
      </c>
      <c r="D88" s="226"/>
      <c r="E88" s="237" t="s">
        <v>2276</v>
      </c>
      <c r="F88" s="1799"/>
      <c r="G88" s="238" t="s">
        <v>2277</v>
      </c>
      <c r="H88" s="2517" t="s">
        <v>3343</v>
      </c>
      <c r="I88" s="2512"/>
      <c r="J88" s="2508"/>
      <c r="K88" s="2508" t="s">
        <v>3344</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970</v>
      </c>
      <c r="D89" s="226">
        <f>'数据-取费表'!B48+'数据-取费表'!B49</f>
        <v>3.0499999999999999E-2</v>
      </c>
      <c r="E89" s="237" t="s">
        <v>2278</v>
      </c>
      <c r="F89" s="1799"/>
      <c r="G89" s="1799"/>
      <c r="H89" s="1801"/>
      <c r="I89" s="2512"/>
      <c r="J89" s="2508"/>
      <c r="K89" s="2508" t="s">
        <v>3345</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128" t="s">
        <v>2282</v>
      </c>
      <c r="F91" s="3129"/>
      <c r="G91" s="3129"/>
      <c r="H91" s="2518" t="s">
        <v>2283</v>
      </c>
      <c r="I91" s="2519">
        <f ca="1">ROUND('收益法 (元)'!C19/典型户型修正!B24*典型户型修正!B22/10000,0)+[4]收益法!$C$19+'[4]收益法 (车库)'!$C$19+'[4]收益法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13560</v>
      </c>
      <c r="D92" s="226">
        <v>0.1</v>
      </c>
      <c r="E92" s="3128" t="s">
        <v>2286</v>
      </c>
      <c r="F92" s="3129"/>
      <c r="G92" s="3129"/>
      <c r="H92" s="3130"/>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1340</v>
      </c>
      <c r="D93" s="226">
        <f>'数据-取费表'!B43</f>
        <v>6.000000000000001E-3</v>
      </c>
      <c r="E93" s="3128" t="s">
        <v>2269</v>
      </c>
      <c r="F93" s="3129"/>
      <c r="G93" s="3129"/>
      <c r="H93" s="3130"/>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27119</v>
      </c>
      <c r="D94" s="226">
        <v>0.2</v>
      </c>
      <c r="E94" s="3176" t="s">
        <v>2290</v>
      </c>
      <c r="F94" s="3177"/>
      <c r="G94" s="3177"/>
      <c r="H94" s="317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45637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0.25694262660463013</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13691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80" t="s">
        <v>2292</v>
      </c>
      <c r="B100" s="3081"/>
      <c r="C100" s="3081"/>
      <c r="D100" s="3112"/>
      <c r="E100" s="3081" t="s">
        <v>2293</v>
      </c>
      <c r="F100" s="3081"/>
      <c r="G100" s="3081"/>
      <c r="H100" s="3112"/>
      <c r="I100" s="138"/>
    </row>
    <row r="101" spans="1:35" ht="18.75" customHeight="1">
      <c r="A101" s="3120" t="s">
        <v>2294</v>
      </c>
      <c r="B101" s="3121"/>
      <c r="C101" s="736" t="str">
        <f>C4</f>
        <v>成本法 (元)</v>
      </c>
      <c r="D101" s="737" t="str">
        <f>D4</f>
        <v>收益法 (元)</v>
      </c>
      <c r="E101" s="3092" t="s">
        <v>2295</v>
      </c>
      <c r="F101" s="3093"/>
      <c r="G101" s="2520" t="s">
        <v>2296</v>
      </c>
      <c r="H101" s="1048">
        <f ca="1">H118</f>
        <v>47837</v>
      </c>
      <c r="I101" s="138"/>
    </row>
    <row r="102" spans="1:35" ht="18.75" customHeight="1">
      <c r="A102" s="3122" t="s">
        <v>2297</v>
      </c>
      <c r="B102" s="2520" t="s">
        <v>2296</v>
      </c>
      <c r="C102" s="736">
        <f ca="1">C19</f>
        <v>345</v>
      </c>
      <c r="D102" s="737">
        <f ca="1">D19</f>
        <v>743</v>
      </c>
      <c r="E102" s="3092"/>
      <c r="F102" s="3093"/>
      <c r="G102" s="2520" t="s">
        <v>2298</v>
      </c>
      <c r="H102" s="371">
        <f ca="1">I118</f>
        <v>18441</v>
      </c>
      <c r="I102" s="138"/>
    </row>
    <row r="103" spans="1:35" ht="42.75" customHeight="1">
      <c r="A103" s="3122"/>
      <c r="B103" s="2520" t="s">
        <v>2298</v>
      </c>
      <c r="C103" s="738">
        <f ca="1">C20</f>
        <v>21806</v>
      </c>
      <c r="D103" s="739">
        <f ca="1">D20</f>
        <v>46958</v>
      </c>
      <c r="E103" s="3086" t="s">
        <v>2299</v>
      </c>
      <c r="F103" s="3087"/>
      <c r="G103" s="2521" t="s">
        <v>2300</v>
      </c>
      <c r="H103" s="1048">
        <f>IF(D36="正常操作",H104+H105+H106,H105+H106)</f>
        <v>1600</v>
      </c>
      <c r="I103" s="138"/>
    </row>
    <row r="104" spans="1:35" ht="18.75" customHeight="1">
      <c r="A104" s="3122" t="s">
        <v>2301</v>
      </c>
      <c r="B104" s="2522" t="s">
        <v>2296</v>
      </c>
      <c r="C104" s="740">
        <f ca="1">H118</f>
        <v>47837</v>
      </c>
      <c r="D104" s="741"/>
      <c r="E104" s="2267" t="s">
        <v>2302</v>
      </c>
      <c r="F104" s="2258"/>
      <c r="G104" s="2521" t="s">
        <v>2300</v>
      </c>
      <c r="H104" s="1049">
        <f>IF(D36="同一抵押权人同一抵押物续贷",C36&amp;"（未扣减，详见特别提示）",C36)</f>
        <v>50000</v>
      </c>
      <c r="I104" s="138"/>
    </row>
    <row r="105" spans="1:35" ht="18.75" customHeight="1" thickBot="1">
      <c r="A105" s="3134"/>
      <c r="B105" s="2523" t="s">
        <v>2298</v>
      </c>
      <c r="C105" s="742">
        <f ca="1">I118</f>
        <v>18441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3" t="str">
        <f>IF(项目基本情况!E8="已注销","——","3.房地产抵押价值")</f>
        <v>3.房地产抵押价值</v>
      </c>
      <c r="F107" s="3093"/>
      <c r="G107" s="2520" t="s">
        <v>2296</v>
      </c>
      <c r="H107" s="1048">
        <f ca="1">IF(E107="——","——",H101-H103)</f>
        <v>46237</v>
      </c>
      <c r="I107" s="138"/>
    </row>
    <row r="108" spans="1:35" ht="18.75" customHeight="1">
      <c r="A108" s="138"/>
      <c r="B108" s="138"/>
      <c r="C108" s="138"/>
      <c r="D108" s="138"/>
      <c r="E108" s="3123"/>
      <c r="F108" s="3093"/>
      <c r="G108" s="2520" t="s">
        <v>2298</v>
      </c>
      <c r="H108" s="371">
        <f ca="1">ROUND(H107*10000/'数据-汇总表'!E3,0)</f>
        <v>17824</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20" t="s">
        <v>2296</v>
      </c>
      <c r="H109" s="348" t="str">
        <f>IF(E109="——","——",H101-H105-H106)</f>
        <v>——</v>
      </c>
      <c r="I109" s="138"/>
    </row>
    <row r="110" spans="1:35" ht="18.75" customHeight="1">
      <c r="A110" s="138"/>
      <c r="B110" s="138"/>
      <c r="C110" s="138"/>
      <c r="D110" s="138"/>
      <c r="E110" s="3123"/>
      <c r="F110" s="3093"/>
      <c r="G110" s="2520" t="s">
        <v>2298</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20" t="s">
        <v>2296</v>
      </c>
      <c r="H111" s="1048" t="str">
        <f>IF(E111="——","——",N59)</f>
        <v>——</v>
      </c>
      <c r="I111" s="138"/>
    </row>
    <row r="112" spans="1:35" ht="18.75" customHeight="1" thickBot="1">
      <c r="A112" s="138"/>
      <c r="B112" s="138"/>
      <c r="C112" s="138"/>
      <c r="D112" s="138"/>
      <c r="E112" s="3126"/>
      <c r="F112" s="3127"/>
      <c r="G112" s="2525" t="s">
        <v>2298</v>
      </c>
      <c r="H112" s="790" t="str">
        <f>IF(E111="——","——",N61)</f>
        <v>——</v>
      </c>
      <c r="I112" s="138"/>
    </row>
    <row r="113" spans="1:11" ht="18.75" customHeight="1">
      <c r="A113" s="138"/>
      <c r="B113" s="138"/>
      <c r="C113" s="138"/>
      <c r="D113" s="138"/>
      <c r="E113" s="3135" t="s">
        <v>2304</v>
      </c>
      <c r="F113" s="3135"/>
      <c r="G113" s="3135"/>
      <c r="H113" s="3135"/>
      <c r="I113" s="138"/>
    </row>
    <row r="114" spans="1:11" ht="3.75" customHeight="1">
      <c r="A114" s="2418"/>
      <c r="B114" s="2418"/>
      <c r="C114" s="2418"/>
      <c r="D114" s="2418"/>
      <c r="E114" s="2496"/>
      <c r="F114" s="2496"/>
      <c r="G114" s="2496"/>
      <c r="H114" s="2496"/>
      <c r="I114" s="2418"/>
    </row>
    <row r="115" spans="1:11" ht="18.75" customHeight="1">
      <c r="A115" s="3148" t="s">
        <v>2306</v>
      </c>
      <c r="B115" s="3149"/>
      <c r="C115" s="3149"/>
      <c r="D115" s="3149"/>
      <c r="E115" s="3149"/>
      <c r="F115" s="3149"/>
      <c r="G115" s="3149"/>
      <c r="H115" s="3149"/>
      <c r="I115" s="3150"/>
    </row>
    <row r="116" spans="1:11" ht="27" customHeight="1">
      <c r="A116" s="3059" t="s">
        <v>2307</v>
      </c>
      <c r="B116" s="3102" t="s">
        <v>2308</v>
      </c>
      <c r="C116" s="3102" t="s">
        <v>2309</v>
      </c>
      <c r="D116" s="3108" t="s">
        <v>2310</v>
      </c>
      <c r="E116" s="3109"/>
      <c r="F116" s="3144" t="s">
        <v>3364</v>
      </c>
      <c r="G116" s="3144"/>
      <c r="H116" s="3059" t="s">
        <v>2311</v>
      </c>
      <c r="I116" s="3059"/>
    </row>
    <row r="117" spans="1:11" ht="18.75" customHeight="1">
      <c r="A117" s="3059"/>
      <c r="B117" s="3103"/>
      <c r="C117" s="3103"/>
      <c r="D117" s="1797" t="s">
        <v>2312</v>
      </c>
      <c r="E117" s="1797" t="s">
        <v>2313</v>
      </c>
      <c r="F117" s="1797" t="s">
        <v>2312</v>
      </c>
      <c r="G117" s="1797" t="s">
        <v>2314</v>
      </c>
      <c r="H117" s="1797" t="s">
        <v>2312</v>
      </c>
      <c r="I117" s="1797" t="s">
        <v>2314</v>
      </c>
    </row>
    <row r="118" spans="1:11" ht="24.75" customHeight="1">
      <c r="A118" s="2526" t="str">
        <f>项目基本情况!S2</f>
        <v>四川省成都市高新区交子大道300号房地产</v>
      </c>
      <c r="B118" s="1797">
        <f>'数据-汇总表'!E3</f>
        <v>25941</v>
      </c>
      <c r="C118" s="1797">
        <f>'数据-汇总表'!D3</f>
        <v>2075.37</v>
      </c>
      <c r="D118" s="1797">
        <f ca="1">ROUND(IF(D32="总价",C34,E118*B118/10000),0)</f>
        <v>17948</v>
      </c>
      <c r="E118" s="1797">
        <f ca="1">ROUND(IF(C33="自定义",IF(D32="楼面单价",C34,D118*10000/B118),I118-G118),0)</f>
        <v>6919</v>
      </c>
      <c r="F118" s="1797">
        <f ca="1">ROUND(IF(D32="总价",C35,G118*B118/10000),0)</f>
        <v>29889</v>
      </c>
      <c r="G118" s="1797">
        <f ca="1">ROUND(IF(D32="楼面单价",C35,F118*10000/B118),0)</f>
        <v>11522</v>
      </c>
      <c r="H118" s="1797">
        <f ca="1">ROUND(IF(D32="总价",C32,I118*B118/10000),0)</f>
        <v>47837</v>
      </c>
      <c r="I118" s="1797">
        <f ca="1">ROUND(IF(D32="楼面单价",C32,H118*10000/B118),0)</f>
        <v>18441</v>
      </c>
    </row>
    <row r="119" spans="1:11" ht="18.75" customHeight="1">
      <c r="A119" s="3059" t="s">
        <v>2315</v>
      </c>
      <c r="B119" s="3059"/>
      <c r="C119" s="3059"/>
      <c r="D119" s="3104" t="str">
        <f ca="1">NUMBERSTRING(INT(D118*10000),2)&amp;"元整"</f>
        <v>壹亿柒仟玖佰肆拾捌万元整</v>
      </c>
      <c r="E119" s="3105"/>
      <c r="F119" s="3104" t="str">
        <f ca="1">NUMBERSTRING(INT(F118*10000),2)&amp;"元整"</f>
        <v>贰亿玖仟捌佰捌拾玖万元整</v>
      </c>
      <c r="G119" s="3105"/>
      <c r="H119" s="3104" t="str">
        <f ca="1">NUMBERSTRING(INT(H118*10000),2)&amp;"元整"</f>
        <v>肆亿柒仟捌佰叁拾柒万元整</v>
      </c>
      <c r="I119" s="3105"/>
    </row>
    <row r="120" spans="1:11" ht="18.75" customHeight="1">
      <c r="A120" s="3099" t="str">
        <f>IF(项目基本情况!B9="房地产市场价值","",MID(E103,3,LEN(E103)-2))</f>
        <v>估价师知悉的法定优先受偿款</v>
      </c>
      <c r="B120" s="3100"/>
      <c r="C120" s="3101"/>
      <c r="D120" s="3099">
        <f>H103</f>
        <v>1600</v>
      </c>
      <c r="E120" s="3100"/>
      <c r="F120" s="3100"/>
      <c r="G120" s="3100"/>
      <c r="H120" s="3100"/>
      <c r="I120" s="3101"/>
      <c r="K120" s="2423" t="str">
        <f>IF(D120=0,"故，本次评估不存在"&amp;A120,"故，本次评估"&amp;A120&amp;"为人民币"&amp;D120&amp;"万元整。")</f>
        <v>故，本次评估估价师知悉的法定优先受偿款为人民币1600万元整。</v>
      </c>
    </row>
    <row r="121" spans="1:11" ht="18.75" customHeight="1">
      <c r="A121" s="3145" t="s">
        <v>2315</v>
      </c>
      <c r="B121" s="3146"/>
      <c r="C121" s="3147"/>
      <c r="D121" s="3104" t="str">
        <f>IF(D120=0,"零元整",NUMBERSTRING(INT(D120*10000),2)&amp;"元整")</f>
        <v>壹仟陆佰万元整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46237</v>
      </c>
      <c r="E122" s="3100"/>
      <c r="F122" s="3100"/>
      <c r="G122" s="3100"/>
      <c r="H122" s="3100"/>
      <c r="I122" s="3101"/>
    </row>
    <row r="123" spans="1:11" ht="18.75" customHeight="1">
      <c r="A123" s="3059" t="s">
        <v>2315</v>
      </c>
      <c r="B123" s="3059"/>
      <c r="C123" s="3059"/>
      <c r="D123" s="3104" t="str">
        <f ca="1">NUMBERSTRING(INT(D122*10000),2)&amp;"元整"</f>
        <v>肆亿陆仟贰佰叁拾柒万元整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2315</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2315</v>
      </c>
      <c r="B127" s="3059"/>
      <c r="C127" s="3059"/>
      <c r="D127" s="3104" t="e">
        <f>NUMBERSTRING(INT(D126*10000),2)&amp;"元整"</f>
        <v>#VALUE!</v>
      </c>
      <c r="E127" s="3106"/>
      <c r="F127" s="3106"/>
      <c r="G127" s="3106"/>
      <c r="H127" s="3106"/>
      <c r="I127" s="3105"/>
    </row>
    <row r="128" spans="1:11" ht="21.75" customHeight="1">
      <c r="A128" s="3107" t="s">
        <v>2316</v>
      </c>
      <c r="B128" s="3107"/>
      <c r="C128" s="3107"/>
      <c r="D128" s="3107"/>
      <c r="E128" s="3107"/>
      <c r="F128" s="3107"/>
      <c r="G128" s="3107"/>
      <c r="H128" s="3107"/>
      <c r="I128" s="3107"/>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t="s">
        <v>3110</v>
      </c>
      <c r="C1" s="242"/>
      <c r="D1" s="242"/>
      <c r="E1" s="242"/>
      <c r="F1" s="242"/>
      <c r="G1" s="1382">
        <f>MATCH(B1,'数据-取费表'!A6:A16,0)+5</f>
        <v>6</v>
      </c>
    </row>
    <row r="2" spans="1:9" s="244" customFormat="1" ht="18" customHeight="1">
      <c r="A2" s="245" t="s">
        <v>2325</v>
      </c>
      <c r="B2" s="246">
        <f ca="1">IF(D2="——",C52,C52-E2)</f>
        <v>1343</v>
      </c>
      <c r="C2" s="243" t="s">
        <v>2326</v>
      </c>
      <c r="D2" s="2549" t="s">
        <v>70</v>
      </c>
      <c r="E2" s="1443"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84887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763.26459000000011</v>
      </c>
      <c r="D5" s="255" t="s">
        <v>2332</v>
      </c>
      <c r="E5" s="256" t="s">
        <v>2333</v>
      </c>
      <c r="F5" s="256" t="s">
        <v>2334</v>
      </c>
      <c r="G5" s="257"/>
    </row>
    <row r="6" spans="1:9" s="258" customFormat="1" ht="13.5" customHeight="1">
      <c r="A6" s="952" t="s">
        <v>2335</v>
      </c>
      <c r="B6" s="259" t="s">
        <v>2336</v>
      </c>
      <c r="C6" s="260">
        <f>'土地比较法-住宅、综合'!B3*'数据-汇总表'!F19/1000</f>
        <v>740.26459000000011</v>
      </c>
      <c r="D6" s="261"/>
      <c r="E6" s="262"/>
      <c r="F6" s="262"/>
      <c r="G6" s="263"/>
    </row>
    <row r="7" spans="1:9" s="258" customFormat="1" ht="13.5" customHeight="1">
      <c r="A7" s="952" t="s">
        <v>2337</v>
      </c>
      <c r="B7" s="259" t="s">
        <v>2338</v>
      </c>
      <c r="C7" s="264">
        <f>ROUND(C6*F7,0)</f>
        <v>23</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3</v>
      </c>
      <c r="D10" s="1035">
        <f ca="1">IF(B1="",'数据-汇总表'!E6,IF(INDIRECT("'数据-取费表'!c"&amp;$G$1)="住宅",INDIRECT("'数据-取费表'!s"&amp;$G$1),INDIRECT("'数据-取费表'!k"&amp;$G$1)+INDIRECT("'数据-取费表'!s"&amp;$G$1)))</f>
        <v>217.73000000000002</v>
      </c>
      <c r="E10" s="269">
        <f>'数据-取费表'!B28</f>
        <v>130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4</v>
      </c>
      <c r="D19" s="1039">
        <f ca="1">D9+D10</f>
        <v>217.73000000000002</v>
      </c>
      <c r="E19" s="255">
        <f>'数据-取费表'!B31</f>
        <v>200</v>
      </c>
      <c r="F19" s="275"/>
      <c r="G19" s="2552"/>
    </row>
    <row r="20" spans="1:7" s="258" customFormat="1" ht="13.5" customHeight="1">
      <c r="A20" s="299" t="s">
        <v>2356</v>
      </c>
      <c r="B20" s="254" t="s">
        <v>2357</v>
      </c>
      <c r="C20" s="276">
        <f ca="1">ROUND((C5+C19)*F20,0)</f>
        <v>15</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116</v>
      </c>
      <c r="D22" s="279">
        <f ca="1">C26</f>
        <v>2.2000000000000001E-3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114</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2.2000000000000001E-3</v>
      </c>
      <c r="D26" s="282"/>
      <c r="E26" s="285"/>
      <c r="F26" s="283"/>
      <c r="G26" s="287"/>
    </row>
    <row r="27" spans="1:7" s="258" customFormat="1" ht="24.75">
      <c r="A27" s="299" t="s">
        <v>2375</v>
      </c>
      <c r="B27" s="288" t="s">
        <v>2376</v>
      </c>
      <c r="C27" s="289">
        <f ca="1">C28</f>
        <v>156</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156</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1160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128</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2389</v>
      </c>
    </row>
    <row r="35" spans="1:7" ht="13.5" customHeight="1">
      <c r="A35" s="954" t="s">
        <v>796</v>
      </c>
      <c r="B35" s="259" t="s">
        <v>2390</v>
      </c>
      <c r="C35" s="264">
        <f ca="1">ROUND(C34*F35,0)</f>
        <v>6</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v>
      </c>
      <c r="D37" s="261">
        <f ca="1">D19</f>
        <v>217.73000000000002</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3</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9</v>
      </c>
      <c r="D42" s="282"/>
      <c r="E42" s="282"/>
      <c r="F42" s="283"/>
      <c r="G42" s="3179" t="s">
        <v>2407</v>
      </c>
    </row>
    <row r="43" spans="1:7" ht="13.5" customHeight="1">
      <c r="A43" s="954" t="s">
        <v>792</v>
      </c>
      <c r="B43" s="259" t="s">
        <v>2408</v>
      </c>
      <c r="C43" s="282">
        <f ca="1">ROUND(IF('数据-取费表'!B22&lt;=1,C39*F22*'数据-取费表'!B21/2,C39*(POWER((1+F22),'数据-取费表'!B21/2)-1)),0)</f>
        <v>0</v>
      </c>
      <c r="D43" s="282"/>
      <c r="E43" s="282"/>
      <c r="F43" s="283"/>
      <c r="G43" s="3180"/>
    </row>
    <row r="44" spans="1:7" ht="13.5" customHeight="1">
      <c r="A44" s="954" t="s">
        <v>793</v>
      </c>
      <c r="B44" s="259" t="s">
        <v>2409</v>
      </c>
      <c r="C44" s="282">
        <f ca="1">ROUND(IF('数据-取费表'!B22&lt;=1,C40*F22*'数据-取费表'!B21/2,C40*(POWER((1+F22),'数据-取费表'!B21/2)-1)),4)</f>
        <v>2.2000000000000001E-3</v>
      </c>
      <c r="D44" s="282"/>
      <c r="E44" s="282"/>
      <c r="F44" s="283"/>
      <c r="G44" s="3181"/>
    </row>
    <row r="45" spans="1:7" s="258" customFormat="1" ht="13.5" customHeight="1">
      <c r="A45" s="299" t="s">
        <v>2410</v>
      </c>
      <c r="B45" s="288" t="s">
        <v>2376</v>
      </c>
      <c r="C45" s="289">
        <f ca="1">C46</f>
        <v>26</v>
      </c>
      <c r="D45" s="279">
        <f ca="1">C47</f>
        <v>6.0000000000000001E-3</v>
      </c>
      <c r="E45" s="280" t="s">
        <v>2402</v>
      </c>
      <c r="F45" s="290"/>
      <c r="G45" s="291" t="s">
        <v>2411</v>
      </c>
    </row>
    <row r="46" spans="1:7" s="258" customFormat="1" ht="13.5" customHeight="1">
      <c r="A46" s="954" t="s">
        <v>791</v>
      </c>
      <c r="B46" s="292" t="s">
        <v>2412</v>
      </c>
      <c r="C46" s="293">
        <f ca="1">ROUND((C33+C39)*F27,0)</f>
        <v>26</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183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183</v>
      </c>
      <c r="D51" s="276"/>
      <c r="E51" s="276"/>
      <c r="F51" s="308"/>
      <c r="G51" s="278" t="s">
        <v>2423</v>
      </c>
    </row>
    <row r="52" spans="1:7" s="252" customFormat="1" ht="16.5" thickBot="1">
      <c r="A52" s="309" t="s">
        <v>2424</v>
      </c>
      <c r="B52" s="310"/>
      <c r="C52" s="311">
        <f ca="1">C31+C51</f>
        <v>1343</v>
      </c>
      <c r="D52" s="310"/>
      <c r="E52" s="310"/>
      <c r="F52" s="310"/>
      <c r="G52" s="312"/>
    </row>
    <row r="55" spans="1:7" ht="15">
      <c r="B55" s="314" t="s">
        <v>2425</v>
      </c>
      <c r="C55" s="315"/>
    </row>
    <row r="56" spans="1:7">
      <c r="B56" s="317" t="s">
        <v>1513</v>
      </c>
      <c r="C56" s="319">
        <f ca="1">1-C57</f>
        <v>0.86399999999999999</v>
      </c>
    </row>
    <row r="57" spans="1:7">
      <c r="B57" s="317" t="s">
        <v>1514</v>
      </c>
      <c r="C57" s="318">
        <f ca="1">ROUND(C51/C52,3)</f>
        <v>0.13600000000000001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四川省成都市高新区交子大道300号房地产抵押价值预评估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C1" workbookViewId="0">
      <selection activeCell="C34" sqref="C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t="s">
        <v>3110</v>
      </c>
      <c r="C1" s="2555" t="s">
        <v>2426</v>
      </c>
      <c r="D1" s="242"/>
      <c r="E1" s="242"/>
      <c r="F1" s="242"/>
      <c r="G1" s="1382">
        <f>MATCH(B1,'数据-取费表'!A6:A16,0)+5</f>
        <v>6</v>
      </c>
      <c r="H1" s="1285" t="str">
        <f>IF(ISERROR(FIND("住宅",B1)),"非住宅","住宅")</f>
        <v>非住宅</v>
      </c>
    </row>
    <row r="2" spans="1:8" s="244" customFormat="1" ht="18" customHeight="1">
      <c r="A2" s="245" t="s">
        <v>2325</v>
      </c>
      <c r="B2" s="246">
        <f ca="1">ROUND(IF(D2="——",C52/10000,C52/10000-E2),0)</f>
        <v>345</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21806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1078253.3999999999</v>
      </c>
      <c r="D5" s="255" t="s">
        <v>2332</v>
      </c>
      <c r="E5" s="256" t="s">
        <v>2333</v>
      </c>
      <c r="F5" s="256" t="s">
        <v>2334</v>
      </c>
      <c r="G5" s="257"/>
    </row>
    <row r="6" spans="1:8" s="258" customFormat="1" ht="13.5" customHeight="1">
      <c r="A6" s="952" t="s">
        <v>2335</v>
      </c>
      <c r="B6" s="259" t="s">
        <v>2336</v>
      </c>
      <c r="C6" s="260">
        <f>'土地比较法-住宅、综合'!C48*'数据-汇总表'!F19</f>
        <v>1018872.4</v>
      </c>
      <c r="D6" s="261"/>
      <c r="E6" s="262"/>
      <c r="F6" s="262"/>
      <c r="G6" s="263"/>
    </row>
    <row r="7" spans="1:8" s="258" customFormat="1" ht="13.5" customHeight="1">
      <c r="A7" s="952" t="s">
        <v>2337</v>
      </c>
      <c r="B7" s="259" t="s">
        <v>2338</v>
      </c>
      <c r="C7" s="264">
        <f>ROUND(C6*F7,0)</f>
        <v>31076</v>
      </c>
      <c r="D7" s="264"/>
      <c r="E7" s="262"/>
      <c r="F7" s="265">
        <f>'数据-取费表'!B48+'数据-取费表'!B49</f>
        <v>3.0499999999999999E-2</v>
      </c>
      <c r="G7" s="263"/>
    </row>
    <row r="8" spans="1:8" s="267" customFormat="1">
      <c r="A8" s="952" t="s">
        <v>2339</v>
      </c>
      <c r="B8" s="259" t="s">
        <v>2340</v>
      </c>
      <c r="C8" s="264">
        <f ca="1">IF(G8="已包含在土地购买价格中",0,C9+C10)</f>
        <v>28305</v>
      </c>
      <c r="D8" s="266"/>
      <c r="E8" s="264"/>
      <c r="F8" s="265"/>
      <c r="G8" s="2552" t="s">
        <v>3119</v>
      </c>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28305</v>
      </c>
      <c r="D10" s="1035">
        <f ca="1">IF(B1="",'数据-汇总表'!E6,IF(INDIRECT("'数据-取费表'!c"&amp;$G$1)="住宅",INDIRECT("'数据-取费表'!s"&amp;$G$1),INDIRECT("'数据-取费表'!k"&amp;$G$1)+INDIRECT("'数据-取费表'!s"&amp;$G$1)))</f>
        <v>217.73000000000002</v>
      </c>
      <c r="E10" s="269">
        <f>'数据-取费表'!B28</f>
        <v>130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t="str">
        <f>IF(G19="已包含在土地取得成本中","0",ROUND(D19*E19,0))</f>
        <v>0</v>
      </c>
      <c r="D19" s="1039">
        <f ca="1">D9+D10</f>
        <v>217.73000000000002</v>
      </c>
      <c r="E19" s="255">
        <f>'数据-取费表'!B31</f>
        <v>200</v>
      </c>
      <c r="F19" s="275"/>
      <c r="G19" s="2552" t="s">
        <v>3118</v>
      </c>
    </row>
    <row r="20" spans="1:7" s="258" customFormat="1" ht="13.5" customHeight="1">
      <c r="A20" s="299" t="s">
        <v>2437</v>
      </c>
      <c r="B20" s="254" t="s">
        <v>2438</v>
      </c>
      <c r="C20" s="276">
        <f ca="1">ROUND((C5+C19)*F20,0)</f>
        <v>21565</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162620</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161065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0</v>
      </c>
      <c r="D24" s="282"/>
      <c r="E24" s="282"/>
      <c r="F24" s="283"/>
      <c r="G24" s="284" t="s">
        <v>2449</v>
      </c>
    </row>
    <row r="25" spans="1:7" s="258" customFormat="1" ht="24">
      <c r="A25" s="954" t="s">
        <v>2339</v>
      </c>
      <c r="B25" s="259" t="s">
        <v>2450</v>
      </c>
      <c r="C25" s="1384">
        <f ca="1">ROUND(IF('数据-取费表'!B22&lt;=1,C20*F22*'数据-取费表'!B22/2,C20*(POWER((1+F22),'数据-取费表'!B22/2)-1)),0)</f>
        <v>1555</v>
      </c>
      <c r="D25" s="282"/>
      <c r="E25" s="285"/>
      <c r="F25" s="283"/>
      <c r="G25" s="286" t="s">
        <v>2451</v>
      </c>
    </row>
    <row r="26" spans="1:7" s="258" customFormat="1">
      <c r="A26" s="954" t="s">
        <v>795</v>
      </c>
      <c r="B26" s="259" t="s">
        <v>2374</v>
      </c>
      <c r="C26" s="282">
        <f ca="1">ROUND(IF('数据-取费表'!B22&lt;=1,F21*F22*'数据-取费表'!B22/2,F21*(POWER((1+F22),'数据-取费表'!B22/2)-1)),4)</f>
        <v>2.2000000000000001E-3</v>
      </c>
      <c r="D26" s="282"/>
      <c r="E26" s="285"/>
      <c r="F26" s="283"/>
      <c r="G26" s="287"/>
    </row>
    <row r="27" spans="1:7" s="258" customFormat="1" ht="24.75">
      <c r="A27" s="299" t="s">
        <v>2375</v>
      </c>
      <c r="B27" s="288" t="s">
        <v>2376</v>
      </c>
      <c r="C27" s="289">
        <f ca="1">C28</f>
        <v>219964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219964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1631703</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1276369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2390</v>
      </c>
      <c r="C35" s="264">
        <f ca="1">ROUND(C34*F35,0)</f>
        <v>57879</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43546</v>
      </c>
      <c r="D37" s="261">
        <f ca="1">D19</f>
        <v>217.73000000000002</v>
      </c>
      <c r="E37" s="293">
        <f>'数据-取费表'!B35</f>
        <v>200</v>
      </c>
      <c r="F37" s="303"/>
      <c r="G37" s="305"/>
    </row>
    <row r="38" spans="1:7" ht="13.5" customHeight="1">
      <c r="A38" s="954" t="s">
        <v>799</v>
      </c>
      <c r="B38" s="259" t="s">
        <v>2396</v>
      </c>
      <c r="C38" s="264">
        <f ca="1">ROUND(C34*F38,0)</f>
        <v>17364</v>
      </c>
      <c r="D38" s="264"/>
      <c r="E38" s="264"/>
      <c r="F38" s="303">
        <f>'数据-取费表'!B36</f>
        <v>1.4999999999999999E-2</v>
      </c>
      <c r="G38" s="263" t="s">
        <v>2391</v>
      </c>
    </row>
    <row r="39" spans="1:7" s="258" customFormat="1" ht="13.5" customHeight="1">
      <c r="A39" s="299" t="s">
        <v>2397</v>
      </c>
      <c r="B39" s="254" t="s">
        <v>2398</v>
      </c>
      <c r="C39" s="276">
        <f ca="1">ROUND(C33*F20,0)</f>
        <v>25527</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93853</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92013</v>
      </c>
      <c r="D42" s="282"/>
      <c r="E42" s="282"/>
      <c r="F42" s="283"/>
      <c r="G42" s="3179" t="s">
        <v>2454</v>
      </c>
    </row>
    <row r="43" spans="1:7" ht="13.5" customHeight="1">
      <c r="A43" s="954" t="s">
        <v>792</v>
      </c>
      <c r="B43" s="259" t="s">
        <v>2408</v>
      </c>
      <c r="C43" s="282">
        <f ca="1">ROUND(IF('数据-取费表'!B22&lt;=1,C39*F22*'数据-取费表'!B20/2,C39*(POWER((1+F22),'数据-取费表'!B20/2)-1)),0)</f>
        <v>1840</v>
      </c>
      <c r="D43" s="282"/>
      <c r="E43" s="282"/>
      <c r="F43" s="283"/>
      <c r="G43" s="3180"/>
    </row>
    <row r="44" spans="1:7" ht="13.5" customHeight="1">
      <c r="A44" s="954" t="s">
        <v>793</v>
      </c>
      <c r="B44" s="259" t="s">
        <v>2409</v>
      </c>
      <c r="C44" s="282">
        <f ca="1">ROUND(IF('数据-取费表'!B22&lt;=1,C40*F22*'数据-取费表'!B20/2,C40*(POWER((1+F22),'数据-取费表'!B20/2)-1)),4)</f>
        <v>2.2000000000000001E-3</v>
      </c>
      <c r="D44" s="282"/>
      <c r="E44" s="282"/>
      <c r="F44" s="283"/>
      <c r="G44" s="3181"/>
    </row>
    <row r="45" spans="1:7" s="258" customFormat="1" ht="13.5" customHeight="1">
      <c r="A45" s="299" t="s">
        <v>2410</v>
      </c>
      <c r="B45" s="288" t="s">
        <v>2376</v>
      </c>
      <c r="C45" s="289">
        <f ca="1">C46</f>
        <v>260379</v>
      </c>
      <c r="D45" s="279">
        <f ca="1">C47</f>
        <v>6.0000000000000001E-3</v>
      </c>
      <c r="E45" s="280" t="s">
        <v>2402</v>
      </c>
      <c r="F45" s="290"/>
      <c r="G45" s="291" t="s">
        <v>2411</v>
      </c>
    </row>
    <row r="46" spans="1:7" s="258" customFormat="1" ht="13.5" customHeight="1">
      <c r="A46" s="954" t="s">
        <v>791</v>
      </c>
      <c r="B46" s="292" t="s">
        <v>2412</v>
      </c>
      <c r="C46" s="293">
        <f ca="1">ROUND((C33+C39)*F27,0)</f>
        <v>260379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1822926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1822926</v>
      </c>
      <c r="D51" s="276"/>
      <c r="E51" s="276"/>
      <c r="F51" s="308"/>
      <c r="G51" s="278" t="s">
        <v>2423</v>
      </c>
    </row>
    <row r="52" spans="1:7" s="252" customFormat="1" ht="16.5" thickBot="1">
      <c r="A52" s="309" t="s">
        <v>2424</v>
      </c>
      <c r="B52" s="310"/>
      <c r="C52" s="311">
        <f ca="1">C31+C51</f>
        <v>3454629</v>
      </c>
      <c r="D52" s="310"/>
      <c r="E52" s="310"/>
      <c r="F52" s="310"/>
      <c r="G52" s="312"/>
    </row>
    <row r="55" spans="1:7" ht="15">
      <c r="B55" s="314" t="s">
        <v>2425</v>
      </c>
      <c r="C55" s="315"/>
    </row>
    <row r="56" spans="1:7">
      <c r="B56" s="317" t="s">
        <v>1513</v>
      </c>
      <c r="C56" s="319">
        <f ca="1">1-C57</f>
        <v>0.47199999999999998</v>
      </c>
    </row>
    <row r="57" spans="1:7">
      <c r="B57" s="317" t="s">
        <v>1514</v>
      </c>
      <c r="C57" s="318">
        <f ca="1">ROUND(C51/C52,3)</f>
        <v>0.52800000000000002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23" sqref="D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12139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4679</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183" t="s">
        <v>2646</v>
      </c>
      <c r="AC4" s="3182" t="s">
        <v>2647</v>
      </c>
    </row>
    <row r="5" spans="1:30" ht="15">
      <c r="A5" s="404"/>
      <c r="B5" s="405"/>
      <c r="C5" s="3193" t="s">
        <v>2540</v>
      </c>
      <c r="D5" s="3194"/>
      <c r="E5" s="3191" t="s">
        <v>3321</v>
      </c>
      <c r="F5" s="3192"/>
      <c r="G5" s="3193" t="s">
        <v>3322</v>
      </c>
      <c r="H5" s="3194"/>
      <c r="I5" s="3193" t="s">
        <v>3324</v>
      </c>
      <c r="J5" s="3194"/>
      <c r="K5" s="610"/>
      <c r="L5" s="1133"/>
      <c r="M5" s="1134"/>
      <c r="N5" s="1134"/>
      <c r="O5" s="1134"/>
      <c r="P5" s="3207"/>
      <c r="Q5" s="3208"/>
      <c r="R5" s="3189"/>
      <c r="S5" s="3190"/>
      <c r="T5" s="3189"/>
      <c r="U5" s="3190"/>
      <c r="V5" s="3213"/>
      <c r="W5" s="3213"/>
      <c r="X5" s="1815"/>
      <c r="Y5" s="3189"/>
      <c r="Z5" s="3190"/>
      <c r="AA5" s="3183"/>
      <c r="AB5" s="3183"/>
      <c r="AC5" s="3183"/>
    </row>
    <row r="6" spans="1:30" ht="15.75" thickBot="1">
      <c r="A6" s="406"/>
      <c r="B6" s="407"/>
      <c r="C6" s="3195" t="s">
        <v>2544</v>
      </c>
      <c r="D6" s="3196"/>
      <c r="E6" s="3197" t="s">
        <v>3347</v>
      </c>
      <c r="F6" s="3198"/>
      <c r="G6" s="3199" t="s">
        <v>3348</v>
      </c>
      <c r="H6" s="3196"/>
      <c r="I6" s="3199" t="s">
        <v>3323</v>
      </c>
      <c r="J6" s="3196"/>
      <c r="K6" s="610" t="s">
        <v>2545</v>
      </c>
      <c r="L6" s="1133"/>
      <c r="M6" s="1134"/>
      <c r="N6" s="1134"/>
      <c r="O6" s="1134"/>
      <c r="P6" s="3209"/>
      <c r="Q6" s="3210"/>
      <c r="R6" s="3189"/>
      <c r="S6" s="3190"/>
      <c r="T6" s="3211"/>
      <c r="U6" s="3212"/>
      <c r="V6" s="3213"/>
      <c r="W6" s="3213"/>
      <c r="X6" s="1815"/>
      <c r="Y6" s="3211"/>
      <c r="Z6" s="3212"/>
      <c r="AA6" s="3184"/>
      <c r="AB6" s="3184"/>
      <c r="AC6" s="3184"/>
    </row>
    <row r="7" spans="1:30" s="117" customFormat="1" ht="15.75" thickBot="1">
      <c r="A7" s="408" t="s">
        <v>2546</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185" t="s">
        <v>2547</v>
      </c>
      <c r="Q7" s="3214"/>
      <c r="R7" s="770" t="s">
        <v>17</v>
      </c>
      <c r="S7" s="771">
        <f t="shared" ref="S7:S15" si="0">F7</f>
        <v>99</v>
      </c>
      <c r="T7" s="770" t="s">
        <v>17</v>
      </c>
      <c r="U7" s="771">
        <f t="shared" ref="U7:U15" si="1">H7</f>
        <v>98</v>
      </c>
      <c r="V7" s="770" t="s">
        <v>17</v>
      </c>
      <c r="W7" s="771">
        <f t="shared" ref="W7:W15" si="2">J7</f>
        <v>97</v>
      </c>
      <c r="X7" s="772"/>
      <c r="Y7" s="3185" t="s">
        <v>2547</v>
      </c>
      <c r="Z7" s="3186"/>
      <c r="AA7" s="773">
        <f>D7/F7</f>
        <v>1.0101010101010102</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185" t="s">
        <v>2550</v>
      </c>
      <c r="Q8" s="3186"/>
      <c r="R8" s="770" t="s">
        <v>17</v>
      </c>
      <c r="S8" s="771">
        <f t="shared" si="0"/>
        <v>100</v>
      </c>
      <c r="T8" s="770" t="s">
        <v>17</v>
      </c>
      <c r="U8" s="771">
        <f t="shared" si="1"/>
        <v>100</v>
      </c>
      <c r="V8" s="770" t="s">
        <v>17</v>
      </c>
      <c r="W8" s="771">
        <f t="shared" si="2"/>
        <v>100</v>
      </c>
      <c r="X8" s="772"/>
      <c r="Y8" s="3185" t="s">
        <v>2550</v>
      </c>
      <c r="Z8" s="3186"/>
      <c r="AA8" s="773">
        <f t="shared" ref="AA8:AA45" si="3">D8/F8</f>
        <v>1</v>
      </c>
      <c r="AB8" s="773">
        <f t="shared" ref="AB8:AB45" si="4">D8/H8</f>
        <v>1</v>
      </c>
      <c r="AC8" s="773">
        <f t="shared" ref="AC8:AC45" si="5">D8/J8</f>
        <v>1</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0"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30" s="427" customFormat="1" ht="27">
      <c r="A10" s="421"/>
      <c r="B10" s="422" t="s">
        <v>2555</v>
      </c>
      <c r="C10" s="432">
        <f>项目基本情况!E15</f>
        <v>28.97</v>
      </c>
      <c r="D10" s="136">
        <v>100</v>
      </c>
      <c r="E10" s="465" t="s">
        <v>3296</v>
      </c>
      <c r="F10" s="136">
        <f>ROUND(100/'数据-取费表'!G16,0)</f>
        <v>112</v>
      </c>
      <c r="G10" s="465" t="s">
        <v>3296</v>
      </c>
      <c r="H10" s="136">
        <f>ROUND(100/'数据-取费表'!G16,0)</f>
        <v>112</v>
      </c>
      <c r="I10" s="465" t="s">
        <v>3296</v>
      </c>
      <c r="J10" s="136">
        <f>ROUND(100/'数据-取费表'!G16,0)</f>
        <v>112</v>
      </c>
      <c r="K10" s="672"/>
      <c r="L10" s="1138"/>
      <c r="M10" s="1139"/>
      <c r="N10" s="1139"/>
      <c r="O10" s="1140"/>
      <c r="P10" s="3200"/>
      <c r="Q10" s="1797"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30" ht="15.75" thickBot="1">
      <c r="A11" s="428"/>
      <c r="B11" s="422" t="s">
        <v>2556</v>
      </c>
      <c r="C11" s="429">
        <v>8.1</v>
      </c>
      <c r="D11" s="136">
        <v>100</v>
      </c>
      <c r="E11" s="429">
        <v>2</v>
      </c>
      <c r="F11" s="136">
        <f>LOOKUP(E11,80:80,81:81)-LOOKUP(C11,80:80,81:81)+100</f>
        <v>118</v>
      </c>
      <c r="G11" s="430">
        <v>3</v>
      </c>
      <c r="H11" s="136">
        <f>LOOKUP(G11,80:80,81:81)-LOOKUP(C11,80:80,81:81)+100</f>
        <v>115</v>
      </c>
      <c r="I11" s="429">
        <v>6</v>
      </c>
      <c r="J11" s="136">
        <f>LOOKUP(I11,80:80,81:81)-LOOKUP(C11,80:80,81:81)+100</f>
        <v>106</v>
      </c>
      <c r="K11" s="673">
        <v>3</v>
      </c>
      <c r="L11" s="1141"/>
      <c r="M11" s="1134"/>
      <c r="N11" s="1134"/>
      <c r="O11" s="1142"/>
      <c r="P11" s="3200"/>
      <c r="Q11" s="1797" t="str">
        <f t="shared" si="6"/>
        <v>容积率</v>
      </c>
      <c r="R11" s="770" t="s">
        <v>17</v>
      </c>
      <c r="S11" s="771">
        <f t="shared" si="0"/>
        <v>118</v>
      </c>
      <c r="T11" s="770" t="s">
        <v>17</v>
      </c>
      <c r="U11" s="771">
        <f t="shared" si="1"/>
        <v>115</v>
      </c>
      <c r="V11" s="770" t="s">
        <v>17</v>
      </c>
      <c r="W11" s="771">
        <f t="shared" si="2"/>
        <v>106</v>
      </c>
      <c r="X11" s="772"/>
      <c r="Y11" s="3059"/>
      <c r="Z11" s="55" t="str">
        <f t="shared" si="7"/>
        <v>容积率</v>
      </c>
      <c r="AA11" s="773">
        <f t="shared" si="3"/>
        <v>0.84745762711864403</v>
      </c>
      <c r="AB11" s="773">
        <f t="shared" si="4"/>
        <v>0.86956521739130432</v>
      </c>
      <c r="AC11" s="773">
        <f t="shared" si="5"/>
        <v>0.94339622641509435</v>
      </c>
    </row>
    <row r="12" spans="1:30" s="117" customFormat="1" ht="15" hidden="1">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7"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16.5" customHeight="1">
      <c r="A15" s="440" t="s">
        <v>2557</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5" t="s">
        <v>2558</v>
      </c>
      <c r="Q15" s="1812" t="str">
        <f t="shared" si="6"/>
        <v>居住社区成熟度</v>
      </c>
      <c r="R15" s="774" t="s">
        <v>17</v>
      </c>
      <c r="S15" s="775">
        <f t="shared" si="0"/>
        <v>100</v>
      </c>
      <c r="T15" s="774" t="s">
        <v>17</v>
      </c>
      <c r="U15" s="775">
        <f t="shared" si="1"/>
        <v>100</v>
      </c>
      <c r="V15" s="774" t="s">
        <v>17</v>
      </c>
      <c r="W15" s="775">
        <f t="shared" si="2"/>
        <v>100</v>
      </c>
      <c r="X15" s="1815"/>
      <c r="Y15" s="3215" t="s">
        <v>2558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114">
      <c r="A17" s="428"/>
      <c r="B17" s="451" t="s">
        <v>2651</v>
      </c>
      <c r="C17" s="2666" t="str">
        <f>估价对象房地状况!C16</f>
        <v>估价对象位于成都市高新区，周边商业氛围较成熟，人流量较大，有九方购物中心、天虹商场等商业项目，商业繁华度较好。</v>
      </c>
      <c r="D17" s="450">
        <v>100</v>
      </c>
      <c r="E17" s="2991" t="s">
        <v>3353</v>
      </c>
      <c r="F17" s="450">
        <f>SUMIF(90:90,E18,91:91)-SUMIF(90:90,C18,91:91)+100</f>
        <v>97</v>
      </c>
      <c r="G17" s="2991" t="s">
        <v>3353</v>
      </c>
      <c r="H17" s="455">
        <f>SUMIF(90:90,G18,91:91)-SUMIF(90:90,C18,91:91)+100</f>
        <v>97</v>
      </c>
      <c r="I17" s="2991" t="s">
        <v>3354</v>
      </c>
      <c r="J17" s="455">
        <f>SUMIF(90:90,I18,91:91)-SUMIF(90:90,C18,91:91)+100</f>
        <v>100</v>
      </c>
      <c r="K17" s="673">
        <v>3</v>
      </c>
      <c r="L17" s="1143"/>
      <c r="M17" s="1134"/>
      <c r="N17" s="1134"/>
      <c r="O17" s="1142"/>
      <c r="P17" s="3216"/>
      <c r="Q17" s="1812" t="str">
        <f>B17</f>
        <v>商业繁华度</v>
      </c>
      <c r="R17" s="774" t="s">
        <v>17</v>
      </c>
      <c r="S17" s="775">
        <f>F17</f>
        <v>97</v>
      </c>
      <c r="T17" s="774" t="s">
        <v>17</v>
      </c>
      <c r="U17" s="775">
        <f>H17</f>
        <v>97</v>
      </c>
      <c r="V17" s="774" t="s">
        <v>17</v>
      </c>
      <c r="W17" s="775">
        <f>J17</f>
        <v>100</v>
      </c>
      <c r="X17" s="1815"/>
      <c r="Y17" s="3216"/>
      <c r="Z17" s="1816" t="str">
        <f>Q17</f>
        <v>商业繁华度</v>
      </c>
      <c r="AA17" s="1813">
        <f t="shared" si="3"/>
        <v>1.0309278350515463</v>
      </c>
      <c r="AB17" s="1813">
        <f t="shared" si="4"/>
        <v>1.0309278350515463</v>
      </c>
      <c r="AC17" s="1813">
        <f t="shared" si="5"/>
        <v>1</v>
      </c>
    </row>
    <row r="18" spans="1:29" ht="15">
      <c r="A18" s="428"/>
      <c r="B18" s="456"/>
      <c r="C18" s="2610" t="s">
        <v>3325</v>
      </c>
      <c r="D18" s="450"/>
      <c r="E18" s="2612" t="s">
        <v>3326</v>
      </c>
      <c r="F18" s="450"/>
      <c r="G18" s="2612" t="s">
        <v>3326</v>
      </c>
      <c r="H18" s="448"/>
      <c r="I18" s="2611" t="s">
        <v>3325</v>
      </c>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19.5" customHeight="1">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6"/>
      <c r="Q19" s="1812" t="str">
        <f>B19</f>
        <v>办公集聚程度</v>
      </c>
      <c r="R19" s="774" t="s">
        <v>17</v>
      </c>
      <c r="S19" s="775">
        <f>F19</f>
        <v>100</v>
      </c>
      <c r="T19" s="774" t="s">
        <v>17</v>
      </c>
      <c r="U19" s="775">
        <f>H19</f>
        <v>100</v>
      </c>
      <c r="V19" s="774" t="s">
        <v>17</v>
      </c>
      <c r="W19" s="775">
        <f>J19</f>
        <v>100</v>
      </c>
      <c r="X19" s="1815"/>
      <c r="Y19" s="3216"/>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216"/>
      <c r="Q20" s="1812"/>
      <c r="R20" s="774"/>
      <c r="S20" s="775"/>
      <c r="T20" s="774"/>
      <c r="U20" s="775"/>
      <c r="V20" s="774"/>
      <c r="W20" s="775"/>
      <c r="X20" s="1815"/>
      <c r="Y20" s="3216"/>
      <c r="Z20" s="1816"/>
      <c r="AA20" s="1813">
        <v>1</v>
      </c>
      <c r="AB20" s="1813">
        <v>1</v>
      </c>
      <c r="AC20" s="1813">
        <v>1</v>
      </c>
    </row>
    <row r="21" spans="1:29" ht="128.25">
      <c r="A21" s="428"/>
      <c r="B21" s="451" t="s">
        <v>2707</v>
      </c>
      <c r="C21" s="2609" t="str">
        <f>估价对象房地状况!C18</f>
        <v>估价对象周边路网较密集、公共交通通达情况较好，有115、236路及地铁1号线等公共交通，停车便捷程度较好，综合评价交通便捷度较好。</v>
      </c>
      <c r="D21" s="450">
        <v>100</v>
      </c>
      <c r="E21" s="452" t="s">
        <v>3355</v>
      </c>
      <c r="F21" s="455">
        <f>SUMIF(94:94,E22,95:95)-SUMIF(94:94,C22,95:95)+100</f>
        <v>100</v>
      </c>
      <c r="G21" s="452" t="s">
        <v>3355</v>
      </c>
      <c r="H21" s="450">
        <f>SUMIF(94:94,G22,95:95)-SUMIF(94:94,C22,95:95)+100</f>
        <v>100</v>
      </c>
      <c r="I21" s="452" t="s">
        <v>3356</v>
      </c>
      <c r="J21" s="450">
        <f>SUMIF(94:94,I22,95:95)-SUMIF(94:94,C22,95:95)+100</f>
        <v>100</v>
      </c>
      <c r="K21" s="673"/>
      <c r="L21" s="1143"/>
      <c r="M21" s="1134"/>
      <c r="N21" s="1134"/>
      <c r="O21" s="1142"/>
      <c r="P21" s="3216"/>
      <c r="Q21" s="1812" t="str">
        <f>B21</f>
        <v>交通便捷度</v>
      </c>
      <c r="R21" s="774" t="s">
        <v>17</v>
      </c>
      <c r="S21" s="775">
        <f>F21</f>
        <v>100</v>
      </c>
      <c r="T21" s="774" t="s">
        <v>17</v>
      </c>
      <c r="U21" s="775">
        <f>H21</f>
        <v>100</v>
      </c>
      <c r="V21" s="774" t="s">
        <v>17</v>
      </c>
      <c r="W21" s="775">
        <f>J21</f>
        <v>100</v>
      </c>
      <c r="X21" s="1815"/>
      <c r="Y21" s="3216"/>
      <c r="Z21" s="1816" t="str">
        <f>Q21</f>
        <v>交通便捷度</v>
      </c>
      <c r="AA21" s="1813">
        <f t="shared" si="3"/>
        <v>1</v>
      </c>
      <c r="AB21" s="1813">
        <f t="shared" si="4"/>
        <v>1</v>
      </c>
      <c r="AC21" s="1813">
        <f t="shared" si="5"/>
        <v>1</v>
      </c>
    </row>
    <row r="22" spans="1:29" ht="15">
      <c r="A22" s="428"/>
      <c r="B22" s="1387"/>
      <c r="C22" s="447" t="s">
        <v>3325</v>
      </c>
      <c r="D22" s="450"/>
      <c r="E22" s="2607" t="s">
        <v>3325</v>
      </c>
      <c r="F22" s="448"/>
      <c r="G22" s="2607" t="s">
        <v>3325</v>
      </c>
      <c r="H22" s="448"/>
      <c r="I22" s="2607" t="s">
        <v>3325</v>
      </c>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ht="57">
      <c r="A23" s="404"/>
      <c r="B23" s="451" t="s">
        <v>2746</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216"/>
      <c r="Q23" s="1812" t="str">
        <f t="shared" ref="Q23:Q37" si="8">B23</f>
        <v>区域土地利用方向</v>
      </c>
      <c r="R23" s="774" t="s">
        <v>17</v>
      </c>
      <c r="S23" s="775">
        <f>F23</f>
        <v>95</v>
      </c>
      <c r="T23" s="774" t="s">
        <v>17</v>
      </c>
      <c r="U23" s="775">
        <f>H23</f>
        <v>95</v>
      </c>
      <c r="V23" s="774" t="s">
        <v>17</v>
      </c>
      <c r="W23" s="775">
        <f>J23</f>
        <v>95</v>
      </c>
      <c r="X23" s="1815"/>
      <c r="Y23" s="3216"/>
      <c r="Z23" s="1816" t="str">
        <f>Q23</f>
        <v>区域土地利用方向</v>
      </c>
      <c r="AA23" s="1813">
        <f t="shared" si="3"/>
        <v>1.0526315789473684</v>
      </c>
      <c r="AB23" s="1813">
        <f t="shared" si="4"/>
        <v>1.0526315789473684</v>
      </c>
      <c r="AC23" s="1813">
        <f t="shared" si="5"/>
        <v>1.0526315789473684</v>
      </c>
    </row>
    <row r="24" spans="1:29" ht="15">
      <c r="A24" s="404"/>
      <c r="B24" s="456"/>
      <c r="C24" s="616" t="s">
        <v>3325</v>
      </c>
      <c r="D24" s="448"/>
      <c r="E24" s="616" t="s">
        <v>3326</v>
      </c>
      <c r="F24" s="448"/>
      <c r="G24" s="616" t="s">
        <v>3326</v>
      </c>
      <c r="H24" s="448"/>
      <c r="I24" s="616" t="s">
        <v>3326</v>
      </c>
      <c r="J24" s="448"/>
      <c r="K24" s="812"/>
      <c r="L24" s="1143"/>
      <c r="M24" s="1134"/>
      <c r="N24" s="1134"/>
      <c r="O24" s="1142"/>
      <c r="P24" s="3216"/>
      <c r="Q24" s="1812"/>
      <c r="R24" s="774"/>
      <c r="S24" s="775"/>
      <c r="T24" s="774"/>
      <c r="U24" s="775"/>
      <c r="V24" s="774"/>
      <c r="W24" s="775"/>
      <c r="X24" s="1815"/>
      <c r="Y24" s="3216"/>
      <c r="Z24" s="1816"/>
      <c r="AA24" s="1813"/>
      <c r="AB24" s="1813"/>
      <c r="AC24" s="1813"/>
    </row>
    <row r="25" spans="1:29" ht="71.25">
      <c r="A25" s="404"/>
      <c r="B25" s="1387" t="s">
        <v>2747</v>
      </c>
      <c r="C25" s="2666" t="str">
        <f>估价对象房地状况!C20</f>
        <v>区域自然环境：鲨鱼公园；人文环境：成都规划馆；综合评价环境状况一般。</v>
      </c>
      <c r="D25" s="450">
        <v>100</v>
      </c>
      <c r="E25" s="2991" t="s">
        <v>3357</v>
      </c>
      <c r="F25" s="450">
        <f>SUMIF(98:98,E26,99:99)-SUMIF(98:98,C26,99:99)+100</f>
        <v>100</v>
      </c>
      <c r="G25" s="2981" t="s">
        <v>3328</v>
      </c>
      <c r="H25" s="450">
        <f>SUMIF(98:98,G26,99:99)-SUMIF(98:98,C26,99:99)+100</f>
        <v>100</v>
      </c>
      <c r="I25" s="2991" t="s">
        <v>3358</v>
      </c>
      <c r="J25" s="450">
        <f>SUMIF(98:98,I26,99:99)-SUMIF(98:98,C26,99:99)+100</f>
        <v>100</v>
      </c>
      <c r="K25" s="673"/>
      <c r="L25" s="1143"/>
      <c r="M25" s="1134"/>
      <c r="N25" s="1134"/>
      <c r="O25" s="1142"/>
      <c r="P25" s="3216"/>
      <c r="Q25" s="1812" t="str">
        <f t="shared" si="8"/>
        <v>自然及人文环境状况</v>
      </c>
      <c r="R25" s="774" t="s">
        <v>17</v>
      </c>
      <c r="S25" s="775">
        <f>F25</f>
        <v>100</v>
      </c>
      <c r="T25" s="774" t="s">
        <v>17</v>
      </c>
      <c r="U25" s="775">
        <f>H25</f>
        <v>100</v>
      </c>
      <c r="V25" s="774" t="s">
        <v>17</v>
      </c>
      <c r="W25" s="775">
        <f>J25</f>
        <v>100</v>
      </c>
      <c r="X25" s="1815"/>
      <c r="Y25" s="3216"/>
      <c r="Z25" s="1816" t="str">
        <f>Q25</f>
        <v>自然及人文环境状况</v>
      </c>
      <c r="AA25" s="1813">
        <f t="shared" si="3"/>
        <v>1</v>
      </c>
      <c r="AB25" s="1813">
        <f t="shared" si="4"/>
        <v>1</v>
      </c>
      <c r="AC25" s="1813">
        <f t="shared" si="5"/>
        <v>1</v>
      </c>
    </row>
    <row r="26" spans="1:29" ht="15">
      <c r="A26" s="404"/>
      <c r="B26" s="456"/>
      <c r="C26" s="447" t="s">
        <v>3326</v>
      </c>
      <c r="D26" s="448"/>
      <c r="E26" s="447" t="s">
        <v>3326</v>
      </c>
      <c r="F26" s="448"/>
      <c r="G26" s="447" t="s">
        <v>3326</v>
      </c>
      <c r="H26" s="448"/>
      <c r="I26" s="447" t="s">
        <v>3326</v>
      </c>
      <c r="J26" s="448"/>
      <c r="K26" s="672"/>
      <c r="L26" s="1143"/>
      <c r="M26" s="1134"/>
      <c r="N26" s="1134"/>
      <c r="O26" s="1142"/>
      <c r="P26" s="3216"/>
      <c r="Q26" s="1812"/>
      <c r="R26" s="774"/>
      <c r="S26" s="775"/>
      <c r="T26" s="774"/>
      <c r="U26" s="775"/>
      <c r="V26" s="774"/>
      <c r="W26" s="775"/>
      <c r="X26" s="1815"/>
      <c r="Y26" s="3216"/>
      <c r="Z26" s="1816"/>
      <c r="AA26" s="1813">
        <v>1</v>
      </c>
      <c r="AB26" s="1813">
        <v>1</v>
      </c>
      <c r="AC26" s="1813">
        <v>1</v>
      </c>
    </row>
    <row r="27" spans="1:29" s="117" customFormat="1" ht="213.75">
      <c r="A27" s="649"/>
      <c r="B27" s="1387" t="s">
        <v>2652</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3359</v>
      </c>
      <c r="F27" s="450">
        <f>SUMIF(100:100,E28,101:101)-SUMIF(100:100,C28,101:101)+100</f>
        <v>100</v>
      </c>
      <c r="G27" s="452" t="s">
        <v>3338</v>
      </c>
      <c r="H27" s="450">
        <f>SUMIF(100:100,G28,101:101)-SUMIF(100:100,C28,101:101)+100</f>
        <v>100</v>
      </c>
      <c r="I27" s="452" t="s">
        <v>3360</v>
      </c>
      <c r="J27" s="450">
        <f>SUMIF(100:100,I28,101:101)-SUMIF(100:100,C28,101:101)+100</f>
        <v>100</v>
      </c>
      <c r="K27" s="673"/>
      <c r="L27" s="1135"/>
      <c r="M27" s="1136"/>
      <c r="N27" s="1136"/>
      <c r="O27" s="1137"/>
      <c r="P27" s="3216"/>
      <c r="Q27" s="1797" t="str">
        <f t="shared" si="8"/>
        <v>公共配套设施</v>
      </c>
      <c r="R27" s="770" t="s">
        <v>17</v>
      </c>
      <c r="S27" s="771">
        <f>F27</f>
        <v>100</v>
      </c>
      <c r="T27" s="770" t="s">
        <v>17</v>
      </c>
      <c r="U27" s="771">
        <f>H27</f>
        <v>100</v>
      </c>
      <c r="V27" s="770" t="s">
        <v>17</v>
      </c>
      <c r="W27" s="771">
        <f>J27</f>
        <v>100</v>
      </c>
      <c r="X27" s="772"/>
      <c r="Y27" s="3216"/>
      <c r="Z27" s="55" t="str">
        <f>Q27</f>
        <v>公共配套设施</v>
      </c>
      <c r="AA27" s="1813">
        <f>D27/F27</f>
        <v>1</v>
      </c>
      <c r="AB27" s="1813">
        <f>D27/H27</f>
        <v>1</v>
      </c>
      <c r="AC27" s="1813">
        <f>D27/J27</f>
        <v>1</v>
      </c>
    </row>
    <row r="28" spans="1:29" s="117" customFormat="1" ht="15">
      <c r="A28" s="649"/>
      <c r="B28" s="456"/>
      <c r="C28" s="2702" t="s">
        <v>3325</v>
      </c>
      <c r="D28" s="448"/>
      <c r="E28" s="2702" t="s">
        <v>3325</v>
      </c>
      <c r="F28" s="448"/>
      <c r="G28" s="2702" t="s">
        <v>3325</v>
      </c>
      <c r="H28" s="448"/>
      <c r="I28" s="2702" t="s">
        <v>3325</v>
      </c>
      <c r="J28" s="448"/>
      <c r="K28" s="672"/>
      <c r="L28" s="1135"/>
      <c r="M28" s="1136"/>
      <c r="N28" s="1136"/>
      <c r="O28" s="1137"/>
      <c r="P28" s="3216"/>
      <c r="Q28" s="1797"/>
      <c r="R28" s="770"/>
      <c r="S28" s="771"/>
      <c r="T28" s="770"/>
      <c r="U28" s="771"/>
      <c r="V28" s="770"/>
      <c r="W28" s="771"/>
      <c r="X28" s="772"/>
      <c r="Y28" s="3216"/>
      <c r="Z28" s="55"/>
      <c r="AA28" s="1813">
        <v>1</v>
      </c>
      <c r="AB28" s="1813">
        <v>1</v>
      </c>
      <c r="AC28" s="1813">
        <v>1</v>
      </c>
    </row>
    <row r="29" spans="1:29" s="117" customFormat="1" ht="42.75">
      <c r="A29" s="649"/>
      <c r="B29" s="1387" t="s">
        <v>2653</v>
      </c>
      <c r="C29" s="2609" t="str">
        <f>估价对象房地状况!C22</f>
        <v>估价对象所在区域基础设施水平达到“六通”。</v>
      </c>
      <c r="D29" s="450">
        <v>100</v>
      </c>
      <c r="E29" s="452" t="s">
        <v>3361</v>
      </c>
      <c r="F29" s="450">
        <f>SUMIF(102:102,E30,103:103)-SUMIF(102:102,C30,103:103)+100</f>
        <v>100</v>
      </c>
      <c r="G29" s="452" t="s">
        <v>3327</v>
      </c>
      <c r="H29" s="450">
        <f>SUMIF(102:102,G30,103:103)-SUMIF(102:102,C30,103:103)+100</f>
        <v>100</v>
      </c>
      <c r="I29" s="454" t="s">
        <v>3327</v>
      </c>
      <c r="J29" s="450">
        <f>SUMIF(102:102,I30,103:103)-SUMIF(102:102,C30,103:103)+100</f>
        <v>100</v>
      </c>
      <c r="K29" s="673"/>
      <c r="L29" s="1135"/>
      <c r="M29" s="1136"/>
      <c r="N29" s="1136"/>
      <c r="O29" s="1137"/>
      <c r="P29" s="3216"/>
      <c r="Q29" s="1797" t="str">
        <f>B29</f>
        <v>基础设施水平</v>
      </c>
      <c r="R29" s="770" t="s">
        <v>17</v>
      </c>
      <c r="S29" s="771">
        <f>F29</f>
        <v>100</v>
      </c>
      <c r="T29" s="770" t="s">
        <v>17</v>
      </c>
      <c r="U29" s="771">
        <f>H29</f>
        <v>100</v>
      </c>
      <c r="V29" s="770" t="s">
        <v>17</v>
      </c>
      <c r="W29" s="771">
        <f>J29</f>
        <v>100</v>
      </c>
      <c r="X29" s="772"/>
      <c r="Y29" s="3216"/>
      <c r="Z29" s="55" t="str">
        <f>Q29</f>
        <v>基础设施水平</v>
      </c>
      <c r="AA29" s="1813">
        <f>D29/F29</f>
        <v>1</v>
      </c>
      <c r="AB29" s="1813">
        <f>D29/H29</f>
        <v>1</v>
      </c>
      <c r="AC29" s="1813">
        <f>D29/J29</f>
        <v>1</v>
      </c>
    </row>
    <row r="30" spans="1:29" s="117" customFormat="1" ht="15">
      <c r="A30" s="649"/>
      <c r="B30" s="456"/>
      <c r="C30" s="2702" t="s">
        <v>3314</v>
      </c>
      <c r="D30" s="448"/>
      <c r="E30" s="2702" t="s">
        <v>3314</v>
      </c>
      <c r="F30" s="448"/>
      <c r="G30" s="2702" t="s">
        <v>3314</v>
      </c>
      <c r="H30" s="448"/>
      <c r="I30" s="2702" t="s">
        <v>3314</v>
      </c>
      <c r="J30" s="448"/>
      <c r="K30" s="672"/>
      <c r="L30" s="1135"/>
      <c r="M30" s="1136"/>
      <c r="N30" s="1136"/>
      <c r="O30" s="1137"/>
      <c r="P30" s="3216"/>
      <c r="Q30" s="1797"/>
      <c r="R30" s="770"/>
      <c r="S30" s="771"/>
      <c r="T30" s="770"/>
      <c r="U30" s="771"/>
      <c r="V30" s="770"/>
      <c r="W30" s="771"/>
      <c r="X30" s="772"/>
      <c r="Y30" s="3216"/>
      <c r="Z30" s="55"/>
      <c r="AA30" s="1813">
        <v>1</v>
      </c>
      <c r="AB30" s="1813">
        <v>1</v>
      </c>
      <c r="AC30" s="1813">
        <v>1</v>
      </c>
    </row>
    <row r="31" spans="1:29" ht="15">
      <c r="A31" s="428"/>
      <c r="B31" s="456" t="s">
        <v>2654</v>
      </c>
      <c r="C31" s="616" t="s">
        <v>3297</v>
      </c>
      <c r="D31" s="435">
        <v>100</v>
      </c>
      <c r="E31" s="634" t="s">
        <v>3298</v>
      </c>
      <c r="F31" s="435">
        <f>SUMIF(104:104,E31,105:105)-SUMIF(104:104,C31,105:105)+100</f>
        <v>94</v>
      </c>
      <c r="G31" s="634" t="s">
        <v>3299</v>
      </c>
      <c r="H31" s="435">
        <f>SUMIF(104:104,G31,105:105)-SUMIF(104:104,C31,105:105)+100</f>
        <v>97</v>
      </c>
      <c r="I31" s="634" t="s">
        <v>3297</v>
      </c>
      <c r="J31" s="435">
        <f>SUMIF(104:104,I31,105:105)-SUMIF(104:104,C31,105:105)+100</f>
        <v>100</v>
      </c>
      <c r="K31" s="673">
        <v>3</v>
      </c>
      <c r="L31" s="1143"/>
      <c r="M31" s="1134"/>
      <c r="N31" s="1134"/>
      <c r="O31" s="1142"/>
      <c r="P31" s="3216"/>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216"/>
      <c r="Z31" s="1816" t="str">
        <f t="shared" ref="Z31:Z45" si="12">Q31</f>
        <v>临街状况</v>
      </c>
      <c r="AA31" s="1813">
        <f t="shared" si="3"/>
        <v>1.0638297872340425</v>
      </c>
      <c r="AB31" s="1813">
        <f t="shared" si="4"/>
        <v>1.0309278350515463</v>
      </c>
      <c r="AC31" s="1813">
        <f t="shared" si="5"/>
        <v>1</v>
      </c>
    </row>
    <row r="32" spans="1:29" ht="27">
      <c r="A32" s="428"/>
      <c r="B32" s="1387" t="s">
        <v>2689</v>
      </c>
      <c r="C32" s="2980" t="s">
        <v>3300</v>
      </c>
      <c r="D32" s="450">
        <v>100</v>
      </c>
      <c r="E32" s="2991" t="s">
        <v>3362</v>
      </c>
      <c r="F32" s="450">
        <f>SUMIF(106:106,E33,107:107)-SUMIF(106:106,C33,107:107)+100</f>
        <v>100</v>
      </c>
      <c r="G32" s="2981" t="s">
        <v>3339</v>
      </c>
      <c r="H32" s="450">
        <f>SUMIF(106:106,G33,107:107)-SUMIF(106:106,C33,107:107)+100</f>
        <v>100</v>
      </c>
      <c r="I32" s="2992" t="s">
        <v>3340</v>
      </c>
      <c r="J32" s="450">
        <f>SUMIF(106:106,I33,107:107)-SUMIF(106:106,C33,107:107)+100</f>
        <v>102</v>
      </c>
      <c r="K32" s="673">
        <v>1</v>
      </c>
      <c r="L32" s="1143"/>
      <c r="M32" s="1134"/>
      <c r="N32" s="1134"/>
      <c r="O32" s="1142"/>
      <c r="P32" s="3216"/>
      <c r="Q32" s="1812" t="str">
        <f t="shared" si="8"/>
        <v>毗邻道路的类型与等级</v>
      </c>
      <c r="R32" s="774" t="s">
        <v>17</v>
      </c>
      <c r="S32" s="775">
        <f t="shared" si="9"/>
        <v>100</v>
      </c>
      <c r="T32" s="774" t="s">
        <v>17</v>
      </c>
      <c r="U32" s="775">
        <f t="shared" si="10"/>
        <v>100</v>
      </c>
      <c r="V32" s="774" t="s">
        <v>17</v>
      </c>
      <c r="W32" s="775">
        <f t="shared" si="11"/>
        <v>102</v>
      </c>
      <c r="X32" s="1815"/>
      <c r="Y32" s="3216"/>
      <c r="Z32" s="1816" t="str">
        <f t="shared" si="12"/>
        <v>毗邻道路的类型与等级</v>
      </c>
      <c r="AA32" s="1813">
        <f t="shared" si="3"/>
        <v>1</v>
      </c>
      <c r="AB32" s="1813">
        <f t="shared" si="4"/>
        <v>1</v>
      </c>
      <c r="AC32" s="1813">
        <f t="shared" si="5"/>
        <v>0.98039215686274506</v>
      </c>
    </row>
    <row r="33" spans="1:29" ht="15">
      <c r="A33" s="428"/>
      <c r="B33" s="456"/>
      <c r="C33" s="447" t="s">
        <v>3305</v>
      </c>
      <c r="D33" s="448"/>
      <c r="E33" s="2613" t="s">
        <v>3305</v>
      </c>
      <c r="F33" s="448"/>
      <c r="G33" s="2613" t="s">
        <v>3305</v>
      </c>
      <c r="H33" s="448"/>
      <c r="I33" s="447" t="s">
        <v>3302</v>
      </c>
      <c r="J33" s="448"/>
      <c r="K33" s="613"/>
      <c r="L33" s="1143"/>
      <c r="M33" s="1134"/>
      <c r="N33" s="1134"/>
      <c r="O33" s="1142"/>
      <c r="P33" s="3216"/>
      <c r="Q33" s="1812"/>
      <c r="R33" s="774"/>
      <c r="S33" s="775"/>
      <c r="T33" s="774"/>
      <c r="U33" s="775"/>
      <c r="V33" s="774"/>
      <c r="W33" s="775"/>
      <c r="X33" s="1815"/>
      <c r="Y33" s="3216"/>
      <c r="Z33" s="1816"/>
      <c r="AA33" s="1813">
        <v>1</v>
      </c>
      <c r="AB33" s="1813">
        <v>1</v>
      </c>
      <c r="AC33" s="1813">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6"/>
      <c r="Q34" s="1812" t="str">
        <f t="shared" si="8"/>
        <v>土地级别</v>
      </c>
      <c r="R34" s="774" t="s">
        <v>17</v>
      </c>
      <c r="S34" s="775">
        <f t="shared" si="9"/>
        <v>100</v>
      </c>
      <c r="T34" s="774" t="s">
        <v>17</v>
      </c>
      <c r="U34" s="775">
        <f t="shared" si="10"/>
        <v>100</v>
      </c>
      <c r="V34" s="774" t="s">
        <v>17</v>
      </c>
      <c r="W34" s="775">
        <f t="shared" si="11"/>
        <v>100</v>
      </c>
      <c r="X34" s="1815"/>
      <c r="Y34" s="3216"/>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6"/>
      <c r="Q35" s="1812">
        <f t="shared" si="8"/>
        <v>111</v>
      </c>
      <c r="R35" s="774" t="s">
        <v>17</v>
      </c>
      <c r="S35" s="775">
        <f t="shared" si="9"/>
        <v>100</v>
      </c>
      <c r="T35" s="774" t="s">
        <v>17</v>
      </c>
      <c r="U35" s="775">
        <f t="shared" si="10"/>
        <v>100</v>
      </c>
      <c r="V35" s="774" t="s">
        <v>17</v>
      </c>
      <c r="W35" s="775">
        <f t="shared" si="11"/>
        <v>100</v>
      </c>
      <c r="X35" s="1815"/>
      <c r="Y35" s="3216"/>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2563</v>
      </c>
      <c r="Q36" s="1812">
        <f t="shared" si="8"/>
        <v>111</v>
      </c>
      <c r="R36" s="774" t="s">
        <v>17</v>
      </c>
      <c r="S36" s="775">
        <f t="shared" si="9"/>
        <v>100</v>
      </c>
      <c r="T36" s="774" t="s">
        <v>17</v>
      </c>
      <c r="U36" s="775">
        <f t="shared" si="10"/>
        <v>100</v>
      </c>
      <c r="V36" s="774" t="s">
        <v>17</v>
      </c>
      <c r="W36" s="775">
        <f t="shared" si="11"/>
        <v>100</v>
      </c>
      <c r="X36" s="1815"/>
      <c r="Y36" s="3218" t="s">
        <v>2563</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2">
        <f t="shared" si="8"/>
        <v>111</v>
      </c>
      <c r="R37" s="777" t="s">
        <v>17</v>
      </c>
      <c r="S37" s="778">
        <f t="shared" si="9"/>
        <v>100</v>
      </c>
      <c r="T37" s="777" t="s">
        <v>17</v>
      </c>
      <c r="U37" s="778">
        <f t="shared" si="10"/>
        <v>100</v>
      </c>
      <c r="V37" s="777" t="s">
        <v>17</v>
      </c>
      <c r="W37" s="778">
        <f t="shared" si="11"/>
        <v>100</v>
      </c>
      <c r="X37" s="779"/>
      <c r="Y37" s="3218"/>
      <c r="Z37" s="780">
        <f t="shared" si="12"/>
        <v>111</v>
      </c>
      <c r="AA37" s="1813">
        <f t="shared" si="3"/>
        <v>1</v>
      </c>
      <c r="AB37" s="1813">
        <f t="shared" si="4"/>
        <v>1</v>
      </c>
      <c r="AC37" s="1813">
        <f t="shared" si="5"/>
        <v>1</v>
      </c>
    </row>
    <row r="38" spans="1:29" ht="15">
      <c r="A38" s="472" t="s">
        <v>2561</v>
      </c>
      <c r="B38" s="456" t="s">
        <v>2749</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218"/>
      <c r="Q38" s="1812" t="str">
        <f>B38</f>
        <v>宗地面积</v>
      </c>
      <c r="R38" s="774" t="s">
        <v>17</v>
      </c>
      <c r="S38" s="775">
        <f t="shared" si="9"/>
        <v>98.5</v>
      </c>
      <c r="T38" s="774" t="s">
        <v>17</v>
      </c>
      <c r="U38" s="775">
        <f t="shared" si="10"/>
        <v>98.5</v>
      </c>
      <c r="V38" s="774" t="s">
        <v>17</v>
      </c>
      <c r="W38" s="775">
        <f t="shared" si="11"/>
        <v>99</v>
      </c>
      <c r="X38" s="1815"/>
      <c r="Y38" s="3218"/>
      <c r="Z38" s="1816" t="str">
        <f t="shared" si="12"/>
        <v>宗地面积</v>
      </c>
      <c r="AA38" s="1813">
        <f t="shared" si="3"/>
        <v>1.015228426395939</v>
      </c>
      <c r="AB38" s="1813">
        <f t="shared" si="4"/>
        <v>1.015228426395939</v>
      </c>
      <c r="AC38" s="1813">
        <f t="shared" si="5"/>
        <v>1.0101010101010102</v>
      </c>
    </row>
    <row r="39" spans="1:29" ht="15">
      <c r="A39" s="472"/>
      <c r="B39" s="422" t="s">
        <v>2750</v>
      </c>
      <c r="C39" s="2615" t="s">
        <v>3309</v>
      </c>
      <c r="D39" s="435">
        <v>100</v>
      </c>
      <c r="E39" s="2615" t="s">
        <v>3309</v>
      </c>
      <c r="F39" s="435">
        <f>SUMIF(119:119,E39,120:120)-SUMIF(119:119,C39,120:120)+100</f>
        <v>100</v>
      </c>
      <c r="G39" s="2615" t="s">
        <v>3309</v>
      </c>
      <c r="H39" s="435">
        <f>SUMIF(119:119,G39,120:120)-SUMIF(119:119,C39,120:120)+100</f>
        <v>100</v>
      </c>
      <c r="I39" s="2615" t="s">
        <v>3309</v>
      </c>
      <c r="J39" s="435">
        <f>SUMIF(119:119,I39,120:120)-SUMIF(119:119,C39,120:120)+100</f>
        <v>100</v>
      </c>
      <c r="K39" s="612"/>
      <c r="L39" s="1143"/>
      <c r="M39" s="1134"/>
      <c r="N39" s="1134"/>
      <c r="O39" s="1142"/>
      <c r="P39" s="3218"/>
      <c r="Q39" s="1812" t="str">
        <f t="shared" ref="Q39:Q45" si="13">B39</f>
        <v>宗地形状</v>
      </c>
      <c r="R39" s="774" t="s">
        <v>17</v>
      </c>
      <c r="S39" s="775">
        <f t="shared" si="9"/>
        <v>100</v>
      </c>
      <c r="T39" s="774" t="s">
        <v>17</v>
      </c>
      <c r="U39" s="775">
        <f t="shared" si="10"/>
        <v>100</v>
      </c>
      <c r="V39" s="774" t="s">
        <v>17</v>
      </c>
      <c r="W39" s="775">
        <f t="shared" si="11"/>
        <v>100</v>
      </c>
      <c r="X39" s="1815"/>
      <c r="Y39" s="3218"/>
      <c r="Z39" s="1816" t="str">
        <f t="shared" si="12"/>
        <v>宗地形状</v>
      </c>
      <c r="AA39" s="1813">
        <f t="shared" si="3"/>
        <v>1</v>
      </c>
      <c r="AB39" s="1813">
        <f t="shared" si="4"/>
        <v>1</v>
      </c>
      <c r="AC39" s="1813">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8"/>
      <c r="Q40" s="1812" t="str">
        <f t="shared" si="13"/>
        <v>临街宽度及深度</v>
      </c>
      <c r="R40" s="774" t="s">
        <v>17</v>
      </c>
      <c r="S40" s="775">
        <f t="shared" si="9"/>
        <v>100</v>
      </c>
      <c r="T40" s="774" t="s">
        <v>17</v>
      </c>
      <c r="U40" s="775">
        <f t="shared" si="10"/>
        <v>100</v>
      </c>
      <c r="V40" s="774" t="s">
        <v>17</v>
      </c>
      <c r="W40" s="775">
        <f t="shared" si="11"/>
        <v>100</v>
      </c>
      <c r="X40" s="1815"/>
      <c r="Y40" s="3218"/>
      <c r="Z40" s="1816" t="str">
        <f t="shared" si="12"/>
        <v>临街宽度及深度</v>
      </c>
      <c r="AA40" s="1813">
        <f t="shared" si="3"/>
        <v>1</v>
      </c>
      <c r="AB40" s="1813">
        <f t="shared" si="4"/>
        <v>1</v>
      </c>
      <c r="AC40" s="1813">
        <f t="shared" si="5"/>
        <v>1</v>
      </c>
    </row>
    <row r="41" spans="1:29" s="117" customFormat="1" ht="15">
      <c r="A41" s="473"/>
      <c r="B41" s="422" t="s">
        <v>2752</v>
      </c>
      <c r="C41" s="2704" t="s">
        <v>3316</v>
      </c>
      <c r="D41" s="136">
        <v>100</v>
      </c>
      <c r="E41" s="2704" t="s">
        <v>3319</v>
      </c>
      <c r="F41" s="435">
        <f>SUMIF(123:123,E41,124:124)-SUMIF(123:123,C41,124:124)+100</f>
        <v>98</v>
      </c>
      <c r="G41" s="2704" t="s">
        <v>3319</v>
      </c>
      <c r="H41" s="435">
        <f>SUMIF(123:123,G41,124:124)-SUMIF(123:123,C41,124:124)+100</f>
        <v>98</v>
      </c>
      <c r="I41" s="2704" t="s">
        <v>3319</v>
      </c>
      <c r="J41" s="435">
        <f>SUMIF(123:123,I41,124:124)-SUMIF(123:123,C41,124:124)+100</f>
        <v>98</v>
      </c>
      <c r="K41" s="612">
        <v>1</v>
      </c>
      <c r="L41" s="1135"/>
      <c r="M41" s="1136"/>
      <c r="N41" s="1136"/>
      <c r="O41" s="1137"/>
      <c r="P41" s="3218"/>
      <c r="Q41" s="1812" t="str">
        <f t="shared" si="13"/>
        <v>宗地开发程度</v>
      </c>
      <c r="R41" s="770" t="s">
        <v>17</v>
      </c>
      <c r="S41" s="771">
        <f t="shared" si="9"/>
        <v>98</v>
      </c>
      <c r="T41" s="770" t="s">
        <v>17</v>
      </c>
      <c r="U41" s="771">
        <f t="shared" si="10"/>
        <v>98</v>
      </c>
      <c r="V41" s="770" t="s">
        <v>17</v>
      </c>
      <c r="W41" s="771">
        <f t="shared" si="11"/>
        <v>98</v>
      </c>
      <c r="X41" s="772"/>
      <c r="Y41" s="3218"/>
      <c r="Z41" s="55" t="str">
        <f t="shared" si="12"/>
        <v>宗地开发程度</v>
      </c>
      <c r="AA41" s="773">
        <f t="shared" si="3"/>
        <v>1.0204081632653061</v>
      </c>
      <c r="AB41" s="773">
        <f t="shared" si="4"/>
        <v>1.0204081632653061</v>
      </c>
      <c r="AC41" s="773">
        <f t="shared" si="5"/>
        <v>1.0204081632653061</v>
      </c>
    </row>
    <row r="42" spans="1:29" ht="15.75" thickBot="1">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8" t="s">
        <v>2563</v>
      </c>
      <c r="Q42" s="1812" t="str">
        <f t="shared" si="13"/>
        <v>工程地质条件</v>
      </c>
      <c r="R42" s="774" t="s">
        <v>17</v>
      </c>
      <c r="S42" s="775">
        <f t="shared" si="9"/>
        <v>100</v>
      </c>
      <c r="T42" s="774" t="s">
        <v>17</v>
      </c>
      <c r="U42" s="775">
        <f t="shared" si="10"/>
        <v>100</v>
      </c>
      <c r="V42" s="774" t="s">
        <v>17</v>
      </c>
      <c r="W42" s="775">
        <f t="shared" si="11"/>
        <v>100</v>
      </c>
      <c r="X42" s="1815"/>
      <c r="Y42" s="3218" t="s">
        <v>2563</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2">
        <f t="shared" si="13"/>
        <v>111</v>
      </c>
      <c r="R43" s="774" t="s">
        <v>17</v>
      </c>
      <c r="S43" s="775">
        <f t="shared" si="9"/>
        <v>100</v>
      </c>
      <c r="T43" s="774" t="s">
        <v>17</v>
      </c>
      <c r="U43" s="775">
        <f t="shared" si="10"/>
        <v>100</v>
      </c>
      <c r="V43" s="774" t="s">
        <v>17</v>
      </c>
      <c r="W43" s="775">
        <f t="shared" si="11"/>
        <v>100</v>
      </c>
      <c r="X43" s="1815"/>
      <c r="Y43" s="3218"/>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2">
        <f t="shared" si="13"/>
        <v>111</v>
      </c>
      <c r="R44" s="774" t="s">
        <v>17</v>
      </c>
      <c r="S44" s="775">
        <f t="shared" si="9"/>
        <v>100</v>
      </c>
      <c r="T44" s="774" t="s">
        <v>17</v>
      </c>
      <c r="U44" s="775">
        <f t="shared" si="10"/>
        <v>100</v>
      </c>
      <c r="V44" s="774" t="s">
        <v>17</v>
      </c>
      <c r="W44" s="775">
        <f t="shared" si="11"/>
        <v>100</v>
      </c>
      <c r="X44" s="1815"/>
      <c r="Y44" s="3218"/>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2">
        <f t="shared" si="13"/>
        <v>111</v>
      </c>
      <c r="R45" s="777" t="s">
        <v>17</v>
      </c>
      <c r="S45" s="778">
        <f t="shared" si="9"/>
        <v>100</v>
      </c>
      <c r="T45" s="777" t="s">
        <v>17</v>
      </c>
      <c r="U45" s="778">
        <f t="shared" si="10"/>
        <v>100</v>
      </c>
      <c r="V45" s="777" t="s">
        <v>17</v>
      </c>
      <c r="W45" s="778">
        <f t="shared" si="11"/>
        <v>100</v>
      </c>
      <c r="X45" s="779"/>
      <c r="Y45" s="3218"/>
      <c r="Z45" s="780">
        <f t="shared" si="12"/>
        <v>111</v>
      </c>
      <c r="AA45" s="1813">
        <f t="shared" si="3"/>
        <v>1</v>
      </c>
      <c r="AB45" s="1813">
        <f t="shared" si="4"/>
        <v>1</v>
      </c>
      <c r="AC45" s="1813">
        <f t="shared" si="5"/>
        <v>1</v>
      </c>
    </row>
    <row r="46" spans="1:29" ht="15">
      <c r="A46" s="479" t="s">
        <v>2718</v>
      </c>
      <c r="B46" s="2706" t="s">
        <v>3341</v>
      </c>
      <c r="C46" s="682" t="s">
        <v>1</v>
      </c>
      <c r="D46" s="481"/>
      <c r="E46" s="482">
        <v>7010</v>
      </c>
      <c r="F46" s="483"/>
      <c r="G46" s="484">
        <v>6900</v>
      </c>
      <c r="H46" s="485"/>
      <c r="I46" s="482">
        <v>7120</v>
      </c>
      <c r="J46" s="485"/>
      <c r="K46" s="783"/>
      <c r="L46" s="1146"/>
      <c r="M46" s="1147"/>
      <c r="N46" s="1134"/>
      <c r="O46" s="1147"/>
      <c r="P46" s="3200" t="str">
        <f>A46</f>
        <v>成交单价</v>
      </c>
      <c r="Q46" s="3200"/>
      <c r="R46" s="3213">
        <f>E46</f>
        <v>7010</v>
      </c>
      <c r="S46" s="3213"/>
      <c r="T46" s="3213">
        <f>G46</f>
        <v>6900</v>
      </c>
      <c r="U46" s="3213"/>
      <c r="V46" s="3213">
        <f>I46</f>
        <v>7120</v>
      </c>
      <c r="W46" s="3213"/>
      <c r="X46" s="759"/>
      <c r="Y46" s="781"/>
      <c r="Z46" s="759"/>
      <c r="AA46" s="759"/>
      <c r="AB46" s="759"/>
      <c r="AC46" s="759"/>
    </row>
    <row r="47" spans="1:29" ht="15.75" thickBot="1">
      <c r="A47" s="486" t="s">
        <v>2667</v>
      </c>
      <c r="B47" s="683"/>
      <c r="C47" s="490">
        <f>R48</f>
        <v>6440</v>
      </c>
      <c r="D47" s="489"/>
      <c r="E47" s="490">
        <f>R47</f>
        <v>6408</v>
      </c>
      <c r="F47" s="491"/>
      <c r="G47" s="488">
        <f>T47</f>
        <v>6335</v>
      </c>
      <c r="H47" s="489"/>
      <c r="I47" s="490">
        <f>V47</f>
        <v>6577</v>
      </c>
      <c r="J47" s="489"/>
      <c r="K47" s="784"/>
      <c r="L47" s="1146"/>
      <c r="M47" s="1147"/>
      <c r="N47" s="1147"/>
      <c r="O47" s="1147"/>
      <c r="P47" s="3200" t="str">
        <f>A47</f>
        <v>比较价值（元/平方米）</v>
      </c>
      <c r="Q47" s="3200"/>
      <c r="R47" s="3219">
        <f>ROUND(PRODUCT(R46,AA7:AA45),0)</f>
        <v>6408</v>
      </c>
      <c r="S47" s="3219"/>
      <c r="T47" s="3219">
        <f>ROUND(PRODUCT(T46,AB7:AB45),0)</f>
        <v>6335</v>
      </c>
      <c r="U47" s="3219"/>
      <c r="V47" s="3219">
        <f>ROUND(PRODUCT(V46,AC7:AC45),0)</f>
        <v>6577</v>
      </c>
      <c r="W47" s="3219"/>
      <c r="X47" s="759"/>
      <c r="Y47" s="759"/>
      <c r="Z47" s="759"/>
      <c r="AA47" s="759"/>
      <c r="AB47" s="759"/>
      <c r="AC47" s="759"/>
    </row>
    <row r="48" spans="1:29" ht="15.75" thickBot="1">
      <c r="A48" s="492" t="s">
        <v>2754</v>
      </c>
      <c r="B48" s="493"/>
      <c r="C48" s="494">
        <f>R48</f>
        <v>6440</v>
      </c>
      <c r="D48" s="494"/>
      <c r="E48" s="494"/>
      <c r="F48" s="494"/>
      <c r="G48" s="494"/>
      <c r="H48" s="494"/>
      <c r="I48" s="494"/>
      <c r="J48" s="494"/>
      <c r="K48" s="785"/>
      <c r="L48" s="1146"/>
      <c r="M48" s="1147"/>
      <c r="N48" s="1147"/>
      <c r="O48" s="1147"/>
      <c r="P48" s="3220" t="str">
        <f>A48</f>
        <v>估价对象XX用房的比较价值（楼面单价，元/平方米）</v>
      </c>
      <c r="Q48" s="3221"/>
      <c r="R48" s="3222">
        <f>ROUND(AVERAGE(R47:V47),0)</f>
        <v>6440</v>
      </c>
      <c r="S48" s="3222"/>
      <c r="T48" s="3222"/>
      <c r="U48" s="3222"/>
      <c r="V48" s="3222"/>
      <c r="W48" s="322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9.3945068664169851E-2</v>
      </c>
      <c r="F51" s="500" t="str">
        <f>IF(OR(E51&gt;=0.3,E51&lt;=-0.3),"超过30%","")</f>
        <v/>
      </c>
      <c r="G51" s="499">
        <f>IF(G46&lt;G47,G47/G46-1,G46/G47-1)</f>
        <v>8.9187056037884682E-2</v>
      </c>
      <c r="H51" s="500" t="str">
        <f>IF(OR(G51&gt;=0.3,G51&lt;=-0.3),"超过30%","")</f>
        <v/>
      </c>
      <c r="I51" s="499">
        <f>IF(I46&lt;I47,I47/I46-1,I46/I47-1)</f>
        <v>8.2560437889615423E-2</v>
      </c>
      <c r="J51" s="500" t="str">
        <f>IF(OR(I51&gt;=0.3,I51&lt;=-0.3),"超过30%","")</f>
        <v/>
      </c>
      <c r="K51" s="1108"/>
      <c r="L51" s="1109"/>
      <c r="M51" s="1147"/>
      <c r="N51" s="1147"/>
      <c r="O51" s="1147"/>
    </row>
    <row r="52" spans="1:15" ht="13.5" customHeight="1">
      <c r="A52" s="1147"/>
      <c r="B52" s="1147"/>
      <c r="C52" s="497" t="s">
        <v>2670</v>
      </c>
      <c r="D52" s="501"/>
      <c r="E52" s="499">
        <f>IF(E47&lt;G47,G47/E47-1,E47/G47-1)</f>
        <v>1.1523283346487778E-2</v>
      </c>
      <c r="F52" s="500" t="str">
        <f>IF(OR(E52&gt;=0.2,E52&lt;=-0.2),"超过20%","")</f>
        <v/>
      </c>
      <c r="G52" s="499">
        <f>IF(G47&lt;I47,I47/G47-1,G47/I47-1)</f>
        <v>3.8200473559589554E-2</v>
      </c>
      <c r="H52" s="500" t="str">
        <f>IF(OR(G52&gt;=0.2,G52&lt;=-0.2),"超过20%","")</f>
        <v/>
      </c>
      <c r="I52" s="499">
        <f>IF(I47&lt;E47,E47/I47-1,I47/E47-1)</f>
        <v>2.6373283395755287E-2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1" t="s">
        <v>2761</v>
      </c>
      <c r="H55" s="3223"/>
      <c r="I55" s="144" t="s">
        <v>2762</v>
      </c>
      <c r="J55" s="2709" t="str">
        <f>项目基本情况!F35</f>
        <v>四川省成都市</v>
      </c>
      <c r="K55" s="2710" t="s">
        <v>2763</v>
      </c>
      <c r="L55" s="1109"/>
      <c r="M55" s="1147"/>
      <c r="N55" s="1147"/>
      <c r="O55" s="1147"/>
    </row>
    <row r="56" spans="1:15" s="692" customFormat="1">
      <c r="A56" s="688" t="s">
        <v>2764</v>
      </c>
      <c r="B56" s="689">
        <f>C48</f>
        <v>6440</v>
      </c>
      <c r="C56" s="690">
        <v>1</v>
      </c>
      <c r="D56" s="1166">
        <v>1</v>
      </c>
      <c r="E56" s="690">
        <f>'数据-汇总表'!E8+'数据-汇总表'!E9</f>
        <v>18849.45</v>
      </c>
      <c r="F56" s="1106">
        <f t="shared" ref="F56:F65" si="14">ROUND(B56*E56/10000,0)</f>
        <v>12139</v>
      </c>
      <c r="G56" s="3224"/>
      <c r="H56" s="3200"/>
      <c r="I56" s="1111">
        <v>1</v>
      </c>
      <c r="J56" s="1114">
        <v>1</v>
      </c>
      <c r="K56" s="1148"/>
      <c r="L56" s="944"/>
      <c r="M56" s="944"/>
      <c r="N56" s="944"/>
      <c r="O56" s="944"/>
    </row>
    <row r="57" spans="1:15" s="692" customFormat="1">
      <c r="A57" s="693" t="s">
        <v>2765</v>
      </c>
      <c r="B57" s="262">
        <f>ROUND($C$48*C57*D57,0)</f>
        <v>0</v>
      </c>
      <c r="C57" s="200">
        <f t="shared" ref="C57:C65" si="15">IF($C$55="北京市系数",I57,J57)</f>
        <v>0</v>
      </c>
      <c r="D57" s="1167">
        <v>0.25</v>
      </c>
      <c r="E57" s="694"/>
      <c r="F57" s="1106">
        <f t="shared" si="14"/>
        <v>0</v>
      </c>
      <c r="G57" s="3225" t="s">
        <v>2766</v>
      </c>
      <c r="H57" s="1107">
        <f>项目基本情况!B37</f>
        <v>0</v>
      </c>
      <c r="I57" s="1111">
        <f>SUMIF(修正!A45:A56,H57,修正!B45:B56)</f>
        <v>0</v>
      </c>
      <c r="J57" s="1115"/>
      <c r="K57" s="1147"/>
      <c r="L57" s="944"/>
      <c r="M57" s="944"/>
      <c r="N57" s="944"/>
      <c r="O57" s="944"/>
    </row>
    <row r="58" spans="1:15" s="692" customFormat="1">
      <c r="A58" s="693" t="s">
        <v>2767</v>
      </c>
      <c r="B58" s="262">
        <f t="shared" ref="B58:B65" si="16">ROUND($C$48*C58*D58,0)</f>
        <v>0</v>
      </c>
      <c r="C58" s="200">
        <f t="shared" si="15"/>
        <v>0</v>
      </c>
      <c r="D58" s="1167">
        <v>0.25</v>
      </c>
      <c r="E58" s="694"/>
      <c r="F58" s="1106">
        <f t="shared" si="14"/>
        <v>0</v>
      </c>
      <c r="G58" s="3225"/>
      <c r="H58" s="1107">
        <f>项目基本情况!B37</f>
        <v>0</v>
      </c>
      <c r="I58" s="1111">
        <f>SUMIF(修正!A45:A56,H58,修正!C45:C56)</f>
        <v>0</v>
      </c>
      <c r="J58" s="1115"/>
      <c r="K58" s="1148"/>
      <c r="L58" s="944"/>
      <c r="M58" s="944"/>
      <c r="N58" s="944"/>
      <c r="O58" s="944"/>
    </row>
    <row r="59" spans="1:15" s="692" customFormat="1">
      <c r="A59" s="693" t="s">
        <v>2768</v>
      </c>
      <c r="B59" s="262">
        <f t="shared" si="16"/>
        <v>0</v>
      </c>
      <c r="C59" s="200">
        <f t="shared" si="15"/>
        <v>0</v>
      </c>
      <c r="D59" s="1167">
        <v>0.25</v>
      </c>
      <c r="E59" s="694"/>
      <c r="F59" s="1106">
        <f t="shared" si="14"/>
        <v>0</v>
      </c>
      <c r="G59" s="3225"/>
      <c r="H59" s="1107">
        <f>项目基本情况!B37</f>
        <v>0</v>
      </c>
      <c r="I59" s="1111">
        <f>SUMIF(修正!A45:A56,H59,修正!D45:D56)</f>
        <v>0</v>
      </c>
      <c r="J59" s="1115"/>
      <c r="K59" s="1147"/>
      <c r="L59" s="944"/>
      <c r="M59" s="944"/>
      <c r="N59" s="944"/>
      <c r="O59" s="944"/>
    </row>
    <row r="60" spans="1:15" s="692" customFormat="1">
      <c r="A60" s="693" t="s">
        <v>2769</v>
      </c>
      <c r="B60" s="262">
        <f t="shared" si="16"/>
        <v>0</v>
      </c>
      <c r="C60" s="200">
        <f t="shared" si="15"/>
        <v>0</v>
      </c>
      <c r="D60" s="1167">
        <v>0.25</v>
      </c>
      <c r="E60" s="694"/>
      <c r="F60" s="1106">
        <f t="shared" si="14"/>
        <v>0</v>
      </c>
      <c r="G60" s="3225"/>
      <c r="H60" s="1107">
        <f>项目基本情况!B37</f>
        <v>0</v>
      </c>
      <c r="I60" s="1111">
        <f>SUMIF(修正!A45:A56,H60,修正!E45:E56)</f>
        <v>0</v>
      </c>
      <c r="J60" s="1115"/>
      <c r="K60" s="1148"/>
      <c r="L60" s="944"/>
      <c r="M60" s="944"/>
      <c r="N60" s="944"/>
      <c r="O60" s="944"/>
    </row>
    <row r="61" spans="1:15" s="692" customFormat="1">
      <c r="A61" s="693" t="s">
        <v>2770</v>
      </c>
      <c r="B61" s="262">
        <f t="shared" si="16"/>
        <v>0</v>
      </c>
      <c r="C61" s="200">
        <f t="shared" si="15"/>
        <v>0</v>
      </c>
      <c r="D61" s="1167">
        <v>0.25</v>
      </c>
      <c r="E61" s="261">
        <f>'数据-汇总表'!E11</f>
        <v>0</v>
      </c>
      <c r="F61" s="1106">
        <f t="shared" si="14"/>
        <v>0</v>
      </c>
      <c r="G61" s="2711" t="s">
        <v>2771</v>
      </c>
      <c r="H61" s="1107">
        <f>项目基本情况!C37</f>
        <v>0</v>
      </c>
      <c r="I61" s="1111">
        <f>SUMIF(修正!A45:A56,H61,修正!F45:F56)</f>
        <v>0</v>
      </c>
      <c r="J61" s="1115"/>
      <c r="K61" s="1147"/>
      <c r="L61" s="944"/>
      <c r="M61" s="944"/>
      <c r="N61" s="944"/>
      <c r="O61" s="944"/>
    </row>
    <row r="62" spans="1:15" s="692" customFormat="1">
      <c r="A62" s="693" t="s">
        <v>2772</v>
      </c>
      <c r="B62" s="262">
        <f t="shared" si="16"/>
        <v>0</v>
      </c>
      <c r="C62" s="200">
        <f t="shared" si="15"/>
        <v>0</v>
      </c>
      <c r="D62" s="1167">
        <v>0.25</v>
      </c>
      <c r="E62" s="261">
        <f>'数据-汇总表'!E12</f>
        <v>0</v>
      </c>
      <c r="F62" s="1106">
        <f t="shared" si="14"/>
        <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f t="shared" si="16"/>
        <v>0</v>
      </c>
      <c r="C63" s="200">
        <f t="shared" si="15"/>
        <v>0</v>
      </c>
      <c r="D63" s="1167">
        <v>0.25</v>
      </c>
      <c r="E63" s="261">
        <f>'数据-汇总表'!E13</f>
        <v>0</v>
      </c>
      <c r="F63" s="1106">
        <f t="shared" si="14"/>
        <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f t="shared" si="16"/>
        <v>0</v>
      </c>
      <c r="C64" s="200">
        <f t="shared" si="15"/>
        <v>0</v>
      </c>
      <c r="D64" s="1167">
        <v>0.25</v>
      </c>
      <c r="E64" s="261">
        <f>'数据-汇总表'!E14</f>
        <v>0</v>
      </c>
      <c r="F64" s="1106">
        <f t="shared" si="14"/>
        <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f t="shared" si="16"/>
        <v>0</v>
      </c>
      <c r="C65" s="200">
        <f t="shared" si="15"/>
        <v>0</v>
      </c>
      <c r="D65" s="1167">
        <v>0.25</v>
      </c>
      <c r="E65" s="261">
        <f>'数据-汇总表'!E15</f>
        <v>0</v>
      </c>
      <c r="F65" s="1106">
        <f t="shared" si="14"/>
        <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18849.45</v>
      </c>
      <c r="F66" s="697">
        <f>IF(B46="楼面地价",SUM(F56:F65),ROUND(C48*E66/10000,0))</f>
        <v>12139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97</v>
      </c>
      <c r="E81" s="544">
        <f t="shared" si="20"/>
        <v>94</v>
      </c>
      <c r="F81" s="544">
        <f t="shared" si="20"/>
        <v>91</v>
      </c>
      <c r="G81" s="544">
        <f t="shared" si="20"/>
        <v>88</v>
      </c>
      <c r="H81" s="544">
        <f t="shared" si="20"/>
        <v>85</v>
      </c>
      <c r="I81" s="544">
        <f t="shared" si="20"/>
        <v>82</v>
      </c>
      <c r="J81" s="544">
        <f t="shared" si="20"/>
        <v>79</v>
      </c>
      <c r="K81" s="544">
        <f t="shared" si="20"/>
        <v>76</v>
      </c>
      <c r="L81" s="544">
        <f t="shared" si="20"/>
        <v>73</v>
      </c>
      <c r="M81" s="544">
        <f t="shared" si="20"/>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2689</v>
      </c>
      <c r="C106" s="2982" t="s">
        <v>3301</v>
      </c>
      <c r="D106" s="2982" t="s">
        <v>3303</v>
      </c>
      <c r="E106" s="2982" t="s">
        <v>3304</v>
      </c>
      <c r="F106" s="2982" t="s">
        <v>3306</v>
      </c>
      <c r="G106" s="2982" t="s">
        <v>3307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2983" t="s">
        <v>3308</v>
      </c>
      <c r="D119" s="2983" t="s">
        <v>3310</v>
      </c>
      <c r="E119" s="2983" t="s">
        <v>3311</v>
      </c>
      <c r="F119" s="2983" t="s">
        <v>3312</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2791</v>
      </c>
      <c r="C123" s="2982" t="s">
        <v>3313</v>
      </c>
      <c r="D123" s="2982" t="s">
        <v>3315</v>
      </c>
      <c r="E123" s="2982" t="s">
        <v>3317</v>
      </c>
      <c r="F123" s="2982" t="s">
        <v>3318</v>
      </c>
      <c r="G123" s="2982" t="s">
        <v>3320</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-401</v>
      </c>
      <c r="C2" s="320" t="s">
        <v>2458</v>
      </c>
      <c r="D2" s="320"/>
      <c r="E2" s="320"/>
      <c r="F2" s="320"/>
      <c r="G2" s="320"/>
      <c r="H2" s="320"/>
      <c r="I2" s="320"/>
      <c r="J2" s="320"/>
      <c r="K2" s="320"/>
    </row>
    <row r="3" spans="1:33" ht="18" customHeight="1" thickBot="1">
      <c r="A3" s="247" t="s">
        <v>2327</v>
      </c>
      <c r="B3" s="248">
        <f ca="1">ROUND(B2*10000/IF(C1="",'数据-汇总表'!E3,INDIRECT("'数据-取费表'!K"&amp;$K$1)),0)</f>
        <v>-155</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0.05</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25941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25941</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337</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337</v>
      </c>
      <c r="D20" s="1036">
        <f ca="1">IF(C1="",'数据-汇总表'!E6,IF(INDIRECT("'数据-取费表'!c"&amp;$K$1)="住宅",INDIRECT("'数据-取费表'!s"&amp;$K$1),INDIRECT("'数据-取费表'!k"&amp;$K$1)+INDIRECT("'数据-取费表'!s"&amp;$K$1)))</f>
        <v>25941</v>
      </c>
      <c r="E20" s="24">
        <f>'数据-取费表'!B28</f>
        <v>130</v>
      </c>
      <c r="F20" s="979"/>
      <c r="G20" s="15"/>
      <c r="H20" s="984"/>
      <c r="I20" s="984"/>
      <c r="J20" s="984"/>
      <c r="K20" s="985"/>
    </row>
    <row r="21" spans="1:33" s="978" customFormat="1" ht="13.5" customHeight="1">
      <c r="A21" s="964" t="s">
        <v>802</v>
      </c>
      <c r="B21" s="988" t="s">
        <v>2494</v>
      </c>
      <c r="C21" s="989">
        <f ca="1">C16+C17+C18</f>
        <v>337</v>
      </c>
      <c r="D21" s="990"/>
      <c r="E21" s="325"/>
      <c r="F21" s="325"/>
      <c r="G21" s="140" t="s">
        <v>2495</v>
      </c>
      <c r="H21" s="982"/>
      <c r="I21" s="982"/>
      <c r="J21" s="982"/>
      <c r="K21" s="983"/>
    </row>
    <row r="22" spans="1:33" s="978" customFormat="1" ht="13.5" customHeight="1">
      <c r="A22" s="964" t="s">
        <v>2467</v>
      </c>
      <c r="B22" s="988" t="s">
        <v>2496</v>
      </c>
      <c r="C22" s="989">
        <f ca="1">ROUND(C21*F22,0)</f>
        <v>7</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69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69</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-401</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743</v>
      </c>
      <c r="C2" s="2568" t="s">
        <v>2517</v>
      </c>
      <c r="D2" s="2569" t="s">
        <v>2518</v>
      </c>
      <c r="E2" s="2570">
        <f>SUM(E6:E13)</f>
        <v>217.73000000000002</v>
      </c>
    </row>
    <row r="3" spans="1:6" ht="15.75">
      <c r="A3" s="2566" t="s">
        <v>1395</v>
      </c>
      <c r="B3" s="2567">
        <f ca="1">ROUND(B2*10000/E2,0)</f>
        <v>34125</v>
      </c>
      <c r="C3" s="2568" t="s">
        <v>2525</v>
      </c>
      <c r="D3" s="2571"/>
      <c r="E3" s="2572"/>
    </row>
    <row r="4" spans="1:6" ht="15.75">
      <c r="A4" s="2573"/>
      <c r="B4" s="2571"/>
      <c r="C4" s="2571"/>
      <c r="D4" s="2571"/>
      <c r="E4" s="2572"/>
    </row>
    <row r="5" spans="1:6" ht="15">
      <c r="A5" s="2574" t="s">
        <v>2519</v>
      </c>
      <c r="B5" s="3226" t="s">
        <v>2520</v>
      </c>
      <c r="C5" s="3226"/>
      <c r="D5" s="2575"/>
      <c r="E5" s="2576" t="s">
        <v>2521</v>
      </c>
      <c r="F5" s="2577" t="s">
        <v>2522</v>
      </c>
    </row>
    <row r="6" spans="1:6">
      <c r="A6" s="2578" t="str">
        <f>'数据-取费表'!AN6</f>
        <v>收益法 (元)</v>
      </c>
      <c r="B6" s="2577">
        <f ca="1">IF(F6="是",'数据-取费表'!AO6,0)</f>
        <v>743</v>
      </c>
      <c r="C6" s="2568" t="s">
        <v>2517</v>
      </c>
      <c r="D6" s="2571"/>
      <c r="E6" s="2579">
        <f>IF(OR(A6=0,F6="否"),0,'数据-取费表'!K6+'数据-取费表'!S6)</f>
        <v>217.73000000000002</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9" t="s">
        <v>1403</v>
      </c>
      <c r="C6" s="1299">
        <f ca="1">ROUND(F6*F8*F7*(1-F9)/10000,0)</f>
        <v>52</v>
      </c>
      <c r="D6" s="164" t="s">
        <v>3029</v>
      </c>
      <c r="E6" s="347" t="s">
        <v>1405</v>
      </c>
      <c r="F6" s="348">
        <f ca="1">INDIRECT("'数据-取费表'!u"&amp;$G$1)</f>
        <v>10</v>
      </c>
      <c r="G6" s="1853"/>
      <c r="H6" s="1294" t="s">
        <v>1035</v>
      </c>
      <c r="I6" s="3229" t="s">
        <v>1403</v>
      </c>
      <c r="J6" s="346">
        <f ca="1">ROUND(M6*M8*M7*(1-M9)/10000,0)</f>
        <v>0</v>
      </c>
      <c r="K6" s="164" t="s">
        <v>3028</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3038</v>
      </c>
      <c r="E10" s="358" t="s">
        <v>1410</v>
      </c>
      <c r="F10" s="1369"/>
      <c r="G10" s="1853"/>
      <c r="H10" s="1294" t="s">
        <v>1039</v>
      </c>
      <c r="I10" s="1825" t="s">
        <v>1409</v>
      </c>
      <c r="J10" s="346">
        <f ca="1">ROUND(IF(M10="押一",J6/12*M11,IF(M10="押二",J6/12*2*M11,IF(M10="押三",J6/12*3*M11,J11*M11))),0)</f>
        <v>0</v>
      </c>
      <c r="K10" s="1826" t="s">
        <v>3037</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183</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1.54</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183</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1.54</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3030</v>
      </c>
      <c r="E49" s="1832" t="s">
        <v>1491</v>
      </c>
      <c r="F49" s="1284"/>
      <c r="G49" s="1893"/>
      <c r="H49" s="793"/>
      <c r="I49" s="1889" t="s">
        <v>1534</v>
      </c>
      <c r="J49" s="1894">
        <v>2018</v>
      </c>
      <c r="K49" s="1891" t="s">
        <v>1535</v>
      </c>
      <c r="L49" s="1895"/>
      <c r="O49" s="1896" t="s">
        <v>1042</v>
      </c>
      <c r="P49" s="1887" t="s">
        <v>1536</v>
      </c>
      <c r="Q49" s="1888">
        <f ca="1">C29</f>
        <v>183</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408</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3037</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183</v>
      </c>
      <c r="D56" s="1916"/>
      <c r="E56" s="1917"/>
      <c r="F56" s="1909"/>
      <c r="I56" s="1918" t="s">
        <v>1554</v>
      </c>
      <c r="J56" s="1919" t="s">
        <v>3069</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1.54</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408</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28</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183</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0.63600000000000001</v>
      </c>
    </row>
    <row r="80" spans="1:18">
      <c r="B80" s="386" t="s">
        <v>1511</v>
      </c>
      <c r="C80" s="318">
        <f ca="1">ROUND(C75/C39,3)</f>
        <v>0.36399999999999999</v>
      </c>
    </row>
    <row r="81" spans="2:3">
      <c r="B81" s="314" t="s">
        <v>1512</v>
      </c>
      <c r="C81" s="282"/>
    </row>
    <row r="82" spans="2:3">
      <c r="B82" s="317" t="s">
        <v>1513</v>
      </c>
      <c r="C82" s="319">
        <f ca="1">1-C83</f>
        <v>0.77900000000000003</v>
      </c>
    </row>
    <row r="83" spans="2:3">
      <c r="B83" s="317" t="s">
        <v>1514</v>
      </c>
      <c r="C83" s="318">
        <f ca="1">ROUND(C13/C40,3)</f>
        <v>0.221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1" sqref="C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743</v>
      </c>
      <c r="C2" s="1847" t="s">
        <v>1591</v>
      </c>
      <c r="D2" s="1940">
        <f ca="1">C40+J29+L46</f>
        <v>7429299</v>
      </c>
      <c r="E2" s="1848" t="s">
        <v>1592</v>
      </c>
      <c r="F2" s="1849"/>
      <c r="G2" s="1850"/>
      <c r="H2" s="1842"/>
      <c r="I2" s="1842"/>
      <c r="J2" s="1842"/>
      <c r="K2" s="1843"/>
      <c r="L2" s="1842"/>
      <c r="M2" s="1842"/>
    </row>
    <row r="3" spans="1:37" ht="18" customHeight="1" thickBot="1">
      <c r="A3" s="1851" t="s">
        <v>1593</v>
      </c>
      <c r="B3" s="1852">
        <f ca="1">IF(ISERROR(D2/F43),0,ROUND(D2/F43,0))</f>
        <v>46958</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9" t="s">
        <v>1403</v>
      </c>
      <c r="C6" s="1299">
        <f ca="1">ROUND(F6*F8*F7*(1-F9),0)</f>
        <v>519720</v>
      </c>
      <c r="D6" s="164" t="s">
        <v>3026</v>
      </c>
      <c r="E6" s="347" t="s">
        <v>1405</v>
      </c>
      <c r="F6" s="348">
        <f ca="1">INDIRECT("'数据-取费表'!u"&amp;$G$1)</f>
        <v>10</v>
      </c>
      <c r="G6" s="1853"/>
      <c r="H6" s="1294" t="s">
        <v>1035</v>
      </c>
      <c r="I6" s="3229" t="s">
        <v>1403</v>
      </c>
      <c r="J6" s="346">
        <f ca="1">ROUND(M6*M8*M7*(1-M9),0)</f>
        <v>0</v>
      </c>
      <c r="K6" s="1836" t="s">
        <v>3027</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3037</v>
      </c>
      <c r="E10" s="358" t="s">
        <v>1410</v>
      </c>
      <c r="F10" s="1369" t="s">
        <v>3122</v>
      </c>
      <c r="G10" s="1853"/>
      <c r="H10" s="1294" t="s">
        <v>1039</v>
      </c>
      <c r="I10" s="1825" t="s">
        <v>1409</v>
      </c>
      <c r="J10" s="346">
        <f ca="1">ROUND(IF(M10="押一",J6/12*M11,IF(M10="押二",J6/12*2*M11,IF(M10="押三",J6/12*3*M11,J11*M11))),0)</f>
        <v>0</v>
      </c>
      <c r="K10" s="1837" t="s">
        <v>3039</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1822926</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1822926</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42866</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15522</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15313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27344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93853</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-42866</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1822926</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125688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3117</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27344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2734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394682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7429299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46958</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-10881775</v>
      </c>
      <c r="D45" s="1942" t="s">
        <v>1604</v>
      </c>
      <c r="E45" s="1868"/>
      <c r="F45" s="1868"/>
      <c r="O45" s="1871" t="s">
        <v>1519</v>
      </c>
      <c r="P45" s="1841"/>
      <c r="Q45" s="1841"/>
      <c r="R45" s="1841"/>
    </row>
    <row r="46" spans="1:18" s="1844" customFormat="1" ht="13.5" thickBot="1">
      <c r="A46" s="1872" t="s">
        <v>1520</v>
      </c>
      <c r="C46" s="1873">
        <f ca="1">ROUND(C45/10000,0)</f>
        <v>-1088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7429299</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1822926</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3434638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7429299</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1822926</v>
      </c>
      <c r="D56" s="1916"/>
      <c r="E56" s="1917"/>
      <c r="F56" s="1909"/>
      <c r="I56" s="1918" t="s">
        <v>1554</v>
      </c>
      <c r="J56" s="1919" t="s">
        <v>3069</v>
      </c>
      <c r="K56" s="1889" t="s">
        <v>1555</v>
      </c>
      <c r="L56" s="1892" t="str">
        <f ca="1">IF(L48&lt;J51,"——",L48-J51)</f>
        <v>——</v>
      </c>
      <c r="O56" s="1886" t="s">
        <v>1040</v>
      </c>
      <c r="P56" s="1887" t="s">
        <v>1528</v>
      </c>
      <c r="Q56" s="1888">
        <f ca="1">C40+J29</f>
        <v>7429299</v>
      </c>
      <c r="R56" s="1888" t="s">
        <v>1529</v>
      </c>
    </row>
    <row r="57" spans="1:18" s="1844" customFormat="1" ht="24.75" thickBot="1">
      <c r="A57" s="1920"/>
      <c r="B57" s="1172" t="s">
        <v>1478</v>
      </c>
      <c r="C57" s="282">
        <f ca="1">C29</f>
        <v>1822926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183413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153335</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153126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7429299</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27344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2734</v>
      </c>
      <c r="D65" s="1186" t="s">
        <v>1454</v>
      </c>
      <c r="E65" s="1172" t="s">
        <v>1455</v>
      </c>
      <c r="F65" s="376">
        <f t="shared" ca="1" si="0"/>
        <v>1.5E-3</v>
      </c>
      <c r="I65" s="1931" t="s">
        <v>1579</v>
      </c>
      <c r="J65" s="1932">
        <v>40</v>
      </c>
      <c r="K65" s="1932">
        <v>30</v>
      </c>
      <c r="L65" s="1932">
        <v>50</v>
      </c>
      <c r="M65" s="1934">
        <v>0.02</v>
      </c>
      <c r="O65" s="1886" t="s">
        <v>1040</v>
      </c>
      <c r="P65" s="1887" t="s">
        <v>1580</v>
      </c>
      <c r="Q65" s="1888">
        <f ca="1">C40+J29</f>
        <v>7429299</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-183413</v>
      </c>
      <c r="D67" s="1185" t="s">
        <v>1464</v>
      </c>
      <c r="E67" s="1190"/>
      <c r="F67" s="1191"/>
      <c r="O67" s="1896" t="s">
        <v>1042</v>
      </c>
      <c r="P67" s="1887" t="s">
        <v>1562</v>
      </c>
      <c r="Q67" s="1935">
        <f ca="1">L51</f>
        <v>3434638</v>
      </c>
      <c r="R67" s="1888" t="s">
        <v>1582</v>
      </c>
    </row>
    <row r="68" spans="1:18" s="1844" customFormat="1" ht="16.5" thickBot="1">
      <c r="A68" s="1169" t="s">
        <v>1032</v>
      </c>
      <c r="B68" s="1170" t="s">
        <v>1485</v>
      </c>
      <c r="C68" s="346">
        <f ca="1">ROUND(C67*(1-((1+F70)/(1+F68))^F69)/(F68-F70),0)</f>
        <v>-3452476</v>
      </c>
      <c r="D68" s="1187" t="s">
        <v>1469</v>
      </c>
      <c r="E68" s="1172" t="s">
        <v>1470</v>
      </c>
      <c r="F68" s="357">
        <f ca="1">F40</f>
        <v>0.06</v>
      </c>
      <c r="O68" s="1896" t="s">
        <v>1043</v>
      </c>
      <c r="P68" s="1936" t="s">
        <v>1583</v>
      </c>
      <c r="Q68" s="1888">
        <f ca="1">ROUND(Q69-Q70*Q71,0)</f>
        <v>239733</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394682</v>
      </c>
      <c r="R69" s="1888" t="s">
        <v>1529</v>
      </c>
    </row>
    <row r="70" spans="1:18" s="1844" customFormat="1" ht="13.5" thickBot="1">
      <c r="A70" s="1176"/>
      <c r="B70" s="1177"/>
      <c r="C70" s="355"/>
      <c r="D70" s="1188"/>
      <c r="E70" s="1172" t="s">
        <v>1477</v>
      </c>
      <c r="F70" s="1278">
        <f ca="1">F42</f>
        <v>0.03</v>
      </c>
      <c r="O70" s="1896" t="s">
        <v>1049</v>
      </c>
      <c r="P70" s="1936" t="s">
        <v>1585</v>
      </c>
      <c r="Q70" s="1888">
        <f ca="1">C13</f>
        <v>1822926</v>
      </c>
      <c r="R70" s="1888" t="s">
        <v>1529</v>
      </c>
    </row>
    <row r="71" spans="1:18" s="1844" customFormat="1" ht="13.5" thickBot="1">
      <c r="A71" s="1193" t="s">
        <v>1033</v>
      </c>
      <c r="B71" s="1194" t="s">
        <v>1487</v>
      </c>
      <c r="C71" s="382">
        <f ca="1">ROUND(C68/F71,0)</f>
        <v>-21822</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154949</v>
      </c>
      <c r="D75" s="1844"/>
      <c r="E75" s="1844"/>
      <c r="F75" s="1844"/>
      <c r="K75" s="1870"/>
      <c r="L75" s="1844"/>
      <c r="O75" s="1886" t="s">
        <v>1046</v>
      </c>
      <c r="P75" s="1887" t="s">
        <v>1549</v>
      </c>
      <c r="Q75" s="1888">
        <f ca="1">Q65+Q66</f>
        <v>7429299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0.60699999999999998</v>
      </c>
    </row>
    <row r="80" spans="1:18">
      <c r="B80" s="386" t="s">
        <v>1511</v>
      </c>
      <c r="C80" s="318">
        <f ca="1">ROUND(C75/C39,3)</f>
        <v>0.39300000000000002</v>
      </c>
    </row>
    <row r="81" spans="2:3">
      <c r="B81" s="314" t="s">
        <v>1512</v>
      </c>
      <c r="C81" s="282"/>
    </row>
    <row r="82" spans="2:3">
      <c r="B82" s="317" t="s">
        <v>1513</v>
      </c>
      <c r="C82" s="319">
        <f ca="1">1-C83</f>
        <v>0.755</v>
      </c>
    </row>
    <row r="83" spans="2:3">
      <c r="B83" s="317" t="s">
        <v>1514</v>
      </c>
      <c r="C83" s="318">
        <f ca="1">ROUND(C13/C40,3)</f>
        <v>0.245</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2" t="s">
        <v>1076</v>
      </c>
      <c r="B1" s="3233"/>
      <c r="C1" s="3234"/>
      <c r="D1" s="3235">
        <f>SUM(I10,I15,I20,I21,I23)</f>
        <v>0</v>
      </c>
      <c r="E1" s="3235"/>
      <c r="F1" s="3235"/>
      <c r="G1" s="3235"/>
      <c r="H1" s="3235"/>
      <c r="I1" s="3236"/>
    </row>
    <row r="2" spans="1:9">
      <c r="A2" s="3237" t="s">
        <v>1077</v>
      </c>
      <c r="B2" s="3238" t="s">
        <v>1078</v>
      </c>
      <c r="C2" s="3238"/>
      <c r="D2" s="1304" t="s">
        <v>1079</v>
      </c>
      <c r="E2" s="1304" t="s">
        <v>1080</v>
      </c>
      <c r="F2" s="1304" t="s">
        <v>1081</v>
      </c>
      <c r="G2" s="1304" t="s">
        <v>1082</v>
      </c>
      <c r="H2" s="1304" t="s">
        <v>1083</v>
      </c>
      <c r="I2" s="1305" t="s">
        <v>1084</v>
      </c>
    </row>
    <row r="3" spans="1:9">
      <c r="A3" s="3237"/>
      <c r="B3" s="3238" t="s">
        <v>1085</v>
      </c>
      <c r="C3" s="3238"/>
      <c r="D3" s="1306"/>
      <c r="E3" s="1304"/>
      <c r="F3" s="1307"/>
      <c r="G3" s="1307"/>
      <c r="H3" s="1308"/>
      <c r="I3" s="1309">
        <f>ROUND(D3*E3*F3*G3*H3/10000,0)</f>
        <v>0</v>
      </c>
    </row>
    <row r="4" spans="1:9">
      <c r="A4" s="3237"/>
      <c r="B4" s="3238" t="s">
        <v>1086</v>
      </c>
      <c r="C4" s="3238"/>
      <c r="D4" s="1306"/>
      <c r="E4" s="1304"/>
      <c r="F4" s="1307"/>
      <c r="G4" s="1307"/>
      <c r="H4" s="1308"/>
      <c r="I4" s="1309">
        <f t="shared" ref="I4:I9" si="0">ROUND(D4*E4*F4*G4*H4/10000,0)</f>
        <v>0</v>
      </c>
    </row>
    <row r="5" spans="1:9">
      <c r="A5" s="3237"/>
      <c r="B5" s="3238" t="s">
        <v>1087</v>
      </c>
      <c r="C5" s="3238"/>
      <c r="D5" s="1306"/>
      <c r="E5" s="1304"/>
      <c r="F5" s="1307"/>
      <c r="G5" s="1307"/>
      <c r="H5" s="1308"/>
      <c r="I5" s="1309">
        <f t="shared" si="0"/>
        <v>0</v>
      </c>
    </row>
    <row r="6" spans="1:9">
      <c r="A6" s="3237"/>
      <c r="B6" s="3238" t="s">
        <v>1088</v>
      </c>
      <c r="C6" s="3238"/>
      <c r="D6" s="1306"/>
      <c r="E6" s="1304"/>
      <c r="F6" s="1307"/>
      <c r="G6" s="1307"/>
      <c r="H6" s="1308"/>
      <c r="I6" s="1309">
        <f t="shared" si="0"/>
        <v>0</v>
      </c>
    </row>
    <row r="7" spans="1:9">
      <c r="A7" s="3237"/>
      <c r="B7" s="3238" t="s">
        <v>1089</v>
      </c>
      <c r="C7" s="3238"/>
      <c r="D7" s="1306"/>
      <c r="E7" s="1304"/>
      <c r="F7" s="1307"/>
      <c r="G7" s="1307"/>
      <c r="H7" s="1308"/>
      <c r="I7" s="1309">
        <f t="shared" si="0"/>
        <v>0</v>
      </c>
    </row>
    <row r="8" spans="1:9">
      <c r="A8" s="3237"/>
      <c r="B8" s="3238" t="s">
        <v>1090</v>
      </c>
      <c r="C8" s="3238"/>
      <c r="D8" s="1306"/>
      <c r="E8" s="1304"/>
      <c r="F8" s="1307"/>
      <c r="G8" s="1307"/>
      <c r="H8" s="1308"/>
      <c r="I8" s="1309">
        <f t="shared" si="0"/>
        <v>0</v>
      </c>
    </row>
    <row r="9" spans="1:9">
      <c r="A9" s="3237"/>
      <c r="B9" s="3238" t="s">
        <v>1091</v>
      </c>
      <c r="C9" s="3238"/>
      <c r="D9" s="1306"/>
      <c r="E9" s="1304"/>
      <c r="F9" s="1307"/>
      <c r="G9" s="1307"/>
      <c r="H9" s="1308"/>
      <c r="I9" s="1309">
        <f t="shared" si="0"/>
        <v>0</v>
      </c>
    </row>
    <row r="10" spans="1:9">
      <c r="A10" s="3237"/>
      <c r="B10" s="3239" t="s">
        <v>1092</v>
      </c>
      <c r="C10" s="3239"/>
      <c r="D10" s="1310"/>
      <c r="E10" s="1310" t="e">
        <f>ROUND(D1*10000/D10/H9,0)</f>
        <v>#DIV/0!</v>
      </c>
      <c r="F10" s="1311"/>
      <c r="G10" s="1311"/>
      <c r="H10" s="1312"/>
      <c r="I10" s="1313">
        <f>SUM(I3:I9)</f>
        <v>0</v>
      </c>
    </row>
    <row r="11" spans="1:9" ht="14.25">
      <c r="A11" s="3237" t="s">
        <v>1093</v>
      </c>
      <c r="B11" s="3238" t="s">
        <v>1094</v>
      </c>
      <c r="C11" s="3238"/>
      <c r="D11" s="1306" t="s">
        <v>1095</v>
      </c>
      <c r="E11" s="1306" t="s">
        <v>1096</v>
      </c>
      <c r="F11" s="1307" t="s">
        <v>1097</v>
      </c>
      <c r="G11" s="1307" t="s">
        <v>1083</v>
      </c>
      <c r="H11" s="1314" t="s">
        <v>1098</v>
      </c>
      <c r="I11" s="1305" t="s">
        <v>1084</v>
      </c>
    </row>
    <row r="12" spans="1:9">
      <c r="A12" s="3237"/>
      <c r="B12" s="3238" t="s">
        <v>1099</v>
      </c>
      <c r="C12" s="3238"/>
      <c r="D12" s="1306"/>
      <c r="E12" s="1306"/>
      <c r="F12" s="1307"/>
      <c r="G12" s="1308"/>
      <c r="H12" s="1315"/>
      <c r="I12" s="1305">
        <f>ROUND(D12*E12*F12*G12/10000,0)</f>
        <v>0</v>
      </c>
    </row>
    <row r="13" spans="1:9">
      <c r="A13" s="3237"/>
      <c r="B13" s="3238" t="s">
        <v>1100</v>
      </c>
      <c r="C13" s="3238"/>
      <c r="D13" s="1306"/>
      <c r="E13" s="1306"/>
      <c r="F13" s="1307"/>
      <c r="G13" s="1308"/>
      <c r="H13" s="1315"/>
      <c r="I13" s="1305">
        <f>ROUND(D13*E13*F13*G13/10000,0)</f>
        <v>0</v>
      </c>
    </row>
    <row r="14" spans="1:9">
      <c r="A14" s="3237"/>
      <c r="B14" s="3238" t="s">
        <v>1101</v>
      </c>
      <c r="C14" s="3238"/>
      <c r="D14" s="1306"/>
      <c r="E14" s="1306"/>
      <c r="F14" s="1307"/>
      <c r="G14" s="1308"/>
      <c r="H14" s="1315"/>
      <c r="I14" s="1305">
        <f>ROUND(D14*E14*F14*G14/10000,0)</f>
        <v>0</v>
      </c>
    </row>
    <row r="15" spans="1:9">
      <c r="A15" s="3237"/>
      <c r="B15" s="3239" t="s">
        <v>1092</v>
      </c>
      <c r="C15" s="3239"/>
      <c r="D15" s="1310"/>
      <c r="E15" s="1310">
        <f>SUM(E12:E14)</f>
        <v>0</v>
      </c>
      <c r="F15" s="1311"/>
      <c r="G15" s="1308"/>
      <c r="H15" s="1315"/>
      <c r="I15" s="1316">
        <f>SUM(I12:I14)</f>
        <v>0</v>
      </c>
    </row>
    <row r="16" spans="1:9" ht="24">
      <c r="A16" s="3237" t="s">
        <v>1102</v>
      </c>
      <c r="B16" s="3238" t="s">
        <v>1103</v>
      </c>
      <c r="C16" s="3238"/>
      <c r="D16" s="1306" t="s">
        <v>1079</v>
      </c>
      <c r="E16" s="1317" t="s">
        <v>1104</v>
      </c>
      <c r="F16" s="1307" t="s">
        <v>1105</v>
      </c>
      <c r="G16" s="1308" t="s">
        <v>1083</v>
      </c>
      <c r="H16" s="1314" t="s">
        <v>1098</v>
      </c>
      <c r="I16" s="1305" t="s">
        <v>1084</v>
      </c>
    </row>
    <row r="17" spans="1:9" ht="14.25">
      <c r="A17" s="3237"/>
      <c r="B17" s="3238" t="s">
        <v>1106</v>
      </c>
      <c r="C17" s="3238"/>
      <c r="D17" s="1306"/>
      <c r="E17" s="1306"/>
      <c r="F17" s="1307"/>
      <c r="G17" s="1308"/>
      <c r="H17" s="1318"/>
      <c r="I17" s="1319">
        <f>ROUND(D17*E17*F17*G17/10000,0)</f>
        <v>0</v>
      </c>
    </row>
    <row r="18" spans="1:9" ht="14.25">
      <c r="A18" s="3237"/>
      <c r="B18" s="3238" t="s">
        <v>1107</v>
      </c>
      <c r="C18" s="3238"/>
      <c r="D18" s="1306"/>
      <c r="E18" s="1306"/>
      <c r="F18" s="1307"/>
      <c r="G18" s="1308"/>
      <c r="H18" s="1318"/>
      <c r="I18" s="1319">
        <f>ROUND(D18*E18*F18*G18/10000,0)</f>
        <v>0</v>
      </c>
    </row>
    <row r="19" spans="1:9" ht="14.25">
      <c r="A19" s="3237"/>
      <c r="B19" s="3238" t="s">
        <v>1108</v>
      </c>
      <c r="C19" s="3238"/>
      <c r="D19" s="1306"/>
      <c r="E19" s="1306"/>
      <c r="F19" s="1307"/>
      <c r="G19" s="1308"/>
      <c r="H19" s="1318"/>
      <c r="I19" s="1319">
        <f>ROUND(D19*E19*F19*G19/10000,0)</f>
        <v>0</v>
      </c>
    </row>
    <row r="20" spans="1:9">
      <c r="A20" s="3237"/>
      <c r="B20" s="3239" t="s">
        <v>1092</v>
      </c>
      <c r="C20" s="3239"/>
      <c r="D20" s="1310">
        <f>SUM(D17:D19)</f>
        <v>0</v>
      </c>
      <c r="E20" s="1310"/>
      <c r="F20" s="1311"/>
      <c r="G20" s="1308"/>
      <c r="H20" s="1315"/>
      <c r="I20" s="1316">
        <f>SUM(I17:I19)</f>
        <v>0</v>
      </c>
    </row>
    <row r="21" spans="1:9">
      <c r="A21" s="3237" t="s">
        <v>1109</v>
      </c>
      <c r="B21" s="3241"/>
      <c r="C21" s="3241"/>
      <c r="D21" s="3241"/>
      <c r="E21" s="3241"/>
      <c r="F21" s="3241"/>
      <c r="G21" s="3241"/>
      <c r="H21" s="1767">
        <v>0.1</v>
      </c>
      <c r="I21" s="1313">
        <f>ROUND(I10*H21,0)</f>
        <v>0</v>
      </c>
    </row>
    <row r="22" spans="1:9" ht="14.25">
      <c r="A22" s="3242" t="s">
        <v>1110</v>
      </c>
      <c r="B22" s="3243"/>
      <c r="C22" s="3244"/>
      <c r="D22" s="1320" t="s">
        <v>1111</v>
      </c>
      <c r="E22" s="1320" t="s">
        <v>1112</v>
      </c>
      <c r="F22" s="1321" t="s">
        <v>1113</v>
      </c>
      <c r="G22" s="1321" t="s">
        <v>1114</v>
      </c>
      <c r="H22" s="1314" t="s">
        <v>1115</v>
      </c>
      <c r="I22" s="1305" t="s">
        <v>1116</v>
      </c>
    </row>
    <row r="23" spans="1:9" ht="14.25" thickBot="1">
      <c r="A23" s="3245"/>
      <c r="B23" s="3246"/>
      <c r="C23" s="3247"/>
      <c r="D23" s="1322"/>
      <c r="E23" s="1322"/>
      <c r="F23" s="1322"/>
      <c r="G23" s="1323"/>
      <c r="H23" s="1324"/>
      <c r="I23" s="1325">
        <f>ROUND(E23*D23*F23*(1-G23)/10000,0)</f>
        <v>0</v>
      </c>
    </row>
    <row r="26" spans="1:9">
      <c r="A26" s="1326" t="s">
        <v>1117</v>
      </c>
      <c r="B26" s="1326"/>
      <c r="C26" s="1326"/>
      <c r="D26" s="1326"/>
      <c r="E26" s="3248">
        <f>C27-C30-C31-C32</f>
        <v>0</v>
      </c>
      <c r="F26" s="3248"/>
      <c r="G26" s="3248"/>
      <c r="H26" s="1739" t="s">
        <v>1340</v>
      </c>
    </row>
    <row r="27" spans="1:9">
      <c r="A27" s="1327">
        <v>1</v>
      </c>
      <c r="B27" s="1328" t="s">
        <v>1118</v>
      </c>
      <c r="C27" s="1328">
        <f>C28+C29</f>
        <v>0</v>
      </c>
      <c r="D27" s="1328"/>
      <c r="E27" s="3249"/>
      <c r="F27" s="3249"/>
      <c r="G27" s="3249"/>
    </row>
    <row r="28" spans="1:9">
      <c r="A28" s="1329" t="s">
        <v>1119</v>
      </c>
      <c r="B28" s="1328" t="s">
        <v>1120</v>
      </c>
      <c r="C28" s="1328"/>
      <c r="D28" s="1328"/>
      <c r="E28" s="3249"/>
      <c r="F28" s="3249"/>
      <c r="G28" s="324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0"/>
      <c r="F32" s="3240"/>
      <c r="G32" s="3240"/>
    </row>
    <row r="33" spans="1:7" hidden="1">
      <c r="A33" s="3250" t="s">
        <v>1129</v>
      </c>
      <c r="B33" s="3251"/>
      <c r="C33" s="3251"/>
      <c r="D33" s="3252"/>
      <c r="E33" s="3248"/>
      <c r="F33" s="3248"/>
      <c r="G33" s="3248"/>
    </row>
    <row r="34" spans="1:7" hidden="1">
      <c r="A34" s="1331">
        <v>1</v>
      </c>
      <c r="B34" s="1328" t="s">
        <v>1130</v>
      </c>
      <c r="C34" s="1328"/>
      <c r="D34" s="1328"/>
      <c r="E34" s="3249"/>
      <c r="F34" s="3249"/>
      <c r="G34" s="3249"/>
    </row>
    <row r="35" spans="1:7" hidden="1">
      <c r="A35" s="1331">
        <v>2</v>
      </c>
      <c r="B35" s="1328" t="s">
        <v>1131</v>
      </c>
      <c r="C35" s="1328"/>
      <c r="D35" s="1328"/>
      <c r="E35" s="3249"/>
      <c r="F35" s="3249"/>
      <c r="G35" s="3249"/>
    </row>
    <row r="36" spans="1:7" hidden="1">
      <c r="A36" s="1331">
        <v>3</v>
      </c>
      <c r="B36" s="1328" t="s">
        <v>1132</v>
      </c>
      <c r="C36" s="1328"/>
      <c r="D36" s="1328"/>
      <c r="E36" s="3249"/>
      <c r="F36" s="3249"/>
      <c r="G36" s="3249"/>
    </row>
    <row r="37" spans="1:7" hidden="1">
      <c r="A37" s="1331">
        <v>4</v>
      </c>
      <c r="B37" s="1328" t="s">
        <v>1133</v>
      </c>
      <c r="C37" s="1328"/>
      <c r="D37" s="1328"/>
      <c r="E37" s="3249"/>
      <c r="F37" s="3249"/>
      <c r="G37" s="3249"/>
    </row>
    <row r="38" spans="1:7" hidden="1">
      <c r="A38" s="3250" t="s">
        <v>1134</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201" t="s">
        <v>2534</v>
      </c>
      <c r="D4" s="3202"/>
      <c r="E4" s="3203" t="s">
        <v>2535</v>
      </c>
      <c r="F4" s="3204"/>
      <c r="G4" s="3201" t="s">
        <v>2536</v>
      </c>
      <c r="H4" s="3202"/>
      <c r="I4" s="3201" t="s">
        <v>2537</v>
      </c>
      <c r="J4" s="3202"/>
      <c r="K4" s="2598" t="s">
        <v>2538</v>
      </c>
      <c r="L4" s="1133"/>
      <c r="M4" s="1134"/>
      <c r="N4" s="1134"/>
      <c r="O4" s="1134"/>
      <c r="P4" s="3205" t="s">
        <v>2539</v>
      </c>
      <c r="Q4" s="3206"/>
      <c r="R4" s="3187" t="s">
        <v>2535</v>
      </c>
      <c r="S4" s="3188"/>
      <c r="T4" s="3187" t="s">
        <v>2536</v>
      </c>
      <c r="U4" s="3188"/>
      <c r="V4" s="3213" t="s">
        <v>2537</v>
      </c>
      <c r="W4" s="3213"/>
      <c r="X4" s="1815"/>
      <c r="Y4" s="3187" t="s">
        <v>2539</v>
      </c>
      <c r="Z4" s="3188"/>
      <c r="AA4" s="3182" t="s">
        <v>2535</v>
      </c>
      <c r="AB4" s="3182" t="s">
        <v>2536</v>
      </c>
      <c r="AC4" s="3182" t="s">
        <v>2537</v>
      </c>
    </row>
    <row r="5" spans="1:29" ht="15">
      <c r="A5" s="404"/>
      <c r="B5" s="405"/>
      <c r="C5" s="3193" t="s">
        <v>2540</v>
      </c>
      <c r="D5" s="3194"/>
      <c r="E5" s="3191" t="s">
        <v>2541</v>
      </c>
      <c r="F5" s="3192"/>
      <c r="G5" s="3193" t="s">
        <v>2542</v>
      </c>
      <c r="H5" s="3194"/>
      <c r="I5" s="3193" t="s">
        <v>2543</v>
      </c>
      <c r="J5" s="3194"/>
      <c r="K5" s="2599"/>
      <c r="L5" s="1133"/>
      <c r="M5" s="1134"/>
      <c r="N5" s="1134"/>
      <c r="O5" s="1134"/>
      <c r="P5" s="3207"/>
      <c r="Q5" s="3208"/>
      <c r="R5" s="3189"/>
      <c r="S5" s="3190"/>
      <c r="T5" s="3189"/>
      <c r="U5" s="3190"/>
      <c r="V5" s="3213"/>
      <c r="W5" s="3213"/>
      <c r="X5" s="1815"/>
      <c r="Y5" s="3189"/>
      <c r="Z5" s="3190"/>
      <c r="AA5" s="3183"/>
      <c r="AB5" s="3183"/>
      <c r="AC5" s="3183"/>
    </row>
    <row r="6" spans="1:29" ht="15.75" thickBot="1">
      <c r="A6" s="406"/>
      <c r="B6" s="407"/>
      <c r="C6" s="3195" t="s">
        <v>2544</v>
      </c>
      <c r="D6" s="3196"/>
      <c r="E6" s="3253" t="s">
        <v>2544</v>
      </c>
      <c r="F6" s="3198"/>
      <c r="G6" s="3195" t="s">
        <v>2544</v>
      </c>
      <c r="H6" s="3196"/>
      <c r="I6" s="3195" t="s">
        <v>2544</v>
      </c>
      <c r="J6" s="3196"/>
      <c r="K6" s="2599" t="s">
        <v>2545</v>
      </c>
      <c r="L6" s="1133"/>
      <c r="M6" s="1134"/>
      <c r="N6" s="1134"/>
      <c r="O6" s="1134"/>
      <c r="P6" s="3209"/>
      <c r="Q6" s="3210"/>
      <c r="R6" s="3189"/>
      <c r="S6" s="3190"/>
      <c r="T6" s="3211"/>
      <c r="U6" s="3212"/>
      <c r="V6" s="3213"/>
      <c r="W6" s="3213"/>
      <c r="X6" s="1815"/>
      <c r="Y6" s="3211"/>
      <c r="Z6" s="3212"/>
      <c r="AA6" s="3184"/>
      <c r="AB6" s="3184"/>
      <c r="AC6" s="3184"/>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5" t="s">
        <v>2547</v>
      </c>
      <c r="Q7" s="3214"/>
      <c r="R7" s="770" t="s">
        <v>23</v>
      </c>
      <c r="S7" s="771">
        <f t="shared" ref="S7:S15" si="0">F7</f>
        <v>0</v>
      </c>
      <c r="T7" s="770" t="s">
        <v>23</v>
      </c>
      <c r="U7" s="771">
        <f t="shared" ref="U7:U15" si="1">H7</f>
        <v>0</v>
      </c>
      <c r="V7" s="770" t="s">
        <v>23</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5" t="s">
        <v>2550</v>
      </c>
      <c r="Q8" s="3186"/>
      <c r="R8" s="770" t="s">
        <v>23</v>
      </c>
      <c r="S8" s="771">
        <f t="shared" si="0"/>
        <v>0</v>
      </c>
      <c r="T8" s="770" t="s">
        <v>23</v>
      </c>
      <c r="U8" s="771">
        <f t="shared" si="1"/>
        <v>0</v>
      </c>
      <c r="V8" s="770" t="s">
        <v>23</v>
      </c>
      <c r="W8" s="771">
        <f t="shared" si="2"/>
        <v>0</v>
      </c>
      <c r="X8" s="772"/>
      <c r="Y8" s="3185" t="s">
        <v>2550</v>
      </c>
      <c r="Z8" s="318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24"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4"/>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4"/>
      <c r="Q11" s="1797"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4"/>
      <c r="Q12" s="1797">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4"/>
      <c r="Q13" s="1797">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4"/>
      <c r="Q14" s="1797">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15">
      <c r="A15" s="440" t="s">
        <v>2557</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0" t="s">
        <v>2558</v>
      </c>
      <c r="Q15" s="1812" t="str">
        <f t="shared" si="6"/>
        <v>居住社区成熟度</v>
      </c>
      <c r="R15" s="774" t="s">
        <v>21</v>
      </c>
      <c r="S15" s="775">
        <f t="shared" si="0"/>
        <v>100</v>
      </c>
      <c r="T15" s="774" t="s">
        <v>21</v>
      </c>
      <c r="U15" s="775">
        <f t="shared" si="1"/>
        <v>100</v>
      </c>
      <c r="V15" s="774" t="s">
        <v>21</v>
      </c>
      <c r="W15" s="775">
        <f t="shared" si="2"/>
        <v>100</v>
      </c>
      <c r="X15" s="1815"/>
      <c r="Y15" s="3215"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61"/>
      <c r="Q16" s="1812"/>
      <c r="R16" s="774"/>
      <c r="S16" s="775"/>
      <c r="T16" s="774"/>
      <c r="U16" s="775"/>
      <c r="V16" s="774"/>
      <c r="W16" s="775"/>
      <c r="X16" s="1815"/>
      <c r="Y16" s="3216"/>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1"/>
      <c r="Q17" s="1812" t="str">
        <f>B17</f>
        <v>交通便捷度</v>
      </c>
      <c r="R17" s="774" t="s">
        <v>21</v>
      </c>
      <c r="S17" s="775">
        <f>F17</f>
        <v>100</v>
      </c>
      <c r="T17" s="774" t="s">
        <v>21</v>
      </c>
      <c r="U17" s="775">
        <f>H17</f>
        <v>100</v>
      </c>
      <c r="V17" s="774" t="s">
        <v>21</v>
      </c>
      <c r="W17" s="775">
        <f>J17</f>
        <v>100</v>
      </c>
      <c r="X17" s="1815"/>
      <c r="Y17" s="3216"/>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61"/>
      <c r="Q18" s="1812"/>
      <c r="R18" s="774"/>
      <c r="S18" s="775"/>
      <c r="T18" s="774"/>
      <c r="U18" s="775"/>
      <c r="V18" s="774"/>
      <c r="W18" s="775"/>
      <c r="X18" s="1815"/>
      <c r="Y18" s="3216"/>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1"/>
      <c r="Q19" s="1812" t="str">
        <f>B19</f>
        <v>公共配套设施</v>
      </c>
      <c r="R19" s="774" t="s">
        <v>21</v>
      </c>
      <c r="S19" s="775">
        <f>F19</f>
        <v>100</v>
      </c>
      <c r="T19" s="774" t="s">
        <v>21</v>
      </c>
      <c r="U19" s="775">
        <f>H19</f>
        <v>100</v>
      </c>
      <c r="V19" s="774" t="s">
        <v>21</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61"/>
      <c r="Q20" s="1812"/>
      <c r="R20" s="774"/>
      <c r="S20" s="775"/>
      <c r="T20" s="774"/>
      <c r="U20" s="775"/>
      <c r="V20" s="774"/>
      <c r="W20" s="775"/>
      <c r="X20" s="1815"/>
      <c r="Y20" s="3216"/>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61"/>
      <c r="Q22" s="1812"/>
      <c r="R22" s="774"/>
      <c r="S22" s="775"/>
      <c r="T22" s="774"/>
      <c r="U22" s="775"/>
      <c r="V22" s="774"/>
      <c r="W22" s="775"/>
      <c r="X22" s="1815"/>
      <c r="Y22" s="3216"/>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1"/>
      <c r="Q23" s="1812" t="str">
        <f>B23</f>
        <v>自然及人文环境</v>
      </c>
      <c r="R23" s="774" t="s">
        <v>21</v>
      </c>
      <c r="S23" s="775">
        <f>F23</f>
        <v>100</v>
      </c>
      <c r="T23" s="774" t="s">
        <v>21</v>
      </c>
      <c r="U23" s="775">
        <f>H23</f>
        <v>100</v>
      </c>
      <c r="V23" s="774" t="s">
        <v>21</v>
      </c>
      <c r="W23" s="775">
        <f>J23</f>
        <v>100</v>
      </c>
      <c r="X23" s="1815"/>
      <c r="Y23" s="3216"/>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61"/>
      <c r="Q24" s="1812"/>
      <c r="R24" s="774"/>
      <c r="S24" s="775"/>
      <c r="T24" s="774"/>
      <c r="U24" s="775"/>
      <c r="V24" s="774"/>
      <c r="W24" s="775"/>
      <c r="X24" s="1815"/>
      <c r="Y24" s="3216"/>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61"/>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16"/>
      <c r="Z25" s="1816" t="str">
        <f>Q25</f>
        <v>楼层-1</v>
      </c>
      <c r="AA25" s="1813">
        <f t="shared" ref="AA25:AA46" si="12">D25/F25</f>
        <v>1</v>
      </c>
      <c r="AB25" s="1813">
        <f t="shared" ref="AB25:AB46" si="13">D25/H25</f>
        <v>1</v>
      </c>
      <c r="AC25" s="1813">
        <f t="shared" ref="AC25:AC46" si="14">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61"/>
      <c r="Q26" s="1812" t="str">
        <f t="shared" si="8"/>
        <v>朝向</v>
      </c>
      <c r="R26" s="774" t="s">
        <v>21</v>
      </c>
      <c r="S26" s="775">
        <f t="shared" si="9"/>
        <v>100</v>
      </c>
      <c r="T26" s="774" t="s">
        <v>21</v>
      </c>
      <c r="U26" s="775">
        <f t="shared" si="10"/>
        <v>100</v>
      </c>
      <c r="V26" s="774" t="s">
        <v>21</v>
      </c>
      <c r="W26" s="775">
        <f t="shared" si="11"/>
        <v>100</v>
      </c>
      <c r="X26" s="1815"/>
      <c r="Y26" s="3216"/>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61"/>
      <c r="Q27" s="1797">
        <f t="shared" si="8"/>
        <v>111</v>
      </c>
      <c r="R27" s="770" t="s">
        <v>21</v>
      </c>
      <c r="S27" s="771">
        <f t="shared" si="9"/>
        <v>100</v>
      </c>
      <c r="T27" s="770" t="s">
        <v>21</v>
      </c>
      <c r="U27" s="771">
        <f t="shared" si="10"/>
        <v>100</v>
      </c>
      <c r="V27" s="770" t="s">
        <v>21</v>
      </c>
      <c r="W27" s="771">
        <f t="shared" si="11"/>
        <v>100</v>
      </c>
      <c r="X27" s="772"/>
      <c r="Y27" s="3216"/>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61"/>
      <c r="Q28" s="1812">
        <f t="shared" si="8"/>
        <v>111</v>
      </c>
      <c r="R28" s="774" t="s">
        <v>21</v>
      </c>
      <c r="S28" s="775">
        <f t="shared" si="9"/>
        <v>100</v>
      </c>
      <c r="T28" s="774" t="s">
        <v>21</v>
      </c>
      <c r="U28" s="775">
        <f t="shared" si="10"/>
        <v>100</v>
      </c>
      <c r="V28" s="774" t="s">
        <v>21</v>
      </c>
      <c r="W28" s="775">
        <f t="shared" si="11"/>
        <v>100</v>
      </c>
      <c r="X28" s="1815"/>
      <c r="Y28" s="3216"/>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61"/>
      <c r="Q29" s="1812">
        <f t="shared" si="8"/>
        <v>111</v>
      </c>
      <c r="R29" s="774" t="s">
        <v>21</v>
      </c>
      <c r="S29" s="775">
        <f t="shared" si="9"/>
        <v>100</v>
      </c>
      <c r="T29" s="774" t="s">
        <v>21</v>
      </c>
      <c r="U29" s="775">
        <f t="shared" si="10"/>
        <v>100</v>
      </c>
      <c r="V29" s="774" t="s">
        <v>21</v>
      </c>
      <c r="W29" s="775">
        <f t="shared" si="11"/>
        <v>100</v>
      </c>
      <c r="X29" s="1815"/>
      <c r="Y29" s="3216"/>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61"/>
      <c r="Q30" s="1812">
        <f t="shared" si="8"/>
        <v>111</v>
      </c>
      <c r="R30" s="774" t="s">
        <v>21</v>
      </c>
      <c r="S30" s="775">
        <f t="shared" si="9"/>
        <v>100</v>
      </c>
      <c r="T30" s="774" t="s">
        <v>21</v>
      </c>
      <c r="U30" s="775">
        <f t="shared" si="10"/>
        <v>100</v>
      </c>
      <c r="V30" s="774" t="s">
        <v>21</v>
      </c>
      <c r="W30" s="775">
        <f t="shared" si="11"/>
        <v>100</v>
      </c>
      <c r="X30" s="1815"/>
      <c r="Y30" s="3216"/>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61"/>
      <c r="Q31" s="1812">
        <f t="shared" si="8"/>
        <v>111</v>
      </c>
      <c r="R31" s="774" t="s">
        <v>21</v>
      </c>
      <c r="S31" s="775">
        <f t="shared" si="9"/>
        <v>100</v>
      </c>
      <c r="T31" s="774" t="s">
        <v>21</v>
      </c>
      <c r="U31" s="775">
        <f t="shared" si="10"/>
        <v>100</v>
      </c>
      <c r="V31" s="774" t="s">
        <v>21</v>
      </c>
      <c r="W31" s="775">
        <f t="shared" si="11"/>
        <v>100</v>
      </c>
      <c r="X31" s="1815"/>
      <c r="Y31" s="3216"/>
      <c r="Z31" s="1816">
        <f t="shared" si="15"/>
        <v>111</v>
      </c>
      <c r="AA31" s="1813">
        <f t="shared" si="12"/>
        <v>1</v>
      </c>
      <c r="AB31" s="1813">
        <f t="shared" si="13"/>
        <v>1</v>
      </c>
      <c r="AC31" s="1813">
        <f t="shared" si="14"/>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6" t="s">
        <v>2563</v>
      </c>
      <c r="Q32" s="1812" t="str">
        <f t="shared" si="8"/>
        <v>建筑类型</v>
      </c>
      <c r="R32" s="774" t="s">
        <v>21</v>
      </c>
      <c r="S32" s="775">
        <f t="shared" si="9"/>
        <v>100</v>
      </c>
      <c r="T32" s="774" t="s">
        <v>21</v>
      </c>
      <c r="U32" s="775">
        <f t="shared" si="10"/>
        <v>100</v>
      </c>
      <c r="V32" s="774" t="s">
        <v>21</v>
      </c>
      <c r="W32" s="775">
        <f t="shared" si="11"/>
        <v>100</v>
      </c>
      <c r="X32" s="1815"/>
      <c r="Y32" s="3218" t="s">
        <v>2563</v>
      </c>
      <c r="Z32" s="1816" t="str">
        <f t="shared" si="15"/>
        <v>建筑类型</v>
      </c>
      <c r="AA32" s="1813">
        <f t="shared" si="12"/>
        <v>1</v>
      </c>
      <c r="AB32" s="1813">
        <f t="shared" si="13"/>
        <v>1</v>
      </c>
      <c r="AC32" s="1813">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7"/>
      <c r="Q33" s="776" t="str">
        <f t="shared" si="8"/>
        <v>项目建筑规模</v>
      </c>
      <c r="R33" s="777" t="s">
        <v>21</v>
      </c>
      <c r="S33" s="778" t="e">
        <f t="shared" si="9"/>
        <v>#N/A</v>
      </c>
      <c r="T33" s="777" t="s">
        <v>21</v>
      </c>
      <c r="U33" s="778" t="e">
        <f t="shared" si="10"/>
        <v>#N/A</v>
      </c>
      <c r="V33" s="777" t="s">
        <v>21</v>
      </c>
      <c r="W33" s="778" t="e">
        <f t="shared" si="11"/>
        <v>#N/A</v>
      </c>
      <c r="X33" s="779"/>
      <c r="Y33" s="3218"/>
      <c r="Z33" s="780" t="str">
        <f t="shared" si="15"/>
        <v>项目建筑规模</v>
      </c>
      <c r="AA33" s="1813" t="e">
        <f t="shared" si="12"/>
        <v>#N/A</v>
      </c>
      <c r="AB33" s="1813" t="e">
        <f t="shared" si="13"/>
        <v>#N/A</v>
      </c>
      <c r="AC33" s="1813" t="e">
        <f t="shared" si="14"/>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7"/>
      <c r="Q34" s="1812" t="str">
        <f t="shared" si="8"/>
        <v>建筑结构</v>
      </c>
      <c r="R34" s="774" t="s">
        <v>21</v>
      </c>
      <c r="S34" s="775">
        <f t="shared" si="9"/>
        <v>100</v>
      </c>
      <c r="T34" s="774" t="s">
        <v>21</v>
      </c>
      <c r="U34" s="775">
        <f t="shared" si="10"/>
        <v>100</v>
      </c>
      <c r="V34" s="774" t="s">
        <v>21</v>
      </c>
      <c r="W34" s="775">
        <f t="shared" si="11"/>
        <v>100</v>
      </c>
      <c r="X34" s="1815"/>
      <c r="Y34" s="3218"/>
      <c r="Z34" s="1816" t="str">
        <f t="shared" si="15"/>
        <v>建筑结构</v>
      </c>
      <c r="AA34" s="1813">
        <f t="shared" si="12"/>
        <v>1</v>
      </c>
      <c r="AB34" s="1813">
        <f t="shared" si="13"/>
        <v>1</v>
      </c>
      <c r="AC34" s="1813">
        <f t="shared" si="14"/>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7"/>
      <c r="Q35" s="1812" t="str">
        <f t="shared" si="8"/>
        <v>建筑品质</v>
      </c>
      <c r="R35" s="774" t="s">
        <v>21</v>
      </c>
      <c r="S35" s="775">
        <f t="shared" si="9"/>
        <v>100</v>
      </c>
      <c r="T35" s="774" t="s">
        <v>21</v>
      </c>
      <c r="U35" s="775">
        <f t="shared" si="10"/>
        <v>100</v>
      </c>
      <c r="V35" s="774" t="s">
        <v>21</v>
      </c>
      <c r="W35" s="775">
        <f t="shared" si="11"/>
        <v>100</v>
      </c>
      <c r="X35" s="1815"/>
      <c r="Y35" s="3218"/>
      <c r="Z35" s="1816" t="str">
        <f t="shared" si="15"/>
        <v>建筑品质</v>
      </c>
      <c r="AA35" s="1813">
        <f t="shared" si="12"/>
        <v>1</v>
      </c>
      <c r="AB35" s="1813">
        <f t="shared" si="13"/>
        <v>1</v>
      </c>
      <c r="AC35" s="1813">
        <f t="shared" si="14"/>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7"/>
      <c r="Q36" s="1812" t="str">
        <f t="shared" si="8"/>
        <v>公共部分装修</v>
      </c>
      <c r="R36" s="774" t="s">
        <v>21</v>
      </c>
      <c r="S36" s="775">
        <f t="shared" si="9"/>
        <v>100</v>
      </c>
      <c r="T36" s="774" t="s">
        <v>21</v>
      </c>
      <c r="U36" s="775">
        <f t="shared" si="10"/>
        <v>100</v>
      </c>
      <c r="V36" s="774" t="s">
        <v>21</v>
      </c>
      <c r="W36" s="775">
        <f t="shared" si="11"/>
        <v>100</v>
      </c>
      <c r="X36" s="1815"/>
      <c r="Y36" s="3218"/>
      <c r="Z36" s="1816" t="str">
        <f t="shared" si="15"/>
        <v>公共部分装修</v>
      </c>
      <c r="AA36" s="1813">
        <f t="shared" si="12"/>
        <v>1</v>
      </c>
      <c r="AB36" s="1813">
        <f t="shared" si="13"/>
        <v>1</v>
      </c>
      <c r="AC36" s="1813">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7"/>
      <c r="Q37" s="1797" t="str">
        <f t="shared" si="8"/>
        <v>成新度</v>
      </c>
      <c r="R37" s="770" t="s">
        <v>21</v>
      </c>
      <c r="S37" s="771" t="e">
        <f t="shared" si="9"/>
        <v>#N/A</v>
      </c>
      <c r="T37" s="770" t="s">
        <v>21</v>
      </c>
      <c r="U37" s="771" t="e">
        <f t="shared" si="10"/>
        <v>#N/A</v>
      </c>
      <c r="V37" s="770" t="s">
        <v>21</v>
      </c>
      <c r="W37" s="771" t="e">
        <f t="shared" si="11"/>
        <v>#N/A</v>
      </c>
      <c r="X37" s="772"/>
      <c r="Y37" s="3218"/>
      <c r="Z37" s="55" t="str">
        <f t="shared" si="15"/>
        <v>成新度</v>
      </c>
      <c r="AA37" s="773" t="e">
        <f t="shared" si="12"/>
        <v>#N/A</v>
      </c>
      <c r="AB37" s="773" t="e">
        <f t="shared" si="13"/>
        <v>#N/A</v>
      </c>
      <c r="AC37" s="773" t="e">
        <f t="shared" si="14"/>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7" t="s">
        <v>2563</v>
      </c>
      <c r="Q38" s="1812" t="str">
        <f t="shared" si="8"/>
        <v>物业管理</v>
      </c>
      <c r="R38" s="774" t="s">
        <v>21</v>
      </c>
      <c r="S38" s="775">
        <f t="shared" si="9"/>
        <v>100</v>
      </c>
      <c r="T38" s="774" t="s">
        <v>21</v>
      </c>
      <c r="U38" s="775">
        <f t="shared" si="10"/>
        <v>100</v>
      </c>
      <c r="V38" s="774" t="s">
        <v>21</v>
      </c>
      <c r="W38" s="775">
        <f t="shared" si="11"/>
        <v>100</v>
      </c>
      <c r="X38" s="1815"/>
      <c r="Y38" s="3218" t="s">
        <v>2563</v>
      </c>
      <c r="Z38" s="1816" t="str">
        <f t="shared" si="15"/>
        <v>物业管理</v>
      </c>
      <c r="AA38" s="1813">
        <f t="shared" si="12"/>
        <v>1</v>
      </c>
      <c r="AB38" s="1813">
        <f t="shared" si="13"/>
        <v>1</v>
      </c>
      <c r="AC38" s="1813">
        <f t="shared" si="14"/>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7"/>
      <c r="Q39" s="1812" t="str">
        <f t="shared" si="8"/>
        <v>市政基础设施</v>
      </c>
      <c r="R39" s="774" t="s">
        <v>21</v>
      </c>
      <c r="S39" s="775">
        <f t="shared" si="9"/>
        <v>100</v>
      </c>
      <c r="T39" s="774" t="s">
        <v>21</v>
      </c>
      <c r="U39" s="775">
        <f t="shared" si="10"/>
        <v>100</v>
      </c>
      <c r="V39" s="774" t="s">
        <v>21</v>
      </c>
      <c r="W39" s="775">
        <f t="shared" si="11"/>
        <v>100</v>
      </c>
      <c r="X39" s="1815"/>
      <c r="Y39" s="3218"/>
      <c r="Z39" s="1816" t="str">
        <f t="shared" si="15"/>
        <v>市政基础设施</v>
      </c>
      <c r="AA39" s="1813">
        <f t="shared" si="12"/>
        <v>1</v>
      </c>
      <c r="AB39" s="1813">
        <f t="shared" si="13"/>
        <v>1</v>
      </c>
      <c r="AC39" s="1813">
        <f t="shared" si="14"/>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7"/>
      <c r="Q40" s="1812" t="str">
        <f t="shared" si="8"/>
        <v>房型</v>
      </c>
      <c r="R40" s="774" t="s">
        <v>21</v>
      </c>
      <c r="S40" s="775">
        <f t="shared" si="9"/>
        <v>100</v>
      </c>
      <c r="T40" s="774" t="s">
        <v>21</v>
      </c>
      <c r="U40" s="775">
        <f t="shared" si="10"/>
        <v>100</v>
      </c>
      <c r="V40" s="774" t="s">
        <v>21</v>
      </c>
      <c r="W40" s="775">
        <f t="shared" si="11"/>
        <v>100</v>
      </c>
      <c r="X40" s="1815"/>
      <c r="Y40" s="3218"/>
      <c r="Z40" s="1816" t="str">
        <f t="shared" si="15"/>
        <v>房型</v>
      </c>
      <c r="AA40" s="1813">
        <f t="shared" si="12"/>
        <v>1</v>
      </c>
      <c r="AB40" s="1813">
        <f t="shared" si="13"/>
        <v>1</v>
      </c>
      <c r="AC40" s="1813">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7"/>
      <c r="Q41" s="776" t="str">
        <f t="shared" si="8"/>
        <v>单套/主力户型建筑面积</v>
      </c>
      <c r="R41" s="777" t="s">
        <v>21</v>
      </c>
      <c r="S41" s="778">
        <f t="shared" si="9"/>
        <v>100</v>
      </c>
      <c r="T41" s="777" t="s">
        <v>21</v>
      </c>
      <c r="U41" s="778">
        <f t="shared" si="10"/>
        <v>100</v>
      </c>
      <c r="V41" s="777" t="s">
        <v>21</v>
      </c>
      <c r="W41" s="778">
        <f t="shared" si="11"/>
        <v>100</v>
      </c>
      <c r="X41" s="779"/>
      <c r="Y41" s="3218"/>
      <c r="Z41" s="780" t="str">
        <f t="shared" si="15"/>
        <v>单套/主力户型建筑面积</v>
      </c>
      <c r="AA41" s="1813">
        <f t="shared" si="12"/>
        <v>1</v>
      </c>
      <c r="AB41" s="1813">
        <f t="shared" si="13"/>
        <v>1</v>
      </c>
      <c r="AC41" s="1813">
        <f t="shared" si="14"/>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7"/>
      <c r="Q42" s="1812" t="str">
        <f t="shared" si="8"/>
        <v>内部装修</v>
      </c>
      <c r="R42" s="774" t="s">
        <v>21</v>
      </c>
      <c r="S42" s="775">
        <f t="shared" si="9"/>
        <v>100</v>
      </c>
      <c r="T42" s="774" t="s">
        <v>21</v>
      </c>
      <c r="U42" s="775">
        <f t="shared" si="10"/>
        <v>100</v>
      </c>
      <c r="V42" s="774" t="s">
        <v>21</v>
      </c>
      <c r="W42" s="775">
        <f t="shared" si="11"/>
        <v>100</v>
      </c>
      <c r="X42" s="1815"/>
      <c r="Y42" s="3218"/>
      <c r="Z42" s="1816" t="str">
        <f t="shared" si="15"/>
        <v>内部装修</v>
      </c>
      <c r="AA42" s="1813">
        <f t="shared" si="12"/>
        <v>1</v>
      </c>
      <c r="AB42" s="1813">
        <f t="shared" si="13"/>
        <v>1</v>
      </c>
      <c r="AC42" s="1813">
        <f t="shared" si="14"/>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7"/>
      <c r="Q43" s="1812" t="str">
        <f t="shared" si="8"/>
        <v>内部装修维护情况</v>
      </c>
      <c r="R43" s="774" t="s">
        <v>21</v>
      </c>
      <c r="S43" s="775">
        <f t="shared" si="9"/>
        <v>100</v>
      </c>
      <c r="T43" s="774" t="s">
        <v>21</v>
      </c>
      <c r="U43" s="775">
        <f t="shared" si="10"/>
        <v>100</v>
      </c>
      <c r="V43" s="774" t="s">
        <v>21</v>
      </c>
      <c r="W43" s="775">
        <f t="shared" si="11"/>
        <v>100</v>
      </c>
      <c r="X43" s="1815"/>
      <c r="Y43" s="3218"/>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7"/>
      <c r="Q44" s="1797">
        <f t="shared" si="8"/>
        <v>111</v>
      </c>
      <c r="R44" s="770" t="s">
        <v>21</v>
      </c>
      <c r="S44" s="771">
        <f t="shared" si="9"/>
        <v>100</v>
      </c>
      <c r="T44" s="770" t="s">
        <v>21</v>
      </c>
      <c r="U44" s="771">
        <f t="shared" si="10"/>
        <v>100</v>
      </c>
      <c r="V44" s="770" t="s">
        <v>21</v>
      </c>
      <c r="W44" s="771">
        <f t="shared" si="11"/>
        <v>100</v>
      </c>
      <c r="X44" s="772"/>
      <c r="Y44" s="3218"/>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7"/>
      <c r="Q45" s="1812">
        <f t="shared" si="8"/>
        <v>111</v>
      </c>
      <c r="R45" s="774" t="s">
        <v>21</v>
      </c>
      <c r="S45" s="775">
        <f t="shared" si="9"/>
        <v>100</v>
      </c>
      <c r="T45" s="774" t="s">
        <v>21</v>
      </c>
      <c r="U45" s="775">
        <f t="shared" si="10"/>
        <v>100</v>
      </c>
      <c r="V45" s="774" t="s">
        <v>21</v>
      </c>
      <c r="W45" s="775">
        <f t="shared" si="11"/>
        <v>100</v>
      </c>
      <c r="X45" s="1815"/>
      <c r="Y45" s="3218"/>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8"/>
      <c r="Q46" s="1812">
        <f t="shared" si="8"/>
        <v>111</v>
      </c>
      <c r="R46" s="774" t="s">
        <v>20</v>
      </c>
      <c r="S46" s="775">
        <f t="shared" si="9"/>
        <v>100</v>
      </c>
      <c r="T46" s="774" t="s">
        <v>20</v>
      </c>
      <c r="U46" s="775">
        <f t="shared" si="10"/>
        <v>100</v>
      </c>
      <c r="V46" s="774" t="s">
        <v>20</v>
      </c>
      <c r="W46" s="775">
        <f t="shared" si="11"/>
        <v>100</v>
      </c>
      <c r="X46" s="1815"/>
      <c r="Y46" s="3259"/>
      <c r="Z46" s="1816">
        <f t="shared" si="15"/>
        <v>111</v>
      </c>
      <c r="AA46" s="1813">
        <f t="shared" si="12"/>
        <v>1</v>
      </c>
      <c r="AB46" s="1813">
        <f t="shared" si="13"/>
        <v>1</v>
      </c>
      <c r="AC46" s="1813">
        <f t="shared" si="14"/>
        <v>1</v>
      </c>
    </row>
    <row r="47" spans="1:29" ht="15">
      <c r="A47" s="479" t="s">
        <v>2575</v>
      </c>
      <c r="B47" s="480"/>
      <c r="C47" s="1410" t="s">
        <v>19</v>
      </c>
      <c r="D47" s="1411"/>
      <c r="E47" s="1412"/>
      <c r="F47" s="1413"/>
      <c r="G47" s="1414"/>
      <c r="H47" s="1415"/>
      <c r="I47" s="1412"/>
      <c r="J47" s="1415"/>
      <c r="K47" s="2623"/>
      <c r="L47" s="1146"/>
      <c r="M47" s="1147"/>
      <c r="N47" s="1134"/>
      <c r="O47" s="1147"/>
      <c r="P47" s="3200" t="str">
        <f>A47</f>
        <v>成交单价（元/平方米）</v>
      </c>
      <c r="Q47" s="3200"/>
      <c r="R47" s="3255">
        <f>E47</f>
        <v>0</v>
      </c>
      <c r="S47" s="3255"/>
      <c r="T47" s="3255">
        <f>G47</f>
        <v>0</v>
      </c>
      <c r="U47" s="3255"/>
      <c r="V47" s="3255">
        <f>I47</f>
        <v>0</v>
      </c>
      <c r="W47" s="3255"/>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200" t="str">
        <f>A48</f>
        <v>比较价值（元/平方米）</v>
      </c>
      <c r="Q48" s="320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220" t="str">
        <f>A49</f>
        <v>估价对象XX用房的比较价值（楼面单价，元/平方米）</v>
      </c>
      <c r="Q49" s="3221"/>
      <c r="R49" s="3254" t="e">
        <f>IF(F1="售价",ROUND(AVERAGE(R48:V48),0),ROUND(AVERAGE(R48:V48),1))</f>
        <v>#DIV/0!</v>
      </c>
      <c r="S49" s="3254"/>
      <c r="T49" s="3254"/>
      <c r="U49" s="3254"/>
      <c r="V49" s="3254"/>
      <c r="W49" s="32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2609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213" t="s">
        <v>2646</v>
      </c>
      <c r="AC4" s="3182" t="s">
        <v>2647</v>
      </c>
    </row>
    <row r="5" spans="1:29" ht="15">
      <c r="A5" s="404"/>
      <c r="B5" s="405"/>
      <c r="C5" s="3193" t="s">
        <v>2540</v>
      </c>
      <c r="D5" s="3194"/>
      <c r="E5" s="3191" t="s">
        <v>2541</v>
      </c>
      <c r="F5" s="3192"/>
      <c r="G5" s="3193" t="s">
        <v>2542</v>
      </c>
      <c r="H5" s="3194"/>
      <c r="I5" s="3193" t="s">
        <v>2543</v>
      </c>
      <c r="J5" s="3194"/>
      <c r="K5" s="610"/>
      <c r="L5" s="1133"/>
      <c r="M5" s="1134"/>
      <c r="N5" s="1134"/>
      <c r="O5" s="1134"/>
      <c r="P5" s="3207"/>
      <c r="Q5" s="3208"/>
      <c r="R5" s="3189"/>
      <c r="S5" s="3190"/>
      <c r="T5" s="3189"/>
      <c r="U5" s="3190"/>
      <c r="V5" s="3213"/>
      <c r="W5" s="3213"/>
      <c r="X5" s="1815"/>
      <c r="Y5" s="3189"/>
      <c r="Z5" s="3190"/>
      <c r="AA5" s="3183"/>
      <c r="AB5" s="3213"/>
      <c r="AC5" s="3183"/>
    </row>
    <row r="6" spans="1:29" ht="15.75" thickBot="1">
      <c r="A6" s="406"/>
      <c r="B6" s="407"/>
      <c r="C6" s="3195" t="s">
        <v>2544</v>
      </c>
      <c r="D6" s="3196"/>
      <c r="E6" s="3253" t="s">
        <v>2544</v>
      </c>
      <c r="F6" s="3198"/>
      <c r="G6" s="3195" t="s">
        <v>2544</v>
      </c>
      <c r="H6" s="3196"/>
      <c r="I6" s="3195" t="s">
        <v>2544</v>
      </c>
      <c r="J6" s="3196"/>
      <c r="K6" s="610" t="s">
        <v>2545</v>
      </c>
      <c r="L6" s="1133"/>
      <c r="M6" s="1134"/>
      <c r="N6" s="1134"/>
      <c r="O6" s="1134"/>
      <c r="P6" s="3209"/>
      <c r="Q6" s="3210"/>
      <c r="R6" s="3189"/>
      <c r="S6" s="3190"/>
      <c r="T6" s="3211"/>
      <c r="U6" s="3212"/>
      <c r="V6" s="3213"/>
      <c r="W6" s="3213"/>
      <c r="X6" s="1815"/>
      <c r="Y6" s="3211"/>
      <c r="Z6" s="3212"/>
      <c r="AA6" s="3184"/>
      <c r="AB6" s="3213"/>
      <c r="AC6" s="3184"/>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5" t="s">
        <v>2547</v>
      </c>
      <c r="Q7" s="3214"/>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5" t="s">
        <v>2550</v>
      </c>
      <c r="Q8" s="3186"/>
      <c r="R8" s="770" t="s">
        <v>17</v>
      </c>
      <c r="S8" s="771">
        <f t="shared" si="0"/>
        <v>0</v>
      </c>
      <c r="T8" s="770" t="s">
        <v>17</v>
      </c>
      <c r="U8" s="771">
        <f t="shared" si="1"/>
        <v>0</v>
      </c>
      <c r="V8" s="770" t="s">
        <v>17</v>
      </c>
      <c r="W8" s="771">
        <f t="shared" si="2"/>
        <v>0</v>
      </c>
      <c r="X8" s="772"/>
      <c r="Y8" s="3185" t="s">
        <v>2550</v>
      </c>
      <c r="Z8" s="318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4"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4"/>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4"/>
      <c r="Q11" s="1797"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4"/>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4"/>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4"/>
      <c r="Q14" s="1797">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114">
      <c r="A15" s="440" t="s">
        <v>2557</v>
      </c>
      <c r="B15" s="69" t="s">
        <v>2651</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0" t="s">
        <v>2558</v>
      </c>
      <c r="Q15" s="1812" t="str">
        <f t="shared" si="6"/>
        <v>商业繁华度</v>
      </c>
      <c r="R15" s="774" t="s">
        <v>17</v>
      </c>
      <c r="S15" s="775">
        <f t="shared" si="0"/>
        <v>100</v>
      </c>
      <c r="T15" s="774" t="s">
        <v>17</v>
      </c>
      <c r="U15" s="775">
        <f t="shared" si="1"/>
        <v>100</v>
      </c>
      <c r="V15" s="774" t="s">
        <v>17</v>
      </c>
      <c r="W15" s="775">
        <f t="shared" si="2"/>
        <v>100</v>
      </c>
      <c r="X15" s="1815"/>
      <c r="Y15" s="3215"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61"/>
      <c r="Q16" s="1812"/>
      <c r="R16" s="774"/>
      <c r="S16" s="775"/>
      <c r="T16" s="774"/>
      <c r="U16" s="775"/>
      <c r="V16" s="774"/>
      <c r="W16" s="775"/>
      <c r="X16" s="1815"/>
      <c r="Y16" s="3216"/>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1"/>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61"/>
      <c r="Q18" s="1812"/>
      <c r="R18" s="774"/>
      <c r="S18" s="775"/>
      <c r="T18" s="774"/>
      <c r="U18" s="775"/>
      <c r="V18" s="774"/>
      <c r="W18" s="775"/>
      <c r="X18" s="1815"/>
      <c r="Y18" s="3216"/>
      <c r="Z18" s="1816"/>
      <c r="AA18" s="1813">
        <v>1</v>
      </c>
      <c r="AB18" s="1813">
        <v>1</v>
      </c>
      <c r="AC18" s="1813">
        <v>1</v>
      </c>
    </row>
    <row r="19" spans="1:29" ht="213.75">
      <c r="A19" s="428"/>
      <c r="B19" s="451" t="s">
        <v>2652</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1"/>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61"/>
      <c r="Q20" s="1812"/>
      <c r="R20" s="774"/>
      <c r="S20" s="775"/>
      <c r="T20" s="774"/>
      <c r="U20" s="775"/>
      <c r="V20" s="774"/>
      <c r="W20" s="775"/>
      <c r="X20" s="1815"/>
      <c r="Y20" s="3216"/>
      <c r="Z20" s="1816"/>
      <c r="AA20" s="1813">
        <v>1</v>
      </c>
      <c r="AB20" s="1813">
        <v>1</v>
      </c>
      <c r="AC20" s="1813">
        <v>1</v>
      </c>
    </row>
    <row r="21" spans="1:29" ht="42.75">
      <c r="A21" s="428"/>
      <c r="B21" s="1387" t="s">
        <v>2653</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61"/>
      <c r="Q22" s="1812"/>
      <c r="R22" s="774"/>
      <c r="S22" s="775"/>
      <c r="T22" s="774"/>
      <c r="U22" s="775"/>
      <c r="V22" s="774"/>
      <c r="W22" s="775"/>
      <c r="X22" s="1815"/>
      <c r="Y22" s="3216"/>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1"/>
      <c r="Q23" s="1812" t="str">
        <f>B23</f>
        <v>自然及人文环境</v>
      </c>
      <c r="R23" s="774" t="s">
        <v>17</v>
      </c>
      <c r="S23" s="775">
        <f>F23</f>
        <v>100</v>
      </c>
      <c r="T23" s="774" t="s">
        <v>17</v>
      </c>
      <c r="U23" s="775">
        <f>H23</f>
        <v>100</v>
      </c>
      <c r="V23" s="774" t="s">
        <v>17</v>
      </c>
      <c r="W23" s="775">
        <f>J23</f>
        <v>100</v>
      </c>
      <c r="X23" s="1815"/>
      <c r="Y23" s="3216"/>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61"/>
      <c r="Q24" s="1812"/>
      <c r="R24" s="774"/>
      <c r="S24" s="775"/>
      <c r="T24" s="774"/>
      <c r="U24" s="775"/>
      <c r="V24" s="774"/>
      <c r="W24" s="775"/>
      <c r="X24" s="1815"/>
      <c r="Y24" s="3216"/>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1"/>
      <c r="Q25" s="1812" t="str">
        <f t="shared" ref="Q25:Q46" si="8">B25</f>
        <v>临街状况</v>
      </c>
      <c r="R25" s="774" t="s">
        <v>17</v>
      </c>
      <c r="S25" s="775">
        <f>F25</f>
        <v>100</v>
      </c>
      <c r="T25" s="774" t="s">
        <v>17</v>
      </c>
      <c r="U25" s="775">
        <f>H25</f>
        <v>100</v>
      </c>
      <c r="V25" s="774" t="s">
        <v>17</v>
      </c>
      <c r="W25" s="775">
        <f>J25</f>
        <v>100</v>
      </c>
      <c r="X25" s="1815"/>
      <c r="Y25" s="3216"/>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1"/>
      <c r="Q26" s="1812" t="str">
        <f t="shared" si="8"/>
        <v>平面位置/可视性</v>
      </c>
      <c r="R26" s="774" t="s">
        <v>17</v>
      </c>
      <c r="S26" s="775">
        <f>F26</f>
        <v>100</v>
      </c>
      <c r="T26" s="774" t="s">
        <v>17</v>
      </c>
      <c r="U26" s="775">
        <f>H26</f>
        <v>100</v>
      </c>
      <c r="V26" s="774" t="s">
        <v>17</v>
      </c>
      <c r="W26" s="775">
        <f>J26</f>
        <v>100</v>
      </c>
      <c r="X26" s="1815"/>
      <c r="Y26" s="3216"/>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61"/>
      <c r="Q27" s="1797" t="str">
        <f t="shared" si="8"/>
        <v>人流量</v>
      </c>
      <c r="R27" s="770" t="s">
        <v>17</v>
      </c>
      <c r="S27" s="771">
        <f>F27</f>
        <v>100</v>
      </c>
      <c r="T27" s="770" t="s">
        <v>17</v>
      </c>
      <c r="U27" s="771">
        <f>H27</f>
        <v>100</v>
      </c>
      <c r="V27" s="770" t="s">
        <v>17</v>
      </c>
      <c r="W27" s="771">
        <f>J27</f>
        <v>100</v>
      </c>
      <c r="X27" s="772"/>
      <c r="Y27" s="3216"/>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1"/>
      <c r="Q28" s="1812" t="str">
        <f t="shared" si="8"/>
        <v>楼层</v>
      </c>
      <c r="R28" s="774" t="s">
        <v>17</v>
      </c>
      <c r="S28" s="775">
        <f t="shared" ref="S28:S46" si="9">F28</f>
        <v>100</v>
      </c>
      <c r="T28" s="774" t="s">
        <v>17</v>
      </c>
      <c r="U28" s="775">
        <f t="shared" ref="U28:U46" si="10">H28</f>
        <v>100</v>
      </c>
      <c r="V28" s="774" t="s">
        <v>17</v>
      </c>
      <c r="W28" s="775">
        <f t="shared" ref="W28:W46" si="11">J28</f>
        <v>100</v>
      </c>
      <c r="X28" s="1815"/>
      <c r="Y28" s="3216"/>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1"/>
      <c r="Q29" s="1812">
        <f t="shared" si="8"/>
        <v>111</v>
      </c>
      <c r="R29" s="774" t="s">
        <v>17</v>
      </c>
      <c r="S29" s="775">
        <f t="shared" si="9"/>
        <v>100</v>
      </c>
      <c r="T29" s="774" t="s">
        <v>17</v>
      </c>
      <c r="U29" s="775">
        <f t="shared" si="10"/>
        <v>100</v>
      </c>
      <c r="V29" s="774" t="s">
        <v>17</v>
      </c>
      <c r="W29" s="775">
        <f t="shared" si="11"/>
        <v>100</v>
      </c>
      <c r="X29" s="1815"/>
      <c r="Y29" s="3216"/>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1"/>
      <c r="Q30" s="1812">
        <f t="shared" si="8"/>
        <v>111</v>
      </c>
      <c r="R30" s="774" t="s">
        <v>17</v>
      </c>
      <c r="S30" s="775">
        <f t="shared" si="9"/>
        <v>100</v>
      </c>
      <c r="T30" s="774" t="s">
        <v>17</v>
      </c>
      <c r="U30" s="775">
        <f t="shared" si="10"/>
        <v>100</v>
      </c>
      <c r="V30" s="774" t="s">
        <v>17</v>
      </c>
      <c r="W30" s="775">
        <f t="shared" si="11"/>
        <v>100</v>
      </c>
      <c r="X30" s="1815"/>
      <c r="Y30" s="3216"/>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1"/>
      <c r="Q31" s="1812">
        <f t="shared" si="8"/>
        <v>111</v>
      </c>
      <c r="R31" s="774" t="s">
        <v>17</v>
      </c>
      <c r="S31" s="775">
        <f t="shared" si="9"/>
        <v>100</v>
      </c>
      <c r="T31" s="774" t="s">
        <v>17</v>
      </c>
      <c r="U31" s="775">
        <f t="shared" si="10"/>
        <v>100</v>
      </c>
      <c r="V31" s="774" t="s">
        <v>17</v>
      </c>
      <c r="W31" s="775">
        <f t="shared" si="11"/>
        <v>100</v>
      </c>
      <c r="X31" s="1815"/>
      <c r="Y31" s="3216"/>
      <c r="Z31" s="1816">
        <f t="shared" si="12"/>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6" t="s">
        <v>2563</v>
      </c>
      <c r="Q32" s="1812" t="str">
        <f t="shared" si="8"/>
        <v>商业类型</v>
      </c>
      <c r="R32" s="774" t="s">
        <v>17</v>
      </c>
      <c r="S32" s="775">
        <f t="shared" si="9"/>
        <v>100</v>
      </c>
      <c r="T32" s="774" t="s">
        <v>17</v>
      </c>
      <c r="U32" s="775">
        <f t="shared" si="10"/>
        <v>100</v>
      </c>
      <c r="V32" s="774" t="s">
        <v>17</v>
      </c>
      <c r="W32" s="775">
        <f t="shared" si="11"/>
        <v>100</v>
      </c>
      <c r="X32" s="1815"/>
      <c r="Y32" s="3218" t="s">
        <v>2563</v>
      </c>
      <c r="Z32" s="1816" t="str">
        <f t="shared" si="12"/>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7"/>
      <c r="Q33" s="776" t="str">
        <f t="shared" si="8"/>
        <v>项目建筑规模</v>
      </c>
      <c r="R33" s="777" t="s">
        <v>17</v>
      </c>
      <c r="S33" s="778" t="e">
        <f t="shared" si="9"/>
        <v>#N/A</v>
      </c>
      <c r="T33" s="777" t="s">
        <v>17</v>
      </c>
      <c r="U33" s="778" t="e">
        <f t="shared" si="10"/>
        <v>#N/A</v>
      </c>
      <c r="V33" s="777" t="s">
        <v>17</v>
      </c>
      <c r="W33" s="778" t="e">
        <f t="shared" si="11"/>
        <v>#N/A</v>
      </c>
      <c r="X33" s="779"/>
      <c r="Y33" s="3218"/>
      <c r="Z33" s="780" t="str">
        <f t="shared" si="12"/>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7"/>
      <c r="Q34" s="1812" t="str">
        <f t="shared" si="8"/>
        <v>建筑结构</v>
      </c>
      <c r="R34" s="774" t="s">
        <v>17</v>
      </c>
      <c r="S34" s="775">
        <f t="shared" si="9"/>
        <v>100</v>
      </c>
      <c r="T34" s="774" t="s">
        <v>17</v>
      </c>
      <c r="U34" s="775">
        <f t="shared" si="10"/>
        <v>100</v>
      </c>
      <c r="V34" s="774" t="s">
        <v>17</v>
      </c>
      <c r="W34" s="775">
        <f t="shared" si="11"/>
        <v>100</v>
      </c>
      <c r="X34" s="1815"/>
      <c r="Y34" s="3218"/>
      <c r="Z34" s="1816" t="str">
        <f t="shared" si="12"/>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7"/>
      <c r="Q35" s="1812" t="str">
        <f t="shared" si="8"/>
        <v>公共部分装修</v>
      </c>
      <c r="R35" s="774" t="s">
        <v>17</v>
      </c>
      <c r="S35" s="775">
        <f t="shared" si="9"/>
        <v>100</v>
      </c>
      <c r="T35" s="774" t="s">
        <v>17</v>
      </c>
      <c r="U35" s="775">
        <f t="shared" si="10"/>
        <v>100</v>
      </c>
      <c r="V35" s="774" t="s">
        <v>17</v>
      </c>
      <c r="W35" s="775">
        <f t="shared" si="11"/>
        <v>100</v>
      </c>
      <c r="X35" s="1815"/>
      <c r="Y35" s="3218"/>
      <c r="Z35" s="1816" t="str">
        <f t="shared" si="12"/>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7"/>
      <c r="Q36" s="1812" t="str">
        <f t="shared" si="8"/>
        <v>成新度</v>
      </c>
      <c r="R36" s="774" t="s">
        <v>17</v>
      </c>
      <c r="S36" s="775" t="e">
        <f t="shared" si="9"/>
        <v>#N/A</v>
      </c>
      <c r="T36" s="774" t="s">
        <v>17</v>
      </c>
      <c r="U36" s="775" t="e">
        <f t="shared" si="10"/>
        <v>#N/A</v>
      </c>
      <c r="V36" s="774" t="s">
        <v>17</v>
      </c>
      <c r="W36" s="775" t="e">
        <f t="shared" si="11"/>
        <v>#N/A</v>
      </c>
      <c r="X36" s="1815"/>
      <c r="Y36" s="3218"/>
      <c r="Z36" s="1816" t="str">
        <f t="shared" si="12"/>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7"/>
      <c r="Q37" s="1797" t="str">
        <f t="shared" si="8"/>
        <v>市政基础设施</v>
      </c>
      <c r="R37" s="770" t="s">
        <v>17</v>
      </c>
      <c r="S37" s="771">
        <f t="shared" si="9"/>
        <v>100</v>
      </c>
      <c r="T37" s="770" t="s">
        <v>17</v>
      </c>
      <c r="U37" s="771">
        <f t="shared" si="10"/>
        <v>100</v>
      </c>
      <c r="V37" s="770" t="s">
        <v>17</v>
      </c>
      <c r="W37" s="771">
        <f t="shared" si="11"/>
        <v>100</v>
      </c>
      <c r="X37" s="772"/>
      <c r="Y37" s="3218"/>
      <c r="Z37" s="55" t="str">
        <f t="shared" si="12"/>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7" t="s">
        <v>2563</v>
      </c>
      <c r="Q38" s="1812" t="str">
        <f t="shared" si="8"/>
        <v>业态</v>
      </c>
      <c r="R38" s="774" t="s">
        <v>17</v>
      </c>
      <c r="S38" s="775">
        <f t="shared" si="9"/>
        <v>100</v>
      </c>
      <c r="T38" s="774" t="s">
        <v>17</v>
      </c>
      <c r="U38" s="775">
        <f t="shared" si="10"/>
        <v>100</v>
      </c>
      <c r="V38" s="774" t="s">
        <v>17</v>
      </c>
      <c r="W38" s="775">
        <f t="shared" si="11"/>
        <v>100</v>
      </c>
      <c r="X38" s="1815"/>
      <c r="Y38" s="3218" t="s">
        <v>2563</v>
      </c>
      <c r="Z38" s="1816" t="str">
        <f t="shared" si="12"/>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7"/>
      <c r="Q39" s="1812" t="str">
        <f t="shared" si="8"/>
        <v>层高</v>
      </c>
      <c r="R39" s="774" t="s">
        <v>17</v>
      </c>
      <c r="S39" s="775">
        <f t="shared" si="9"/>
        <v>100</v>
      </c>
      <c r="T39" s="774" t="s">
        <v>17</v>
      </c>
      <c r="U39" s="775">
        <f t="shared" si="10"/>
        <v>100</v>
      </c>
      <c r="V39" s="774" t="s">
        <v>17</v>
      </c>
      <c r="W39" s="775">
        <f t="shared" si="11"/>
        <v>100</v>
      </c>
      <c r="X39" s="1815"/>
      <c r="Y39" s="3218"/>
      <c r="Z39" s="1816" t="str">
        <f t="shared" si="12"/>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7"/>
      <c r="Q40" s="1812" t="str">
        <f t="shared" si="8"/>
        <v>单套建筑面积</v>
      </c>
      <c r="R40" s="774" t="s">
        <v>17</v>
      </c>
      <c r="S40" s="775">
        <f t="shared" si="9"/>
        <v>100</v>
      </c>
      <c r="T40" s="774" t="s">
        <v>17</v>
      </c>
      <c r="U40" s="775">
        <f t="shared" si="10"/>
        <v>100</v>
      </c>
      <c r="V40" s="774" t="s">
        <v>17</v>
      </c>
      <c r="W40" s="775">
        <f t="shared" si="11"/>
        <v>100</v>
      </c>
      <c r="X40" s="1815"/>
      <c r="Y40" s="3218"/>
      <c r="Z40" s="1816" t="str">
        <f t="shared" si="12"/>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7"/>
      <c r="Q41" s="776" t="str">
        <f t="shared" si="8"/>
        <v>进深比</v>
      </c>
      <c r="R41" s="777" t="s">
        <v>17</v>
      </c>
      <c r="S41" s="778">
        <f t="shared" si="9"/>
        <v>100</v>
      </c>
      <c r="T41" s="777" t="s">
        <v>17</v>
      </c>
      <c r="U41" s="778">
        <f t="shared" si="10"/>
        <v>100</v>
      </c>
      <c r="V41" s="777" t="s">
        <v>17</v>
      </c>
      <c r="W41" s="778">
        <f t="shared" si="11"/>
        <v>100</v>
      </c>
      <c r="X41" s="779"/>
      <c r="Y41" s="3218"/>
      <c r="Z41" s="780" t="str">
        <f t="shared" si="12"/>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7"/>
      <c r="Q42" s="1812" t="str">
        <f t="shared" si="8"/>
        <v>内部装修</v>
      </c>
      <c r="R42" s="774" t="s">
        <v>17</v>
      </c>
      <c r="S42" s="775">
        <f t="shared" si="9"/>
        <v>100</v>
      </c>
      <c r="T42" s="774" t="s">
        <v>17</v>
      </c>
      <c r="U42" s="775">
        <f t="shared" si="10"/>
        <v>100</v>
      </c>
      <c r="V42" s="774" t="s">
        <v>17</v>
      </c>
      <c r="W42" s="775">
        <f t="shared" si="11"/>
        <v>100</v>
      </c>
      <c r="X42" s="1815"/>
      <c r="Y42" s="3218"/>
      <c r="Z42" s="1816" t="str">
        <f t="shared" si="12"/>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7"/>
      <c r="Q43" s="1812" t="str">
        <f t="shared" si="8"/>
        <v>内部装修维护情况</v>
      </c>
      <c r="R43" s="774" t="s">
        <v>17</v>
      </c>
      <c r="S43" s="775">
        <f t="shared" si="9"/>
        <v>100</v>
      </c>
      <c r="T43" s="774" t="s">
        <v>17</v>
      </c>
      <c r="U43" s="775">
        <f t="shared" si="10"/>
        <v>100</v>
      </c>
      <c r="V43" s="774" t="s">
        <v>17</v>
      </c>
      <c r="W43" s="775">
        <f t="shared" si="11"/>
        <v>100</v>
      </c>
      <c r="X43" s="1815"/>
      <c r="Y43" s="3218"/>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7"/>
      <c r="Q44" s="1797">
        <f t="shared" si="8"/>
        <v>111</v>
      </c>
      <c r="R44" s="770" t="s">
        <v>17</v>
      </c>
      <c r="S44" s="771">
        <f t="shared" si="9"/>
        <v>100</v>
      </c>
      <c r="T44" s="770" t="s">
        <v>17</v>
      </c>
      <c r="U44" s="771">
        <f t="shared" si="10"/>
        <v>100</v>
      </c>
      <c r="V44" s="770" t="s">
        <v>17</v>
      </c>
      <c r="W44" s="771">
        <f t="shared" si="11"/>
        <v>100</v>
      </c>
      <c r="X44" s="772"/>
      <c r="Y44" s="3218"/>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7"/>
      <c r="Q45" s="1812">
        <f t="shared" si="8"/>
        <v>111</v>
      </c>
      <c r="R45" s="774" t="s">
        <v>17</v>
      </c>
      <c r="S45" s="775">
        <f t="shared" si="9"/>
        <v>100</v>
      </c>
      <c r="T45" s="774" t="s">
        <v>17</v>
      </c>
      <c r="U45" s="775">
        <f t="shared" si="10"/>
        <v>100</v>
      </c>
      <c r="V45" s="774" t="s">
        <v>17</v>
      </c>
      <c r="W45" s="775">
        <f t="shared" si="11"/>
        <v>100</v>
      </c>
      <c r="X45" s="1815"/>
      <c r="Y45" s="3218"/>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8"/>
      <c r="Q46" s="1812">
        <f t="shared" si="8"/>
        <v>111</v>
      </c>
      <c r="R46" s="774" t="s">
        <v>17</v>
      </c>
      <c r="S46" s="775">
        <f t="shared" si="9"/>
        <v>100</v>
      </c>
      <c r="T46" s="774" t="s">
        <v>17</v>
      </c>
      <c r="U46" s="775">
        <f t="shared" si="10"/>
        <v>100</v>
      </c>
      <c r="V46" s="774" t="s">
        <v>17</v>
      </c>
      <c r="W46" s="775">
        <f t="shared" si="11"/>
        <v>100</v>
      </c>
      <c r="X46" s="1815"/>
      <c r="Y46" s="3259"/>
      <c r="Z46" s="1816">
        <f t="shared" si="12"/>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200" t="str">
        <f>A47</f>
        <v>成交单价（元/平方米）</v>
      </c>
      <c r="Q47" s="3200"/>
      <c r="R47" s="3213">
        <f>E47</f>
        <v>0</v>
      </c>
      <c r="S47" s="3213"/>
      <c r="T47" s="3213">
        <f>G47</f>
        <v>0</v>
      </c>
      <c r="U47" s="3213"/>
      <c r="V47" s="3213">
        <f>I47</f>
        <v>0</v>
      </c>
      <c r="W47" s="3213"/>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20" t="str">
        <f>A49</f>
        <v>估价对象XX用房的比较价值（楼面单价，元/平方米）</v>
      </c>
      <c r="Q49" s="3221"/>
      <c r="R49" s="3254" t="e">
        <f>IF(F1="售价",ROUND(AVERAGE(R48:V48),0),ROUND(AVERAGE(R48:V48),1))</f>
        <v>#DIV/0!</v>
      </c>
      <c r="S49" s="3254"/>
      <c r="T49" s="3254"/>
      <c r="U49" s="3254"/>
      <c r="V49" s="3254"/>
      <c r="W49" s="325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68" t="s">
        <v>2649</v>
      </c>
      <c r="Q4" s="3269"/>
      <c r="R4" s="3263" t="s">
        <v>2645</v>
      </c>
      <c r="S4" s="3264"/>
      <c r="T4" s="3263" t="s">
        <v>2646</v>
      </c>
      <c r="U4" s="3264"/>
      <c r="V4" s="3272" t="s">
        <v>2647</v>
      </c>
      <c r="W4" s="3272"/>
      <c r="X4" s="2672"/>
      <c r="Y4" s="3263" t="s">
        <v>2649</v>
      </c>
      <c r="Z4" s="3264"/>
      <c r="AA4" s="3262" t="s">
        <v>2645</v>
      </c>
      <c r="AB4" s="3262" t="s">
        <v>2646</v>
      </c>
      <c r="AC4" s="3265" t="s">
        <v>2647</v>
      </c>
    </row>
    <row r="5" spans="1:29" ht="15">
      <c r="A5" s="404"/>
      <c r="B5" s="405"/>
      <c r="C5" s="3193" t="s">
        <v>2540</v>
      </c>
      <c r="D5" s="3194"/>
      <c r="E5" s="3191" t="s">
        <v>2541</v>
      </c>
      <c r="F5" s="3192"/>
      <c r="G5" s="3193" t="s">
        <v>2542</v>
      </c>
      <c r="H5" s="3194"/>
      <c r="I5" s="3193" t="s">
        <v>2543</v>
      </c>
      <c r="J5" s="3194"/>
      <c r="K5" s="610"/>
      <c r="L5" s="1133"/>
      <c r="M5" s="1134"/>
      <c r="N5" s="1134"/>
      <c r="O5" s="1134"/>
      <c r="P5" s="3270"/>
      <c r="Q5" s="3208"/>
      <c r="R5" s="3189"/>
      <c r="S5" s="3190"/>
      <c r="T5" s="3189"/>
      <c r="U5" s="3190"/>
      <c r="V5" s="3213"/>
      <c r="W5" s="3213"/>
      <c r="X5" s="1815"/>
      <c r="Y5" s="3189"/>
      <c r="Z5" s="3190"/>
      <c r="AA5" s="3183"/>
      <c r="AB5" s="3183"/>
      <c r="AC5" s="3266"/>
    </row>
    <row r="6" spans="1:29" ht="15.75" thickBot="1">
      <c r="A6" s="406"/>
      <c r="B6" s="407"/>
      <c r="C6" s="3195" t="s">
        <v>2544</v>
      </c>
      <c r="D6" s="3196"/>
      <c r="E6" s="3253" t="s">
        <v>2544</v>
      </c>
      <c r="F6" s="3198"/>
      <c r="G6" s="3195" t="s">
        <v>2544</v>
      </c>
      <c r="H6" s="3196"/>
      <c r="I6" s="3195" t="s">
        <v>2544</v>
      </c>
      <c r="J6" s="3196"/>
      <c r="K6" s="610" t="s">
        <v>2545</v>
      </c>
      <c r="L6" s="1133"/>
      <c r="M6" s="1134"/>
      <c r="N6" s="1134"/>
      <c r="O6" s="1134"/>
      <c r="P6" s="3271"/>
      <c r="Q6" s="3210"/>
      <c r="R6" s="3189"/>
      <c r="S6" s="3190"/>
      <c r="T6" s="3211"/>
      <c r="U6" s="3212"/>
      <c r="V6" s="3213"/>
      <c r="W6" s="3213"/>
      <c r="X6" s="1815"/>
      <c r="Y6" s="3211"/>
      <c r="Z6" s="3212"/>
      <c r="AA6" s="3184"/>
      <c r="AB6" s="3184"/>
      <c r="AC6" s="3267"/>
    </row>
    <row r="7" spans="1:29" s="117" customFormat="1" ht="15.75" thickBot="1">
      <c r="A7" s="408" t="s">
        <v>2546</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3" t="s">
        <v>2547</v>
      </c>
      <c r="Q7" s="3214"/>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3" t="s">
        <v>2550</v>
      </c>
      <c r="Q8" s="3186"/>
      <c r="R8" s="770" t="s">
        <v>17</v>
      </c>
      <c r="S8" s="771">
        <f t="shared" si="0"/>
        <v>0</v>
      </c>
      <c r="T8" s="770" t="s">
        <v>17</v>
      </c>
      <c r="U8" s="771">
        <f t="shared" si="1"/>
        <v>0</v>
      </c>
      <c r="V8" s="770" t="s">
        <v>17</v>
      </c>
      <c r="W8" s="771">
        <f t="shared" si="2"/>
        <v>0</v>
      </c>
      <c r="X8" s="772"/>
      <c r="Y8" s="3185" t="s">
        <v>2550</v>
      </c>
      <c r="Z8" s="3186"/>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4"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4"/>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4"/>
      <c r="Q11" s="1797"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24"/>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24"/>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24"/>
      <c r="Q14" s="1797">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0" t="s">
        <v>2558</v>
      </c>
      <c r="Q15" s="1812" t="str">
        <f t="shared" si="6"/>
        <v>办公集聚程度</v>
      </c>
      <c r="R15" s="774" t="s">
        <v>17</v>
      </c>
      <c r="S15" s="775">
        <f t="shared" si="0"/>
        <v>100</v>
      </c>
      <c r="T15" s="774" t="s">
        <v>17</v>
      </c>
      <c r="U15" s="775">
        <f t="shared" si="1"/>
        <v>100</v>
      </c>
      <c r="V15" s="774" t="s">
        <v>17</v>
      </c>
      <c r="W15" s="775">
        <f t="shared" si="2"/>
        <v>100</v>
      </c>
      <c r="X15" s="1815"/>
      <c r="Y15" s="3215"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61"/>
      <c r="Q16" s="1812"/>
      <c r="R16" s="774"/>
      <c r="S16" s="775"/>
      <c r="T16" s="774"/>
      <c r="U16" s="775"/>
      <c r="V16" s="774"/>
      <c r="W16" s="775"/>
      <c r="X16" s="1815"/>
      <c r="Y16" s="3216"/>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1"/>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61"/>
      <c r="Q18" s="1812"/>
      <c r="R18" s="774"/>
      <c r="S18" s="775"/>
      <c r="T18" s="774"/>
      <c r="U18" s="775"/>
      <c r="V18" s="774"/>
      <c r="W18" s="775"/>
      <c r="X18" s="1815"/>
      <c r="Y18" s="3216"/>
      <c r="Z18" s="1816"/>
      <c r="AA18" s="1813">
        <v>1</v>
      </c>
      <c r="AB18" s="1813">
        <v>1</v>
      </c>
      <c r="AC18" s="2676">
        <v>1</v>
      </c>
    </row>
    <row r="19" spans="1:29" ht="199.5">
      <c r="A19" s="428"/>
      <c r="B19" s="631" t="s">
        <v>2686</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1"/>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61"/>
      <c r="Q20" s="1812"/>
      <c r="R20" s="774"/>
      <c r="S20" s="775"/>
      <c r="T20" s="774"/>
      <c r="U20" s="775"/>
      <c r="V20" s="774"/>
      <c r="W20" s="775"/>
      <c r="X20" s="1815"/>
      <c r="Y20" s="3216"/>
      <c r="Z20" s="1816"/>
      <c r="AA20" s="1813">
        <v>1</v>
      </c>
      <c r="AB20" s="1813">
        <v>1</v>
      </c>
      <c r="AC20" s="2676">
        <v>1</v>
      </c>
    </row>
    <row r="21" spans="1:29" ht="42.75">
      <c r="A21" s="428"/>
      <c r="B21" s="633" t="s">
        <v>2687</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1"/>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61"/>
      <c r="Q22" s="1812"/>
      <c r="R22" s="774"/>
      <c r="S22" s="775"/>
      <c r="T22" s="774"/>
      <c r="U22" s="775"/>
      <c r="V22" s="774"/>
      <c r="W22" s="775"/>
      <c r="X22" s="1815"/>
      <c r="Y22" s="3216"/>
      <c r="Z22" s="1816"/>
      <c r="AA22" s="1813">
        <v>1</v>
      </c>
      <c r="AB22" s="1813">
        <v>1</v>
      </c>
      <c r="AC22" s="2676">
        <v>1</v>
      </c>
    </row>
    <row r="23" spans="1:29" ht="71.25">
      <c r="A23" s="428"/>
      <c r="B23" s="631" t="s">
        <v>2688</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1"/>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61"/>
      <c r="Q24" s="1812"/>
      <c r="R24" s="774"/>
      <c r="S24" s="775"/>
      <c r="T24" s="774"/>
      <c r="U24" s="775"/>
      <c r="V24" s="774"/>
      <c r="W24" s="775"/>
      <c r="X24" s="1815"/>
      <c r="Y24" s="3216"/>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61"/>
      <c r="Q25" s="1812" t="str">
        <f>B25</f>
        <v>毗邻道路的类型与等级</v>
      </c>
      <c r="R25" s="774" t="s">
        <v>17</v>
      </c>
      <c r="S25" s="775">
        <f>F25</f>
        <v>100</v>
      </c>
      <c r="T25" s="774" t="s">
        <v>17</v>
      </c>
      <c r="U25" s="775">
        <f>H25</f>
        <v>100</v>
      </c>
      <c r="V25" s="774" t="s">
        <v>17</v>
      </c>
      <c r="W25" s="775">
        <f>J25</f>
        <v>100</v>
      </c>
      <c r="X25" s="1815"/>
      <c r="Y25" s="3216"/>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61"/>
      <c r="Q26" s="1812"/>
      <c r="R26" s="774"/>
      <c r="S26" s="775"/>
      <c r="T26" s="774"/>
      <c r="U26" s="775"/>
      <c r="V26" s="774"/>
      <c r="W26" s="775"/>
      <c r="X26" s="1815"/>
      <c r="Y26" s="3216"/>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1"/>
      <c r="Q27" s="1812" t="str">
        <f t="shared" ref="Q27:Q47" si="8">B27</f>
        <v>楼层</v>
      </c>
      <c r="R27" s="774" t="s">
        <v>17</v>
      </c>
      <c r="S27" s="775">
        <f>F27</f>
        <v>100</v>
      </c>
      <c r="T27" s="774" t="s">
        <v>17</v>
      </c>
      <c r="U27" s="775">
        <f>H27</f>
        <v>100</v>
      </c>
      <c r="V27" s="774" t="s">
        <v>17</v>
      </c>
      <c r="W27" s="775">
        <f>J27</f>
        <v>100</v>
      </c>
      <c r="X27" s="1815"/>
      <c r="Y27" s="3216"/>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61"/>
      <c r="Q28" s="1797" t="str">
        <f t="shared" si="8"/>
        <v>朝向</v>
      </c>
      <c r="R28" s="770" t="s">
        <v>17</v>
      </c>
      <c r="S28" s="771">
        <f>F28</f>
        <v>100</v>
      </c>
      <c r="T28" s="770" t="s">
        <v>17</v>
      </c>
      <c r="U28" s="771">
        <f>H28</f>
        <v>100</v>
      </c>
      <c r="V28" s="770" t="s">
        <v>17</v>
      </c>
      <c r="W28" s="771">
        <f>J28</f>
        <v>100</v>
      </c>
      <c r="X28" s="772"/>
      <c r="Y28" s="3216"/>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61"/>
      <c r="Q29" s="1812">
        <f t="shared" si="8"/>
        <v>111</v>
      </c>
      <c r="R29" s="774" t="s">
        <v>17</v>
      </c>
      <c r="S29" s="775">
        <f t="shared" ref="S29:S47" si="9">F29</f>
        <v>100</v>
      </c>
      <c r="T29" s="774" t="s">
        <v>17</v>
      </c>
      <c r="U29" s="775">
        <f t="shared" ref="U29:U47" si="10">H29</f>
        <v>100</v>
      </c>
      <c r="V29" s="774" t="s">
        <v>17</v>
      </c>
      <c r="W29" s="775">
        <f t="shared" ref="W29:W47" si="11">J29</f>
        <v>100</v>
      </c>
      <c r="X29" s="1815"/>
      <c r="Y29" s="3216"/>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61"/>
      <c r="Q30" s="1812">
        <f t="shared" si="8"/>
        <v>111</v>
      </c>
      <c r="R30" s="774" t="s">
        <v>17</v>
      </c>
      <c r="S30" s="775">
        <f t="shared" si="9"/>
        <v>100</v>
      </c>
      <c r="T30" s="774" t="s">
        <v>17</v>
      </c>
      <c r="U30" s="775">
        <f t="shared" si="10"/>
        <v>100</v>
      </c>
      <c r="V30" s="774" t="s">
        <v>17</v>
      </c>
      <c r="W30" s="775">
        <f t="shared" si="11"/>
        <v>100</v>
      </c>
      <c r="X30" s="1815"/>
      <c r="Y30" s="3216"/>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61"/>
      <c r="Q31" s="1812">
        <f t="shared" si="8"/>
        <v>111</v>
      </c>
      <c r="R31" s="774" t="s">
        <v>17</v>
      </c>
      <c r="S31" s="775">
        <f t="shared" si="9"/>
        <v>100</v>
      </c>
      <c r="T31" s="774" t="s">
        <v>17</v>
      </c>
      <c r="U31" s="775">
        <f t="shared" si="10"/>
        <v>100</v>
      </c>
      <c r="V31" s="774" t="s">
        <v>17</v>
      </c>
      <c r="W31" s="775">
        <f t="shared" si="11"/>
        <v>100</v>
      </c>
      <c r="X31" s="1815"/>
      <c r="Y31" s="3216"/>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61"/>
      <c r="Q32" s="1812">
        <f t="shared" si="8"/>
        <v>111</v>
      </c>
      <c r="R32" s="774" t="s">
        <v>17</v>
      </c>
      <c r="S32" s="775">
        <f t="shared" si="9"/>
        <v>100</v>
      </c>
      <c r="T32" s="774" t="s">
        <v>17</v>
      </c>
      <c r="U32" s="775">
        <f t="shared" si="10"/>
        <v>100</v>
      </c>
      <c r="V32" s="774" t="s">
        <v>17</v>
      </c>
      <c r="W32" s="775">
        <f t="shared" si="11"/>
        <v>100</v>
      </c>
      <c r="X32" s="1815"/>
      <c r="Y32" s="3216"/>
      <c r="Z32" s="1816">
        <f t="shared" si="12"/>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6" t="s">
        <v>2563</v>
      </c>
      <c r="Q33" s="1812" t="str">
        <f t="shared" si="8"/>
        <v>建筑类型</v>
      </c>
      <c r="R33" s="774" t="s">
        <v>17</v>
      </c>
      <c r="S33" s="775">
        <f t="shared" si="9"/>
        <v>100</v>
      </c>
      <c r="T33" s="774" t="s">
        <v>17</v>
      </c>
      <c r="U33" s="775">
        <f t="shared" si="10"/>
        <v>100</v>
      </c>
      <c r="V33" s="774" t="s">
        <v>17</v>
      </c>
      <c r="W33" s="775">
        <f t="shared" si="11"/>
        <v>100</v>
      </c>
      <c r="X33" s="1815"/>
      <c r="Y33" s="3218" t="s">
        <v>2563</v>
      </c>
      <c r="Z33" s="1816" t="str">
        <f t="shared" si="12"/>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7"/>
      <c r="Q34" s="776" t="str">
        <f t="shared" si="8"/>
        <v>项目建筑规模</v>
      </c>
      <c r="R34" s="777" t="s">
        <v>17</v>
      </c>
      <c r="S34" s="778" t="e">
        <f t="shared" si="9"/>
        <v>#N/A</v>
      </c>
      <c r="T34" s="777" t="s">
        <v>17</v>
      </c>
      <c r="U34" s="778" t="e">
        <f t="shared" si="10"/>
        <v>#N/A</v>
      </c>
      <c r="V34" s="777" t="s">
        <v>17</v>
      </c>
      <c r="W34" s="778" t="e">
        <f t="shared" si="11"/>
        <v>#N/A</v>
      </c>
      <c r="X34" s="779"/>
      <c r="Y34" s="3218"/>
      <c r="Z34" s="780" t="str">
        <f t="shared" si="12"/>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7"/>
      <c r="Q35" s="1812" t="str">
        <f t="shared" si="8"/>
        <v>建筑结构</v>
      </c>
      <c r="R35" s="774" t="s">
        <v>17</v>
      </c>
      <c r="S35" s="775">
        <f t="shared" si="9"/>
        <v>100</v>
      </c>
      <c r="T35" s="774" t="s">
        <v>17</v>
      </c>
      <c r="U35" s="775">
        <f t="shared" si="10"/>
        <v>100</v>
      </c>
      <c r="V35" s="774" t="s">
        <v>17</v>
      </c>
      <c r="W35" s="775">
        <f t="shared" si="11"/>
        <v>100</v>
      </c>
      <c r="X35" s="1815"/>
      <c r="Y35" s="3218"/>
      <c r="Z35" s="1816" t="str">
        <f t="shared" si="12"/>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7"/>
      <c r="Q36" s="1812" t="str">
        <f t="shared" si="8"/>
        <v>公共部分装修</v>
      </c>
      <c r="R36" s="774" t="s">
        <v>17</v>
      </c>
      <c r="S36" s="775">
        <f t="shared" si="9"/>
        <v>100</v>
      </c>
      <c r="T36" s="774" t="s">
        <v>17</v>
      </c>
      <c r="U36" s="775">
        <f t="shared" si="10"/>
        <v>100</v>
      </c>
      <c r="V36" s="774" t="s">
        <v>17</v>
      </c>
      <c r="W36" s="775">
        <f t="shared" si="11"/>
        <v>100</v>
      </c>
      <c r="X36" s="1815"/>
      <c r="Y36" s="3218"/>
      <c r="Z36" s="1816" t="str">
        <f t="shared" si="12"/>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7"/>
      <c r="Q37" s="1812" t="str">
        <f t="shared" si="8"/>
        <v>成新度</v>
      </c>
      <c r="R37" s="774" t="s">
        <v>17</v>
      </c>
      <c r="S37" s="775" t="e">
        <f t="shared" si="9"/>
        <v>#N/A</v>
      </c>
      <c r="T37" s="774" t="s">
        <v>17</v>
      </c>
      <c r="U37" s="775" t="e">
        <f t="shared" si="10"/>
        <v>#N/A</v>
      </c>
      <c r="V37" s="774" t="s">
        <v>17</v>
      </c>
      <c r="W37" s="775" t="e">
        <f t="shared" si="11"/>
        <v>#N/A</v>
      </c>
      <c r="X37" s="1815"/>
      <c r="Y37" s="3218"/>
      <c r="Z37" s="1816" t="str">
        <f t="shared" si="12"/>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7"/>
      <c r="Q38" s="1797" t="str">
        <f t="shared" si="8"/>
        <v>写字楼等级</v>
      </c>
      <c r="R38" s="770" t="s">
        <v>17</v>
      </c>
      <c r="S38" s="771">
        <f t="shared" si="9"/>
        <v>100</v>
      </c>
      <c r="T38" s="770" t="s">
        <v>17</v>
      </c>
      <c r="U38" s="771">
        <f t="shared" si="10"/>
        <v>100</v>
      </c>
      <c r="V38" s="770" t="s">
        <v>17</v>
      </c>
      <c r="W38" s="771">
        <f t="shared" si="11"/>
        <v>100</v>
      </c>
      <c r="X38" s="772"/>
      <c r="Y38" s="3218"/>
      <c r="Z38" s="55" t="str">
        <f t="shared" si="12"/>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7" t="s">
        <v>2563</v>
      </c>
      <c r="Q39" s="1812" t="str">
        <f t="shared" si="8"/>
        <v>物业管理</v>
      </c>
      <c r="R39" s="774" t="s">
        <v>17</v>
      </c>
      <c r="S39" s="775">
        <f t="shared" si="9"/>
        <v>100</v>
      </c>
      <c r="T39" s="774" t="s">
        <v>17</v>
      </c>
      <c r="U39" s="775">
        <f t="shared" si="10"/>
        <v>100</v>
      </c>
      <c r="V39" s="774" t="s">
        <v>17</v>
      </c>
      <c r="W39" s="775">
        <f t="shared" si="11"/>
        <v>100</v>
      </c>
      <c r="X39" s="1815"/>
      <c r="Y39" s="3218" t="s">
        <v>2563</v>
      </c>
      <c r="Z39" s="1816" t="str">
        <f t="shared" si="12"/>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7"/>
      <c r="Q40" s="1812" t="str">
        <f t="shared" si="8"/>
        <v>市政基础设施</v>
      </c>
      <c r="R40" s="774" t="s">
        <v>17</v>
      </c>
      <c r="S40" s="775">
        <f t="shared" si="9"/>
        <v>100</v>
      </c>
      <c r="T40" s="774" t="s">
        <v>17</v>
      </c>
      <c r="U40" s="775">
        <f t="shared" si="10"/>
        <v>100</v>
      </c>
      <c r="V40" s="774" t="s">
        <v>17</v>
      </c>
      <c r="W40" s="775">
        <f t="shared" si="11"/>
        <v>100</v>
      </c>
      <c r="X40" s="1815"/>
      <c r="Y40" s="3218"/>
      <c r="Z40" s="1816" t="str">
        <f t="shared" si="12"/>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7"/>
      <c r="Q41" s="1812" t="str">
        <f t="shared" si="8"/>
        <v>层高</v>
      </c>
      <c r="R41" s="774" t="s">
        <v>17</v>
      </c>
      <c r="S41" s="775">
        <f t="shared" si="9"/>
        <v>100</v>
      </c>
      <c r="T41" s="774" t="s">
        <v>17</v>
      </c>
      <c r="U41" s="775">
        <f t="shared" si="10"/>
        <v>100</v>
      </c>
      <c r="V41" s="774" t="s">
        <v>17</v>
      </c>
      <c r="W41" s="775">
        <f t="shared" si="11"/>
        <v>100</v>
      </c>
      <c r="X41" s="1815"/>
      <c r="Y41" s="3218"/>
      <c r="Z41" s="1816" t="str">
        <f t="shared" si="12"/>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7"/>
      <c r="Q42" s="776" t="str">
        <f t="shared" si="8"/>
        <v>单套建筑面积</v>
      </c>
      <c r="R42" s="777" t="s">
        <v>17</v>
      </c>
      <c r="S42" s="778">
        <f t="shared" si="9"/>
        <v>100</v>
      </c>
      <c r="T42" s="777" t="s">
        <v>17</v>
      </c>
      <c r="U42" s="778">
        <f t="shared" si="10"/>
        <v>100</v>
      </c>
      <c r="V42" s="777" t="s">
        <v>17</v>
      </c>
      <c r="W42" s="778">
        <f t="shared" si="11"/>
        <v>100</v>
      </c>
      <c r="X42" s="779"/>
      <c r="Y42" s="3218"/>
      <c r="Z42" s="780" t="str">
        <f t="shared" si="12"/>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7"/>
      <c r="Q43" s="1812" t="str">
        <f t="shared" si="8"/>
        <v>内部装修</v>
      </c>
      <c r="R43" s="774" t="s">
        <v>17</v>
      </c>
      <c r="S43" s="775">
        <f t="shared" si="9"/>
        <v>100</v>
      </c>
      <c r="T43" s="774" t="s">
        <v>17</v>
      </c>
      <c r="U43" s="775">
        <f t="shared" si="10"/>
        <v>100</v>
      </c>
      <c r="V43" s="774" t="s">
        <v>17</v>
      </c>
      <c r="W43" s="775">
        <f t="shared" si="11"/>
        <v>100</v>
      </c>
      <c r="X43" s="1815"/>
      <c r="Y43" s="3218"/>
      <c r="Z43" s="1816" t="str">
        <f t="shared" si="12"/>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7"/>
      <c r="Q44" s="1812" t="str">
        <f t="shared" si="8"/>
        <v>内部装修维护情况</v>
      </c>
      <c r="R44" s="774" t="s">
        <v>17</v>
      </c>
      <c r="S44" s="775">
        <f t="shared" si="9"/>
        <v>100</v>
      </c>
      <c r="T44" s="774" t="s">
        <v>17</v>
      </c>
      <c r="U44" s="775">
        <f t="shared" si="10"/>
        <v>100</v>
      </c>
      <c r="V44" s="774" t="s">
        <v>17</v>
      </c>
      <c r="W44" s="775">
        <f t="shared" si="11"/>
        <v>100</v>
      </c>
      <c r="X44" s="1815"/>
      <c r="Y44" s="3218"/>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7"/>
      <c r="Q45" s="1797">
        <f t="shared" si="8"/>
        <v>111</v>
      </c>
      <c r="R45" s="770" t="s">
        <v>17</v>
      </c>
      <c r="S45" s="771">
        <f t="shared" si="9"/>
        <v>100</v>
      </c>
      <c r="T45" s="770" t="s">
        <v>17</v>
      </c>
      <c r="U45" s="771">
        <f t="shared" si="10"/>
        <v>100</v>
      </c>
      <c r="V45" s="770" t="s">
        <v>17</v>
      </c>
      <c r="W45" s="771">
        <f t="shared" si="11"/>
        <v>100</v>
      </c>
      <c r="X45" s="772"/>
      <c r="Y45" s="3218"/>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7"/>
      <c r="Q46" s="1812">
        <f t="shared" si="8"/>
        <v>111</v>
      </c>
      <c r="R46" s="774" t="s">
        <v>17</v>
      </c>
      <c r="S46" s="775">
        <f t="shared" si="9"/>
        <v>100</v>
      </c>
      <c r="T46" s="774" t="s">
        <v>17</v>
      </c>
      <c r="U46" s="775">
        <f t="shared" si="10"/>
        <v>100</v>
      </c>
      <c r="V46" s="774" t="s">
        <v>17</v>
      </c>
      <c r="W46" s="775">
        <f t="shared" si="11"/>
        <v>100</v>
      </c>
      <c r="X46" s="1815"/>
      <c r="Y46" s="3218"/>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8"/>
      <c r="Q47" s="1812">
        <f t="shared" si="8"/>
        <v>111</v>
      </c>
      <c r="R47" s="774" t="s">
        <v>17</v>
      </c>
      <c r="S47" s="775">
        <f t="shared" si="9"/>
        <v>100</v>
      </c>
      <c r="T47" s="774" t="s">
        <v>17</v>
      </c>
      <c r="U47" s="775">
        <f t="shared" si="10"/>
        <v>100</v>
      </c>
      <c r="V47" s="774" t="s">
        <v>17</v>
      </c>
      <c r="W47" s="775">
        <f t="shared" si="11"/>
        <v>100</v>
      </c>
      <c r="X47" s="1815"/>
      <c r="Y47" s="3259"/>
      <c r="Z47" s="1816">
        <f t="shared" si="12"/>
        <v>111</v>
      </c>
      <c r="AA47" s="1813">
        <f t="shared" si="3"/>
        <v>1</v>
      </c>
      <c r="AB47" s="1813">
        <f t="shared" si="4"/>
        <v>1</v>
      </c>
      <c r="AC47" s="2676">
        <f t="shared" si="5"/>
        <v>1</v>
      </c>
    </row>
    <row r="48" spans="1:29" ht="15">
      <c r="A48" s="479" t="s">
        <v>2575</v>
      </c>
      <c r="B48" s="480"/>
      <c r="C48" s="1410" t="s">
        <v>1</v>
      </c>
      <c r="D48" s="1411"/>
      <c r="E48" s="1412"/>
      <c r="F48" s="1413"/>
      <c r="G48" s="1414"/>
      <c r="H48" s="1415"/>
      <c r="I48" s="1412"/>
      <c r="J48" s="485"/>
      <c r="K48" s="783"/>
      <c r="L48" s="1146"/>
      <c r="M48" s="1134"/>
      <c r="N48" s="1134"/>
      <c r="O48" s="1134"/>
      <c r="P48" s="3224" t="str">
        <f>A48</f>
        <v>成交单价（元/平方米）</v>
      </c>
      <c r="Q48" s="3200"/>
      <c r="R48" s="3255">
        <f>E48</f>
        <v>0</v>
      </c>
      <c r="S48" s="3255"/>
      <c r="T48" s="3255">
        <f>G48</f>
        <v>0</v>
      </c>
      <c r="U48" s="3255"/>
      <c r="V48" s="3255">
        <f>I48</f>
        <v>0</v>
      </c>
      <c r="W48" s="3255"/>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24" t="str">
        <f>A49</f>
        <v>比较价值（元/平方米）</v>
      </c>
      <c r="Q49" s="3200"/>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74" t="str">
        <f>A50</f>
        <v>估价对象XX用房的比较价值（楼面单价，元/平方米）</v>
      </c>
      <c r="Q50" s="3275"/>
      <c r="R50" s="3276" t="e">
        <f>IF(F1="售价",ROUND(AVERAGE(R49:V49),0),ROUND(AVERAGE(R49:V49),1))</f>
        <v>#DIV/0!</v>
      </c>
      <c r="S50" s="3276"/>
      <c r="T50" s="3276"/>
      <c r="U50" s="3276"/>
      <c r="V50" s="3276"/>
      <c r="W50" s="327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3"/>
      <c r="M5" s="1134"/>
      <c r="N5" s="1134"/>
      <c r="O5" s="1134"/>
      <c r="P5" s="3207"/>
      <c r="Q5" s="3208"/>
      <c r="R5" s="3189"/>
      <c r="S5" s="3190"/>
      <c r="T5" s="3189"/>
      <c r="U5" s="3190"/>
      <c r="V5" s="3213"/>
      <c r="W5" s="3213"/>
      <c r="X5" s="1815"/>
      <c r="Y5" s="3189"/>
      <c r="Z5" s="3190"/>
      <c r="AA5" s="3183"/>
      <c r="AB5" s="3183"/>
      <c r="AC5" s="3183"/>
    </row>
    <row r="6" spans="1:29" ht="15.75" thickBot="1">
      <c r="A6" s="406"/>
      <c r="B6" s="407"/>
      <c r="C6" s="3195" t="s">
        <v>2544</v>
      </c>
      <c r="D6" s="3196"/>
      <c r="E6" s="3253" t="s">
        <v>2544</v>
      </c>
      <c r="F6" s="3198"/>
      <c r="G6" s="3195" t="s">
        <v>2544</v>
      </c>
      <c r="H6" s="3196"/>
      <c r="I6" s="3195" t="s">
        <v>2544</v>
      </c>
      <c r="J6" s="3196"/>
      <c r="K6" s="610" t="s">
        <v>2545</v>
      </c>
      <c r="L6" s="1133"/>
      <c r="M6" s="1134"/>
      <c r="N6" s="1134"/>
      <c r="O6" s="1134"/>
      <c r="P6" s="3209"/>
      <c r="Q6" s="3210"/>
      <c r="R6" s="3189"/>
      <c r="S6" s="3190"/>
      <c r="T6" s="3211"/>
      <c r="U6" s="3212"/>
      <c r="V6" s="3213"/>
      <c r="W6" s="3213"/>
      <c r="X6" s="1815"/>
      <c r="Y6" s="3211"/>
      <c r="Z6" s="3212"/>
      <c r="AA6" s="3184"/>
      <c r="AB6" s="3184"/>
      <c r="AC6" s="3184"/>
    </row>
    <row r="7" spans="1:29" s="117" customFormat="1" ht="15.75" thickBot="1">
      <c r="A7" s="408" t="s">
        <v>2546</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5" t="s">
        <v>2547</v>
      </c>
      <c r="Q7" s="3214"/>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5" t="s">
        <v>2558</v>
      </c>
      <c r="Q15" s="1812" t="str">
        <f t="shared" si="6"/>
        <v>产业集聚程度</v>
      </c>
      <c r="R15" s="774" t="s">
        <v>17</v>
      </c>
      <c r="S15" s="775">
        <f t="shared" si="0"/>
        <v>100</v>
      </c>
      <c r="T15" s="774" t="s">
        <v>17</v>
      </c>
      <c r="U15" s="775">
        <f t="shared" si="1"/>
        <v>100</v>
      </c>
      <c r="V15" s="774" t="s">
        <v>17</v>
      </c>
      <c r="W15" s="775">
        <f t="shared" si="2"/>
        <v>100</v>
      </c>
      <c r="X15" s="1815"/>
      <c r="Y15" s="3215"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6"/>
      <c r="Q16" s="1812"/>
      <c r="R16" s="774"/>
      <c r="S16" s="775"/>
      <c r="T16" s="774"/>
      <c r="U16" s="775"/>
      <c r="V16" s="774"/>
      <c r="W16" s="775"/>
      <c r="X16" s="1815"/>
      <c r="Y16" s="3216"/>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16"/>
      <c r="Q18" s="1812"/>
      <c r="R18" s="774"/>
      <c r="S18" s="775"/>
      <c r="T18" s="774"/>
      <c r="U18" s="775"/>
      <c r="V18" s="774"/>
      <c r="W18" s="775"/>
      <c r="X18" s="1815"/>
      <c r="Y18" s="3216"/>
      <c r="Z18" s="1816"/>
      <c r="AA18" s="1813">
        <v>1</v>
      </c>
      <c r="AB18" s="1813">
        <v>1</v>
      </c>
      <c r="AC18" s="1813">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6"/>
      <c r="Q19" s="1812" t="str">
        <f>B19</f>
        <v>公共配套设施</v>
      </c>
      <c r="R19" s="774" t="s">
        <v>17</v>
      </c>
      <c r="S19" s="775">
        <f>F19</f>
        <v>100</v>
      </c>
      <c r="T19" s="774" t="s">
        <v>17</v>
      </c>
      <c r="U19" s="775">
        <f>H19</f>
        <v>100</v>
      </c>
      <c r="V19" s="774" t="s">
        <v>17</v>
      </c>
      <c r="W19" s="775">
        <f>J19</f>
        <v>100</v>
      </c>
      <c r="X19" s="1815"/>
      <c r="Y19" s="3216"/>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16"/>
      <c r="Q20" s="1812"/>
      <c r="R20" s="774"/>
      <c r="S20" s="775"/>
      <c r="T20" s="774"/>
      <c r="U20" s="775"/>
      <c r="V20" s="774"/>
      <c r="W20" s="775"/>
      <c r="X20" s="1815"/>
      <c r="Y20" s="3216"/>
      <c r="Z20" s="1816"/>
      <c r="AA20" s="1813">
        <v>1</v>
      </c>
      <c r="AB20" s="1813">
        <v>1</v>
      </c>
      <c r="AC20" s="1813">
        <v>1</v>
      </c>
    </row>
    <row r="21" spans="1:29" ht="28.5">
      <c r="A21" s="428"/>
      <c r="B21" s="1387"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6"/>
      <c r="Q21" s="1812" t="str">
        <f>B21</f>
        <v>基础设施水平</v>
      </c>
      <c r="R21" s="774" t="s">
        <v>17</v>
      </c>
      <c r="S21" s="775">
        <f>F21</f>
        <v>100</v>
      </c>
      <c r="T21" s="774" t="s">
        <v>17</v>
      </c>
      <c r="U21" s="775">
        <f>H21</f>
        <v>100</v>
      </c>
      <c r="V21" s="774" t="s">
        <v>17</v>
      </c>
      <c r="W21" s="775">
        <f>J21</f>
        <v>100</v>
      </c>
      <c r="X21" s="1815"/>
      <c r="Y21" s="3216"/>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16"/>
      <c r="Q22" s="1812"/>
      <c r="R22" s="774"/>
      <c r="S22" s="775"/>
      <c r="T22" s="774"/>
      <c r="U22" s="775"/>
      <c r="V22" s="774"/>
      <c r="W22" s="775"/>
      <c r="X22" s="1815"/>
      <c r="Y22" s="3216"/>
      <c r="Z22" s="1816"/>
      <c r="AA22" s="1813">
        <v>1</v>
      </c>
      <c r="AB22" s="1813">
        <v>1</v>
      </c>
      <c r="AC22" s="1813">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6"/>
      <c r="Q23" s="1812" t="str">
        <f>B23</f>
        <v>环境质量</v>
      </c>
      <c r="R23" s="774" t="s">
        <v>17</v>
      </c>
      <c r="S23" s="775">
        <f>F23</f>
        <v>100</v>
      </c>
      <c r="T23" s="774" t="s">
        <v>17</v>
      </c>
      <c r="U23" s="775">
        <f>H23</f>
        <v>100</v>
      </c>
      <c r="V23" s="774" t="s">
        <v>17</v>
      </c>
      <c r="W23" s="775">
        <f>J23</f>
        <v>100</v>
      </c>
      <c r="X23" s="1815"/>
      <c r="Y23" s="3216"/>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16"/>
      <c r="Q24" s="1812"/>
      <c r="R24" s="774"/>
      <c r="S24" s="775"/>
      <c r="T24" s="774"/>
      <c r="U24" s="775"/>
      <c r="V24" s="774"/>
      <c r="W24" s="775"/>
      <c r="X24" s="1815"/>
      <c r="Y24" s="321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6"/>
      <c r="Q25" s="1812">
        <f>B25</f>
        <v>111</v>
      </c>
      <c r="R25" s="774" t="s">
        <v>17</v>
      </c>
      <c r="S25" s="775">
        <f>F25</f>
        <v>100</v>
      </c>
      <c r="T25" s="774" t="s">
        <v>17</v>
      </c>
      <c r="U25" s="775">
        <f>H25</f>
        <v>100</v>
      </c>
      <c r="V25" s="774" t="s">
        <v>17</v>
      </c>
      <c r="W25" s="775">
        <f>J25</f>
        <v>100</v>
      </c>
      <c r="X25" s="1815"/>
      <c r="Y25" s="321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6"/>
      <c r="Q26" s="1812">
        <f t="shared" ref="Q26:Q40" si="8">B26</f>
        <v>111</v>
      </c>
      <c r="R26" s="774" t="s">
        <v>17</v>
      </c>
      <c r="S26" s="775">
        <f>F26</f>
        <v>100</v>
      </c>
      <c r="T26" s="774" t="s">
        <v>17</v>
      </c>
      <c r="U26" s="775">
        <f>H26</f>
        <v>100</v>
      </c>
      <c r="V26" s="774" t="s">
        <v>17</v>
      </c>
      <c r="W26" s="775">
        <f>J26</f>
        <v>100</v>
      </c>
      <c r="X26" s="1815"/>
      <c r="Y26" s="321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6"/>
      <c r="Q27" s="1797">
        <f t="shared" si="8"/>
        <v>111</v>
      </c>
      <c r="R27" s="770" t="s">
        <v>17</v>
      </c>
      <c r="S27" s="771">
        <f>F27</f>
        <v>100</v>
      </c>
      <c r="T27" s="770" t="s">
        <v>17</v>
      </c>
      <c r="U27" s="771">
        <f>H27</f>
        <v>100</v>
      </c>
      <c r="V27" s="770" t="s">
        <v>17</v>
      </c>
      <c r="W27" s="771">
        <f>J27</f>
        <v>100</v>
      </c>
      <c r="X27" s="772"/>
      <c r="Y27" s="321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6"/>
      <c r="Q28" s="1812">
        <f t="shared" si="8"/>
        <v>111</v>
      </c>
      <c r="R28" s="774" t="s">
        <v>17</v>
      </c>
      <c r="S28" s="775">
        <f t="shared" ref="S28:S40" si="9">F28</f>
        <v>100</v>
      </c>
      <c r="T28" s="774" t="s">
        <v>17</v>
      </c>
      <c r="U28" s="775">
        <f t="shared" ref="U28:U40" si="10">H28</f>
        <v>100</v>
      </c>
      <c r="V28" s="774" t="s">
        <v>17</v>
      </c>
      <c r="W28" s="775">
        <f t="shared" ref="W28:W40" si="11">J28</f>
        <v>100</v>
      </c>
      <c r="X28" s="1815"/>
      <c r="Y28" s="3216"/>
      <c r="Z28" s="1816">
        <f t="shared" ref="Z28:Z40" si="12">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7" t="s">
        <v>2563</v>
      </c>
      <c r="Q29" s="1812" t="str">
        <f t="shared" si="8"/>
        <v>建筑类型</v>
      </c>
      <c r="R29" s="774" t="s">
        <v>17</v>
      </c>
      <c r="S29" s="775">
        <f t="shared" si="9"/>
        <v>100</v>
      </c>
      <c r="T29" s="774" t="s">
        <v>17</v>
      </c>
      <c r="U29" s="775">
        <f t="shared" si="10"/>
        <v>100</v>
      </c>
      <c r="V29" s="774" t="s">
        <v>17</v>
      </c>
      <c r="W29" s="775">
        <f t="shared" si="11"/>
        <v>100</v>
      </c>
      <c r="X29" s="1815"/>
      <c r="Y29" s="3218" t="s">
        <v>2563</v>
      </c>
      <c r="Z29" s="1816" t="str">
        <f t="shared" si="12"/>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8"/>
        <v>项目建筑规模</v>
      </c>
      <c r="R30" s="777" t="s">
        <v>17</v>
      </c>
      <c r="S30" s="778" t="e">
        <f t="shared" si="9"/>
        <v>#N/A</v>
      </c>
      <c r="T30" s="777" t="s">
        <v>17</v>
      </c>
      <c r="U30" s="778" t="e">
        <f t="shared" si="10"/>
        <v>#N/A</v>
      </c>
      <c r="V30" s="777" t="s">
        <v>17</v>
      </c>
      <c r="W30" s="778" t="e">
        <f t="shared" si="11"/>
        <v>#N/A</v>
      </c>
      <c r="X30" s="779"/>
      <c r="Y30" s="3218"/>
      <c r="Z30" s="780" t="str">
        <f t="shared" si="12"/>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2" t="str">
        <f t="shared" si="8"/>
        <v>建筑结构</v>
      </c>
      <c r="R31" s="774" t="s">
        <v>17</v>
      </c>
      <c r="S31" s="775">
        <f t="shared" si="9"/>
        <v>100</v>
      </c>
      <c r="T31" s="774" t="s">
        <v>17</v>
      </c>
      <c r="U31" s="775">
        <f t="shared" si="10"/>
        <v>100</v>
      </c>
      <c r="V31" s="774" t="s">
        <v>17</v>
      </c>
      <c r="W31" s="775">
        <f t="shared" si="11"/>
        <v>100</v>
      </c>
      <c r="X31" s="1815"/>
      <c r="Y31" s="3218"/>
      <c r="Z31" s="1816" t="str">
        <f t="shared" si="12"/>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2" t="str">
        <f t="shared" si="8"/>
        <v>公共部分装修</v>
      </c>
      <c r="R32" s="774" t="s">
        <v>17</v>
      </c>
      <c r="S32" s="775">
        <f t="shared" si="9"/>
        <v>100</v>
      </c>
      <c r="T32" s="774" t="s">
        <v>17</v>
      </c>
      <c r="U32" s="775">
        <f t="shared" si="10"/>
        <v>100</v>
      </c>
      <c r="V32" s="774" t="s">
        <v>17</v>
      </c>
      <c r="W32" s="775">
        <f t="shared" si="11"/>
        <v>100</v>
      </c>
      <c r="X32" s="1815"/>
      <c r="Y32" s="3218"/>
      <c r="Z32" s="1816" t="str">
        <f t="shared" si="12"/>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2" t="str">
        <f t="shared" si="8"/>
        <v>成新度</v>
      </c>
      <c r="R33" s="774" t="s">
        <v>17</v>
      </c>
      <c r="S33" s="775" t="e">
        <f t="shared" si="9"/>
        <v>#N/A</v>
      </c>
      <c r="T33" s="774" t="s">
        <v>17</v>
      </c>
      <c r="U33" s="775" t="e">
        <f t="shared" si="10"/>
        <v>#N/A</v>
      </c>
      <c r="V33" s="774" t="s">
        <v>17</v>
      </c>
      <c r="W33" s="775" t="e">
        <f t="shared" si="11"/>
        <v>#N/A</v>
      </c>
      <c r="X33" s="1815"/>
      <c r="Y33" s="3218"/>
      <c r="Z33" s="1816" t="str">
        <f t="shared" si="12"/>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7" t="str">
        <f t="shared" si="8"/>
        <v>物业管理</v>
      </c>
      <c r="R34" s="770" t="s">
        <v>17</v>
      </c>
      <c r="S34" s="771">
        <f t="shared" si="9"/>
        <v>100</v>
      </c>
      <c r="T34" s="770" t="s">
        <v>17</v>
      </c>
      <c r="U34" s="771">
        <f t="shared" si="10"/>
        <v>100</v>
      </c>
      <c r="V34" s="770" t="s">
        <v>17</v>
      </c>
      <c r="W34" s="771">
        <f t="shared" si="11"/>
        <v>100</v>
      </c>
      <c r="X34" s="772"/>
      <c r="Y34" s="3218"/>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2563</v>
      </c>
      <c r="Q35" s="1812" t="str">
        <f t="shared" si="8"/>
        <v>市政基础设施</v>
      </c>
      <c r="R35" s="774" t="s">
        <v>17</v>
      </c>
      <c r="S35" s="775">
        <f t="shared" si="9"/>
        <v>100</v>
      </c>
      <c r="T35" s="774" t="s">
        <v>17</v>
      </c>
      <c r="U35" s="775">
        <f t="shared" si="10"/>
        <v>100</v>
      </c>
      <c r="V35" s="774" t="s">
        <v>17</v>
      </c>
      <c r="W35" s="775">
        <f t="shared" si="11"/>
        <v>100</v>
      </c>
      <c r="X35" s="1815"/>
      <c r="Y35" s="3218" t="s">
        <v>2563</v>
      </c>
      <c r="Z35" s="1816" t="str">
        <f t="shared" si="12"/>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2" t="str">
        <f t="shared" si="8"/>
        <v>内部装修</v>
      </c>
      <c r="R36" s="774" t="s">
        <v>17</v>
      </c>
      <c r="S36" s="775">
        <f t="shared" si="9"/>
        <v>100</v>
      </c>
      <c r="T36" s="774" t="s">
        <v>17</v>
      </c>
      <c r="U36" s="775">
        <f t="shared" si="10"/>
        <v>100</v>
      </c>
      <c r="V36" s="774" t="s">
        <v>17</v>
      </c>
      <c r="W36" s="775">
        <f t="shared" si="11"/>
        <v>100</v>
      </c>
      <c r="X36" s="1815"/>
      <c r="Y36" s="3218"/>
      <c r="Z36" s="1816" t="str">
        <f t="shared" si="12"/>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2" t="str">
        <f t="shared" si="8"/>
        <v>内部装修状况</v>
      </c>
      <c r="R37" s="774" t="s">
        <v>17</v>
      </c>
      <c r="S37" s="775">
        <f t="shared" si="9"/>
        <v>100</v>
      </c>
      <c r="T37" s="774" t="s">
        <v>17</v>
      </c>
      <c r="U37" s="775">
        <f t="shared" si="10"/>
        <v>100</v>
      </c>
      <c r="V37" s="774" t="s">
        <v>17</v>
      </c>
      <c r="W37" s="775">
        <f t="shared" si="11"/>
        <v>100</v>
      </c>
      <c r="X37" s="1815"/>
      <c r="Y37" s="3218"/>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8"/>
        <v>111</v>
      </c>
      <c r="R38" s="777" t="s">
        <v>17</v>
      </c>
      <c r="S38" s="778">
        <f t="shared" si="9"/>
        <v>100</v>
      </c>
      <c r="T38" s="777" t="s">
        <v>17</v>
      </c>
      <c r="U38" s="778">
        <f t="shared" si="10"/>
        <v>100</v>
      </c>
      <c r="V38" s="777" t="s">
        <v>17</v>
      </c>
      <c r="W38" s="778">
        <f t="shared" si="11"/>
        <v>100</v>
      </c>
      <c r="X38" s="779"/>
      <c r="Y38" s="3218"/>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2">
        <f t="shared" si="8"/>
        <v>111</v>
      </c>
      <c r="R39" s="774" t="s">
        <v>17</v>
      </c>
      <c r="S39" s="775">
        <f t="shared" si="9"/>
        <v>100</v>
      </c>
      <c r="T39" s="774" t="s">
        <v>17</v>
      </c>
      <c r="U39" s="775">
        <f t="shared" si="10"/>
        <v>100</v>
      </c>
      <c r="V39" s="774" t="s">
        <v>17</v>
      </c>
      <c r="W39" s="775">
        <f t="shared" si="11"/>
        <v>100</v>
      </c>
      <c r="X39" s="1815"/>
      <c r="Y39" s="3218"/>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9"/>
      <c r="Q40" s="1812">
        <f t="shared" si="8"/>
        <v>111</v>
      </c>
      <c r="R40" s="774" t="s">
        <v>17</v>
      </c>
      <c r="S40" s="775">
        <f t="shared" si="9"/>
        <v>100</v>
      </c>
      <c r="T40" s="774" t="s">
        <v>17</v>
      </c>
      <c r="U40" s="775">
        <f t="shared" si="10"/>
        <v>100</v>
      </c>
      <c r="V40" s="774" t="s">
        <v>17</v>
      </c>
      <c r="W40" s="775">
        <f t="shared" si="11"/>
        <v>100</v>
      </c>
      <c r="X40" s="1815"/>
      <c r="Y40" s="3259"/>
      <c r="Z40" s="1816">
        <f t="shared" si="12"/>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200" t="str">
        <f>A41</f>
        <v>成交单价（元/平方米）</v>
      </c>
      <c r="Q41" s="3200"/>
      <c r="R41" s="3255">
        <f>E41</f>
        <v>0</v>
      </c>
      <c r="S41" s="3255"/>
      <c r="T41" s="3255">
        <f>G41</f>
        <v>0</v>
      </c>
      <c r="U41" s="3255"/>
      <c r="V41" s="3255">
        <f>I41</f>
        <v>0</v>
      </c>
      <c r="W41" s="3255"/>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20" t="str">
        <f>A43</f>
        <v>估价对象XX用房的比较价值（楼面单价，元/平方米）</v>
      </c>
      <c r="Q43" s="3221"/>
      <c r="R43" s="3254" t="e">
        <f>IF(F1="售价",ROUND(AVERAGE(R42:V42),0),ROUND(AVERAGE(R42:V42),1))</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3"/>
      <c r="M5" s="1134"/>
      <c r="N5" s="1134"/>
      <c r="O5" s="1134"/>
      <c r="P5" s="3207"/>
      <c r="Q5" s="3208"/>
      <c r="R5" s="3189"/>
      <c r="S5" s="3190"/>
      <c r="T5" s="3189"/>
      <c r="U5" s="3190"/>
      <c r="V5" s="3213"/>
      <c r="W5" s="3213"/>
      <c r="X5" s="1815"/>
      <c r="Y5" s="3189"/>
      <c r="Z5" s="3190"/>
      <c r="AA5" s="3183"/>
      <c r="AB5" s="3183"/>
      <c r="AC5" s="3183"/>
    </row>
    <row r="6" spans="1:29" ht="15.75" thickBot="1">
      <c r="A6" s="406"/>
      <c r="B6" s="407"/>
      <c r="C6" s="3195" t="s">
        <v>2544</v>
      </c>
      <c r="D6" s="3196"/>
      <c r="E6" s="3253" t="s">
        <v>2544</v>
      </c>
      <c r="F6" s="3198"/>
      <c r="G6" s="3195" t="s">
        <v>2544</v>
      </c>
      <c r="H6" s="3196"/>
      <c r="I6" s="3195" t="s">
        <v>2544</v>
      </c>
      <c r="J6" s="3196"/>
      <c r="K6" s="610" t="s">
        <v>2545</v>
      </c>
      <c r="L6" s="1133"/>
      <c r="M6" s="1134"/>
      <c r="N6" s="1134"/>
      <c r="O6" s="1134"/>
      <c r="P6" s="3209"/>
      <c r="Q6" s="3210"/>
      <c r="R6" s="3189"/>
      <c r="S6" s="3190"/>
      <c r="T6" s="3211"/>
      <c r="U6" s="3212"/>
      <c r="V6" s="3213"/>
      <c r="W6" s="3213"/>
      <c r="X6" s="1815"/>
      <c r="Y6" s="3211"/>
      <c r="Z6" s="3212"/>
      <c r="AA6" s="3184"/>
      <c r="AB6" s="3184"/>
      <c r="AC6" s="3184"/>
    </row>
    <row r="7" spans="1:29" s="117" customFormat="1" ht="15.75" thickBot="1">
      <c r="A7" s="408" t="s">
        <v>2546</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5" t="s">
        <v>2547</v>
      </c>
      <c r="Q7" s="3214"/>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5" t="s">
        <v>2550</v>
      </c>
      <c r="Q8" s="3186"/>
      <c r="R8" s="770" t="s">
        <v>17</v>
      </c>
      <c r="S8" s="771">
        <f t="shared" si="0"/>
        <v>0</v>
      </c>
      <c r="T8" s="770" t="s">
        <v>17</v>
      </c>
      <c r="U8" s="771">
        <f t="shared" si="1"/>
        <v>0</v>
      </c>
      <c r="V8" s="770" t="s">
        <v>17</v>
      </c>
      <c r="W8" s="771">
        <f t="shared" si="2"/>
        <v>0</v>
      </c>
      <c r="X8" s="772"/>
      <c r="Y8" s="3185" t="s">
        <v>2550</v>
      </c>
      <c r="Z8" s="318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2553</v>
      </c>
      <c r="Q9" s="1797"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7">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5" t="s">
        <v>2558</v>
      </c>
      <c r="Q14" s="1812" t="str">
        <f t="shared" si="6"/>
        <v>交通便捷度</v>
      </c>
      <c r="R14" s="774" t="s">
        <v>17</v>
      </c>
      <c r="S14" s="775">
        <f t="shared" si="0"/>
        <v>100</v>
      </c>
      <c r="T14" s="774" t="s">
        <v>17</v>
      </c>
      <c r="U14" s="775">
        <f t="shared" si="1"/>
        <v>100</v>
      </c>
      <c r="V14" s="774" t="s">
        <v>17</v>
      </c>
      <c r="W14" s="775">
        <f t="shared" si="2"/>
        <v>100</v>
      </c>
      <c r="X14" s="1815"/>
      <c r="Y14" s="3215"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6"/>
      <c r="Q15" s="1812"/>
      <c r="R15" s="774"/>
      <c r="S15" s="775"/>
      <c r="T15" s="774"/>
      <c r="U15" s="775"/>
      <c r="V15" s="774"/>
      <c r="W15" s="775"/>
      <c r="X15" s="1815"/>
      <c r="Y15" s="3216"/>
      <c r="Z15" s="1816"/>
      <c r="AA15" s="1813">
        <v>1</v>
      </c>
      <c r="AB15" s="1813">
        <v>1</v>
      </c>
      <c r="AC15" s="1813">
        <v>1</v>
      </c>
    </row>
    <row r="16" spans="1:29" ht="213.75">
      <c r="A16" s="404"/>
      <c r="B16" s="63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16"/>
      <c r="Q17" s="1812"/>
      <c r="R17" s="774"/>
      <c r="S17" s="775"/>
      <c r="T17" s="774"/>
      <c r="U17" s="775"/>
      <c r="V17" s="774"/>
      <c r="W17" s="775"/>
      <c r="X17" s="1815"/>
      <c r="Y17" s="3216"/>
      <c r="Z17" s="1816"/>
      <c r="AA17" s="1813">
        <v>1</v>
      </c>
      <c r="AB17" s="1813">
        <v>1</v>
      </c>
      <c r="AC17" s="1813">
        <v>1</v>
      </c>
    </row>
    <row r="18" spans="1:29" ht="42.75">
      <c r="A18" s="404"/>
      <c r="B18" s="633" t="s">
        <v>2687</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216"/>
      <c r="Q19" s="1812"/>
      <c r="R19" s="774"/>
      <c r="S19" s="775"/>
      <c r="T19" s="774"/>
      <c r="U19" s="775"/>
      <c r="V19" s="774"/>
      <c r="W19" s="775"/>
      <c r="X19" s="1815"/>
      <c r="Y19" s="3216"/>
      <c r="Z19" s="1816"/>
      <c r="AA19" s="1813">
        <v>1</v>
      </c>
      <c r="AB19" s="1813">
        <v>1</v>
      </c>
      <c r="AC19" s="1813">
        <v>1</v>
      </c>
    </row>
    <row r="20" spans="1:29" ht="71.25">
      <c r="A20" s="404"/>
      <c r="B20" s="631" t="s">
        <v>2708</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6"/>
      <c r="Q21" s="1812"/>
      <c r="R21" s="774"/>
      <c r="S21" s="775"/>
      <c r="T21" s="774"/>
      <c r="U21" s="775"/>
      <c r="V21" s="774"/>
      <c r="W21" s="775"/>
      <c r="X21" s="1815"/>
      <c r="Y21" s="3216"/>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6"/>
      <c r="Q24" s="1812">
        <f t="shared" ref="Q24:Q36" si="8">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6"/>
      <c r="Q25" s="1797">
        <f t="shared" si="8"/>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2563</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18" t="s">
        <v>2563</v>
      </c>
      <c r="Z26" s="1816" t="str">
        <f t="shared" ref="Z26:Z36" si="12">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8"/>
        <v>项目停车位配比</v>
      </c>
      <c r="R27" s="777" t="s">
        <v>17</v>
      </c>
      <c r="S27" s="778">
        <f t="shared" si="9"/>
        <v>100</v>
      </c>
      <c r="T27" s="777" t="s">
        <v>17</v>
      </c>
      <c r="U27" s="778">
        <f t="shared" si="10"/>
        <v>100</v>
      </c>
      <c r="V27" s="777" t="s">
        <v>17</v>
      </c>
      <c r="W27" s="778">
        <f t="shared" si="11"/>
        <v>100</v>
      </c>
      <c r="X27" s="779"/>
      <c r="Y27" s="3218"/>
      <c r="Z27" s="780" t="str">
        <f t="shared" si="12"/>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2" t="str">
        <f t="shared" si="8"/>
        <v>公共部分装修</v>
      </c>
      <c r="R28" s="774" t="s">
        <v>17</v>
      </c>
      <c r="S28" s="775">
        <f t="shared" si="9"/>
        <v>100</v>
      </c>
      <c r="T28" s="774" t="s">
        <v>17</v>
      </c>
      <c r="U28" s="775">
        <f t="shared" si="10"/>
        <v>100</v>
      </c>
      <c r="V28" s="774" t="s">
        <v>17</v>
      </c>
      <c r="W28" s="775">
        <f t="shared" si="11"/>
        <v>100</v>
      </c>
      <c r="X28" s="1815"/>
      <c r="Y28" s="3218"/>
      <c r="Z28" s="1816" t="str">
        <f t="shared" si="12"/>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2" t="str">
        <f t="shared" si="8"/>
        <v>成新率</v>
      </c>
      <c r="R29" s="774" t="s">
        <v>17</v>
      </c>
      <c r="S29" s="775" t="e">
        <f t="shared" si="9"/>
        <v>#N/A</v>
      </c>
      <c r="T29" s="774" t="s">
        <v>17</v>
      </c>
      <c r="U29" s="775" t="e">
        <f t="shared" si="10"/>
        <v>#N/A</v>
      </c>
      <c r="V29" s="774" t="s">
        <v>17</v>
      </c>
      <c r="W29" s="775" t="e">
        <f t="shared" si="11"/>
        <v>#N/A</v>
      </c>
      <c r="X29" s="1815"/>
      <c r="Y29" s="3218"/>
      <c r="Z29" s="1816" t="str">
        <f t="shared" si="12"/>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2" t="str">
        <f t="shared" si="8"/>
        <v>物业等级</v>
      </c>
      <c r="R30" s="774" t="s">
        <v>17</v>
      </c>
      <c r="S30" s="775">
        <f t="shared" si="9"/>
        <v>100</v>
      </c>
      <c r="T30" s="774" t="s">
        <v>17</v>
      </c>
      <c r="U30" s="775">
        <f t="shared" si="10"/>
        <v>100</v>
      </c>
      <c r="V30" s="774" t="s">
        <v>17</v>
      </c>
      <c r="W30" s="775">
        <f t="shared" si="11"/>
        <v>100</v>
      </c>
      <c r="X30" s="1815"/>
      <c r="Y30" s="3218"/>
      <c r="Z30" s="1816" t="str">
        <f t="shared" si="12"/>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7" t="str">
        <f t="shared" si="8"/>
        <v>停车位面积</v>
      </c>
      <c r="R31" s="770" t="s">
        <v>17</v>
      </c>
      <c r="S31" s="771" t="e">
        <f t="shared" si="9"/>
        <v>#N/A</v>
      </c>
      <c r="T31" s="770" t="s">
        <v>17</v>
      </c>
      <c r="U31" s="771" t="e">
        <f t="shared" si="10"/>
        <v>#N/A</v>
      </c>
      <c r="V31" s="770" t="s">
        <v>17</v>
      </c>
      <c r="W31" s="771" t="e">
        <f t="shared" si="11"/>
        <v>#N/A</v>
      </c>
      <c r="X31" s="772"/>
      <c r="Y31" s="3218"/>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2563</v>
      </c>
      <c r="Q32" s="1812" t="str">
        <f t="shared" si="8"/>
        <v>车位类型</v>
      </c>
      <c r="R32" s="774" t="s">
        <v>17</v>
      </c>
      <c r="S32" s="775">
        <f t="shared" si="9"/>
        <v>100</v>
      </c>
      <c r="T32" s="774" t="s">
        <v>17</v>
      </c>
      <c r="U32" s="775">
        <f t="shared" si="10"/>
        <v>100</v>
      </c>
      <c r="V32" s="774" t="s">
        <v>17</v>
      </c>
      <c r="W32" s="775">
        <f t="shared" si="11"/>
        <v>100</v>
      </c>
      <c r="X32" s="1815"/>
      <c r="Y32" s="3218" t="s">
        <v>2563</v>
      </c>
      <c r="Z32" s="1816" t="str">
        <f t="shared" si="12"/>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2" t="str">
        <f t="shared" si="8"/>
        <v>是否直接入户</v>
      </c>
      <c r="R33" s="774" t="s">
        <v>17</v>
      </c>
      <c r="S33" s="775">
        <f t="shared" si="9"/>
        <v>100</v>
      </c>
      <c r="T33" s="774" t="s">
        <v>17</v>
      </c>
      <c r="U33" s="775">
        <f t="shared" si="10"/>
        <v>100</v>
      </c>
      <c r="V33" s="774" t="s">
        <v>17</v>
      </c>
      <c r="W33" s="775">
        <f t="shared" si="11"/>
        <v>100</v>
      </c>
      <c r="X33" s="1815"/>
      <c r="Y33" s="3218"/>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2">
        <f t="shared" si="8"/>
        <v>111</v>
      </c>
      <c r="R34" s="774" t="s">
        <v>17</v>
      </c>
      <c r="S34" s="775">
        <f t="shared" si="9"/>
        <v>100</v>
      </c>
      <c r="T34" s="774" t="s">
        <v>17</v>
      </c>
      <c r="U34" s="775">
        <f t="shared" si="10"/>
        <v>100</v>
      </c>
      <c r="V34" s="774" t="s">
        <v>17</v>
      </c>
      <c r="W34" s="775">
        <f t="shared" si="11"/>
        <v>100</v>
      </c>
      <c r="X34" s="1815"/>
      <c r="Y34" s="3218"/>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8"/>
        <v>111</v>
      </c>
      <c r="R35" s="777" t="s">
        <v>17</v>
      </c>
      <c r="S35" s="778">
        <f t="shared" si="9"/>
        <v>100</v>
      </c>
      <c r="T35" s="777" t="s">
        <v>17</v>
      </c>
      <c r="U35" s="778">
        <f t="shared" si="10"/>
        <v>100</v>
      </c>
      <c r="V35" s="777" t="s">
        <v>17</v>
      </c>
      <c r="W35" s="778">
        <f t="shared" si="11"/>
        <v>100</v>
      </c>
      <c r="X35" s="779"/>
      <c r="Y35" s="3218"/>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2">
        <f t="shared" si="8"/>
        <v>111</v>
      </c>
      <c r="R36" s="774" t="s">
        <v>17</v>
      </c>
      <c r="S36" s="775">
        <f t="shared" si="9"/>
        <v>100</v>
      </c>
      <c r="T36" s="774" t="s">
        <v>17</v>
      </c>
      <c r="U36" s="775">
        <f t="shared" si="10"/>
        <v>100</v>
      </c>
      <c r="V36" s="774" t="s">
        <v>17</v>
      </c>
      <c r="W36" s="775">
        <f t="shared" si="11"/>
        <v>100</v>
      </c>
      <c r="X36" s="1815"/>
      <c r="Y36" s="3218"/>
      <c r="Z36" s="1816">
        <f t="shared" si="12"/>
        <v>111</v>
      </c>
      <c r="AA36" s="1813">
        <f t="shared" si="3"/>
        <v>1</v>
      </c>
      <c r="AB36" s="1813">
        <f t="shared" si="4"/>
        <v>1</v>
      </c>
      <c r="AC36" s="1813">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200" t="str">
        <f>A37</f>
        <v>成交单价</v>
      </c>
      <c r="Q37" s="3200"/>
      <c r="R37" s="3255">
        <f>E37</f>
        <v>0</v>
      </c>
      <c r="S37" s="3255"/>
      <c r="T37" s="3255">
        <f>G37</f>
        <v>0</v>
      </c>
      <c r="U37" s="3255"/>
      <c r="V37" s="3255">
        <f>I37</f>
        <v>0</v>
      </c>
      <c r="W37" s="3255"/>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20" t="str">
        <f>A39</f>
        <v>估价对象XX用房的比较价值（楼面单价，元/平方米）</v>
      </c>
      <c r="Q39" s="3221"/>
      <c r="R39" s="3254" t="e">
        <f>IF(F1="售价",ROUND(AVERAGE(R38:V38),0),ROUND(AVERAGE(R38:V38),1))</f>
        <v>#DIV/0!</v>
      </c>
      <c r="S39" s="3254"/>
      <c r="T39" s="3254"/>
      <c r="U39" s="3254"/>
      <c r="V39" s="3254"/>
      <c r="W39" s="325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3"/>
      <c r="M5" s="1134"/>
      <c r="N5" s="1134"/>
      <c r="O5" s="1134"/>
      <c r="P5" s="3207"/>
      <c r="Q5" s="3208"/>
      <c r="R5" s="3189"/>
      <c r="S5" s="3190"/>
      <c r="T5" s="3189"/>
      <c r="U5" s="3190"/>
      <c r="V5" s="3213"/>
      <c r="W5" s="3213"/>
      <c r="X5" s="1815"/>
      <c r="Y5" s="3189"/>
      <c r="Z5" s="3190"/>
      <c r="AA5" s="3183"/>
      <c r="AB5" s="3183"/>
      <c r="AC5" s="3183"/>
    </row>
    <row r="6" spans="1:29" ht="15.75" thickBot="1">
      <c r="A6" s="406"/>
      <c r="B6" s="407"/>
      <c r="C6" s="3195" t="s">
        <v>2544</v>
      </c>
      <c r="D6" s="3196"/>
      <c r="E6" s="3253" t="s">
        <v>2544</v>
      </c>
      <c r="F6" s="3198"/>
      <c r="G6" s="3195" t="s">
        <v>2544</v>
      </c>
      <c r="H6" s="3196"/>
      <c r="I6" s="3195" t="s">
        <v>2544</v>
      </c>
      <c r="J6" s="3196"/>
      <c r="K6" s="610" t="s">
        <v>2545</v>
      </c>
      <c r="L6" s="1133"/>
      <c r="M6" s="1134"/>
      <c r="N6" s="1134"/>
      <c r="O6" s="1134"/>
      <c r="P6" s="3209"/>
      <c r="Q6" s="3210"/>
      <c r="R6" s="3189"/>
      <c r="S6" s="3190"/>
      <c r="T6" s="3211"/>
      <c r="U6" s="3212"/>
      <c r="V6" s="3213"/>
      <c r="W6" s="3213"/>
      <c r="X6" s="1815"/>
      <c r="Y6" s="3211"/>
      <c r="Z6" s="3212"/>
      <c r="AA6" s="3184"/>
      <c r="AB6" s="3184"/>
      <c r="AC6" s="3184"/>
    </row>
    <row r="7" spans="1:29" s="117" customFormat="1" ht="15.75" thickBot="1">
      <c r="A7" s="408" t="s">
        <v>2546</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5" t="s">
        <v>2547</v>
      </c>
      <c r="Q7" s="3214"/>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5" t="s">
        <v>2550</v>
      </c>
      <c r="Q8" s="3186"/>
      <c r="R8" s="770" t="s">
        <v>17</v>
      </c>
      <c r="S8" s="771">
        <f t="shared" si="0"/>
        <v>0</v>
      </c>
      <c r="T8" s="770" t="s">
        <v>17</v>
      </c>
      <c r="U8" s="771">
        <f t="shared" si="1"/>
        <v>0</v>
      </c>
      <c r="V8" s="770" t="s">
        <v>17</v>
      </c>
      <c r="W8" s="771">
        <f t="shared" si="2"/>
        <v>0</v>
      </c>
      <c r="X8" s="772"/>
      <c r="Y8" s="3185" t="s">
        <v>2550</v>
      </c>
      <c r="Z8" s="318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2553</v>
      </c>
      <c r="Q9" s="1797"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7">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28.25">
      <c r="A14" s="440" t="s">
        <v>2557</v>
      </c>
      <c r="B14" s="6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5" t="s">
        <v>2558</v>
      </c>
      <c r="Q14" s="1812" t="str">
        <f t="shared" si="6"/>
        <v>交通便捷度</v>
      </c>
      <c r="R14" s="774" t="s">
        <v>17</v>
      </c>
      <c r="S14" s="775">
        <f t="shared" si="0"/>
        <v>100</v>
      </c>
      <c r="T14" s="774" t="s">
        <v>17</v>
      </c>
      <c r="U14" s="775">
        <f t="shared" si="1"/>
        <v>100</v>
      </c>
      <c r="V14" s="774" t="s">
        <v>17</v>
      </c>
      <c r="W14" s="775">
        <f t="shared" si="2"/>
        <v>100</v>
      </c>
      <c r="X14" s="1815"/>
      <c r="Y14" s="3215"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6"/>
      <c r="Q15" s="1812"/>
      <c r="R15" s="774"/>
      <c r="S15" s="775"/>
      <c r="T15" s="774"/>
      <c r="U15" s="775"/>
      <c r="V15" s="774"/>
      <c r="W15" s="775"/>
      <c r="X15" s="1815"/>
      <c r="Y15" s="3216"/>
      <c r="Z15" s="1816"/>
      <c r="AA15" s="1813">
        <v>1</v>
      </c>
      <c r="AB15" s="1813">
        <v>1</v>
      </c>
      <c r="AC15" s="1813">
        <v>1</v>
      </c>
    </row>
    <row r="16" spans="1:29" ht="213.75">
      <c r="A16" s="428"/>
      <c r="B16" s="45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6"/>
      <c r="Q16" s="1812" t="str">
        <f>B16</f>
        <v>公共配套设施</v>
      </c>
      <c r="R16" s="774" t="s">
        <v>17</v>
      </c>
      <c r="S16" s="775">
        <f>F16</f>
        <v>100</v>
      </c>
      <c r="T16" s="774" t="s">
        <v>17</v>
      </c>
      <c r="U16" s="775">
        <f>H16</f>
        <v>100</v>
      </c>
      <c r="V16" s="774" t="s">
        <v>17</v>
      </c>
      <c r="W16" s="775">
        <f>J16</f>
        <v>100</v>
      </c>
      <c r="X16" s="1815"/>
      <c r="Y16" s="3216"/>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16"/>
      <c r="Q17" s="1812"/>
      <c r="R17" s="774"/>
      <c r="S17" s="775"/>
      <c r="T17" s="774"/>
      <c r="U17" s="775"/>
      <c r="V17" s="774"/>
      <c r="W17" s="775"/>
      <c r="X17" s="1815"/>
      <c r="Y17" s="3216"/>
      <c r="Z17" s="1816"/>
      <c r="AA17" s="1813">
        <v>1</v>
      </c>
      <c r="AB17" s="1813">
        <v>1</v>
      </c>
      <c r="AC17" s="1813">
        <v>1</v>
      </c>
    </row>
    <row r="18" spans="1:29" ht="42.75">
      <c r="A18" s="428"/>
      <c r="B18" s="1387" t="s">
        <v>2687</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6"/>
      <c r="Q18" s="1812" t="str">
        <f>B18</f>
        <v>基础设施水平</v>
      </c>
      <c r="R18" s="774" t="s">
        <v>17</v>
      </c>
      <c r="S18" s="775">
        <f>F18</f>
        <v>100</v>
      </c>
      <c r="T18" s="774" t="s">
        <v>17</v>
      </c>
      <c r="U18" s="775">
        <f>H18</f>
        <v>100</v>
      </c>
      <c r="V18" s="774" t="s">
        <v>17</v>
      </c>
      <c r="W18" s="775">
        <f>J18</f>
        <v>100</v>
      </c>
      <c r="X18" s="1815"/>
      <c r="Y18" s="3216"/>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16"/>
      <c r="Q19" s="1812"/>
      <c r="R19" s="774"/>
      <c r="S19" s="775"/>
      <c r="T19" s="774"/>
      <c r="U19" s="775"/>
      <c r="V19" s="774"/>
      <c r="W19" s="775"/>
      <c r="X19" s="1815"/>
      <c r="Y19" s="3216"/>
      <c r="Z19" s="1816"/>
      <c r="AA19" s="1813">
        <v>1</v>
      </c>
      <c r="AB19" s="1813">
        <v>1</v>
      </c>
      <c r="AC19" s="1813">
        <v>1</v>
      </c>
    </row>
    <row r="20" spans="1:29" ht="71.25">
      <c r="A20" s="428"/>
      <c r="B20" s="451" t="s">
        <v>2708</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6"/>
      <c r="Q20" s="1812" t="str">
        <f>B20</f>
        <v>自然及人文环境</v>
      </c>
      <c r="R20" s="774" t="s">
        <v>17</v>
      </c>
      <c r="S20" s="775">
        <f>F20</f>
        <v>100</v>
      </c>
      <c r="T20" s="774" t="s">
        <v>17</v>
      </c>
      <c r="U20" s="775">
        <f>H20</f>
        <v>100</v>
      </c>
      <c r="V20" s="774" t="s">
        <v>17</v>
      </c>
      <c r="W20" s="775">
        <f>J20</f>
        <v>100</v>
      </c>
      <c r="X20" s="1815"/>
      <c r="Y20" s="321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6"/>
      <c r="Q21" s="1812"/>
      <c r="R21" s="774"/>
      <c r="S21" s="775"/>
      <c r="T21" s="774"/>
      <c r="U21" s="775"/>
      <c r="V21" s="774"/>
      <c r="W21" s="775"/>
      <c r="X21" s="1815"/>
      <c r="Y21" s="3216"/>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6"/>
      <c r="Q22" s="1812" t="str">
        <f>B22</f>
        <v>楼层</v>
      </c>
      <c r="R22" s="774" t="s">
        <v>17</v>
      </c>
      <c r="S22" s="775">
        <f>F22</f>
        <v>100</v>
      </c>
      <c r="T22" s="774" t="s">
        <v>17</v>
      </c>
      <c r="U22" s="775">
        <f>H22</f>
        <v>100</v>
      </c>
      <c r="V22" s="774" t="s">
        <v>17</v>
      </c>
      <c r="W22" s="775">
        <f>J22</f>
        <v>100</v>
      </c>
      <c r="X22" s="1815"/>
      <c r="Y22" s="3216"/>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6"/>
      <c r="Q23" s="1812">
        <f>B23</f>
        <v>111</v>
      </c>
      <c r="R23" s="774" t="s">
        <v>17</v>
      </c>
      <c r="S23" s="775">
        <f>F23</f>
        <v>100</v>
      </c>
      <c r="T23" s="774" t="s">
        <v>17</v>
      </c>
      <c r="U23" s="775">
        <f>H23</f>
        <v>100</v>
      </c>
      <c r="V23" s="774" t="s">
        <v>17</v>
      </c>
      <c r="W23" s="775">
        <f>J23</f>
        <v>100</v>
      </c>
      <c r="X23" s="1815"/>
      <c r="Y23" s="3216"/>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6"/>
      <c r="Q24" s="1812">
        <f t="shared" ref="Q24:Q34" si="8">B24</f>
        <v>111</v>
      </c>
      <c r="R24" s="774" t="s">
        <v>17</v>
      </c>
      <c r="S24" s="775">
        <f>F24</f>
        <v>100</v>
      </c>
      <c r="T24" s="774" t="s">
        <v>17</v>
      </c>
      <c r="U24" s="775">
        <f>H24</f>
        <v>100</v>
      </c>
      <c r="V24" s="774" t="s">
        <v>17</v>
      </c>
      <c r="W24" s="775">
        <f>J24</f>
        <v>100</v>
      </c>
      <c r="X24" s="1815"/>
      <c r="Y24" s="3216"/>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6"/>
      <c r="Q25" s="1797">
        <f t="shared" si="8"/>
        <v>111</v>
      </c>
      <c r="R25" s="770" t="s">
        <v>17</v>
      </c>
      <c r="S25" s="771">
        <f>F25</f>
        <v>100</v>
      </c>
      <c r="T25" s="770" t="s">
        <v>17</v>
      </c>
      <c r="U25" s="771">
        <f>H25</f>
        <v>100</v>
      </c>
      <c r="V25" s="770" t="s">
        <v>17</v>
      </c>
      <c r="W25" s="771">
        <f>J25</f>
        <v>100</v>
      </c>
      <c r="X25" s="772"/>
      <c r="Y25" s="3216"/>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7" t="s">
        <v>2563</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18" t="s">
        <v>2563</v>
      </c>
      <c r="Z26" s="1816" t="str">
        <f t="shared" ref="Z26:Z34" si="12">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8"/>
        <v>成新率</v>
      </c>
      <c r="R27" s="777" t="s">
        <v>17</v>
      </c>
      <c r="S27" s="778" t="e">
        <f t="shared" si="9"/>
        <v>#N/A</v>
      </c>
      <c r="T27" s="777" t="s">
        <v>17</v>
      </c>
      <c r="U27" s="778" t="e">
        <f t="shared" si="10"/>
        <v>#N/A</v>
      </c>
      <c r="V27" s="777" t="s">
        <v>17</v>
      </c>
      <c r="W27" s="778" t="e">
        <f t="shared" si="11"/>
        <v>#N/A</v>
      </c>
      <c r="X27" s="779"/>
      <c r="Y27" s="3218"/>
      <c r="Z27" s="780" t="str">
        <f t="shared" si="12"/>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2" t="str">
        <f t="shared" si="8"/>
        <v>物业等级</v>
      </c>
      <c r="R28" s="774" t="s">
        <v>17</v>
      </c>
      <c r="S28" s="775">
        <f t="shared" si="9"/>
        <v>100</v>
      </c>
      <c r="T28" s="774" t="s">
        <v>17</v>
      </c>
      <c r="U28" s="775">
        <f t="shared" si="10"/>
        <v>100</v>
      </c>
      <c r="V28" s="774" t="s">
        <v>17</v>
      </c>
      <c r="W28" s="775">
        <f t="shared" si="11"/>
        <v>100</v>
      </c>
      <c r="X28" s="1815"/>
      <c r="Y28" s="3218"/>
      <c r="Z28" s="1816" t="str">
        <f t="shared" si="12"/>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2" t="str">
        <f t="shared" si="8"/>
        <v>有无电梯</v>
      </c>
      <c r="R29" s="774" t="s">
        <v>17</v>
      </c>
      <c r="S29" s="775">
        <f t="shared" si="9"/>
        <v>100</v>
      </c>
      <c r="T29" s="774" t="s">
        <v>17</v>
      </c>
      <c r="U29" s="775">
        <f t="shared" si="10"/>
        <v>100</v>
      </c>
      <c r="V29" s="774" t="s">
        <v>17</v>
      </c>
      <c r="W29" s="775">
        <f t="shared" si="11"/>
        <v>100</v>
      </c>
      <c r="X29" s="1815"/>
      <c r="Y29" s="3218"/>
      <c r="Z29" s="1816" t="str">
        <f t="shared" si="12"/>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2" t="str">
        <f t="shared" si="8"/>
        <v>建筑面积</v>
      </c>
      <c r="R30" s="774" t="s">
        <v>17</v>
      </c>
      <c r="S30" s="775" t="e">
        <f t="shared" si="9"/>
        <v>#N/A</v>
      </c>
      <c r="T30" s="774" t="s">
        <v>17</v>
      </c>
      <c r="U30" s="775" t="e">
        <f t="shared" si="10"/>
        <v>#N/A</v>
      </c>
      <c r="V30" s="774" t="s">
        <v>17</v>
      </c>
      <c r="W30" s="775" t="e">
        <f t="shared" si="11"/>
        <v>#N/A</v>
      </c>
      <c r="X30" s="1815"/>
      <c r="Y30" s="3218"/>
      <c r="Z30" s="1816" t="str">
        <f t="shared" si="12"/>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7" t="str">
        <f t="shared" si="8"/>
        <v>是否封闭</v>
      </c>
      <c r="R31" s="770" t="s">
        <v>17</v>
      </c>
      <c r="S31" s="771">
        <f t="shared" si="9"/>
        <v>100</v>
      </c>
      <c r="T31" s="770" t="s">
        <v>17</v>
      </c>
      <c r="U31" s="771">
        <f t="shared" si="10"/>
        <v>100</v>
      </c>
      <c r="V31" s="770" t="s">
        <v>17</v>
      </c>
      <c r="W31" s="771">
        <f t="shared" si="11"/>
        <v>100</v>
      </c>
      <c r="X31" s="772"/>
      <c r="Y31" s="3218"/>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2563</v>
      </c>
      <c r="Q32" s="1812">
        <f t="shared" si="8"/>
        <v>111</v>
      </c>
      <c r="R32" s="774" t="s">
        <v>17</v>
      </c>
      <c r="S32" s="775">
        <f t="shared" si="9"/>
        <v>100</v>
      </c>
      <c r="T32" s="774" t="s">
        <v>17</v>
      </c>
      <c r="U32" s="775">
        <f t="shared" si="10"/>
        <v>100</v>
      </c>
      <c r="V32" s="774" t="s">
        <v>17</v>
      </c>
      <c r="W32" s="775">
        <f t="shared" si="11"/>
        <v>100</v>
      </c>
      <c r="X32" s="1815"/>
      <c r="Y32" s="3218" t="s">
        <v>2563</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2">
        <f t="shared" si="8"/>
        <v>111</v>
      </c>
      <c r="R33" s="774" t="s">
        <v>17</v>
      </c>
      <c r="S33" s="775">
        <f t="shared" si="9"/>
        <v>100</v>
      </c>
      <c r="T33" s="774" t="s">
        <v>17</v>
      </c>
      <c r="U33" s="775">
        <f t="shared" si="10"/>
        <v>100</v>
      </c>
      <c r="V33" s="774" t="s">
        <v>17</v>
      </c>
      <c r="W33" s="775">
        <f t="shared" si="11"/>
        <v>100</v>
      </c>
      <c r="X33" s="1815"/>
      <c r="Y33" s="3218"/>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8"/>
      <c r="Q34" s="1812">
        <f t="shared" si="8"/>
        <v>111</v>
      </c>
      <c r="R34" s="774" t="s">
        <v>17</v>
      </c>
      <c r="S34" s="775">
        <f t="shared" si="9"/>
        <v>100</v>
      </c>
      <c r="T34" s="774" t="s">
        <v>17</v>
      </c>
      <c r="U34" s="775">
        <f t="shared" si="10"/>
        <v>100</v>
      </c>
      <c r="V34" s="774" t="s">
        <v>17</v>
      </c>
      <c r="W34" s="775">
        <f t="shared" si="11"/>
        <v>100</v>
      </c>
      <c r="X34" s="1815"/>
      <c r="Y34" s="3218"/>
      <c r="Z34" s="1816">
        <f t="shared" si="12"/>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200" t="str">
        <f>A35</f>
        <v>成交单价（元/平方米）</v>
      </c>
      <c r="Q35" s="3200"/>
      <c r="R35" s="3255">
        <f>E35</f>
        <v>0</v>
      </c>
      <c r="S35" s="3255"/>
      <c r="T35" s="3255">
        <f>G35</f>
        <v>0</v>
      </c>
      <c r="U35" s="3255"/>
      <c r="V35" s="3255">
        <f>I35</f>
        <v>0</v>
      </c>
      <c r="W35" s="3255"/>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20" t="str">
        <f>A37</f>
        <v>估价对象XX用房的比较价值（楼面单价，元/平方米）</v>
      </c>
      <c r="Q37" s="3221"/>
      <c r="R37" s="3254" t="e">
        <f>IF(F1="售价",ROUND(AVERAGE(R36:V36),0),ROUND(AVERAGE(R36:V36),1))</f>
        <v>#DIV/0!</v>
      </c>
      <c r="S37" s="3254"/>
      <c r="T37" s="3254"/>
      <c r="U37" s="3254"/>
      <c r="V37" s="3254"/>
      <c r="W37" s="325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3"/>
      <c r="M4" s="1134"/>
      <c r="N4" s="1134"/>
      <c r="O4" s="1134"/>
      <c r="P4" s="3205" t="s">
        <v>2649</v>
      </c>
      <c r="Q4" s="3206"/>
      <c r="R4" s="3187" t="s">
        <v>2645</v>
      </c>
      <c r="S4" s="3188"/>
      <c r="T4" s="3187" t="s">
        <v>2646</v>
      </c>
      <c r="U4" s="3188"/>
      <c r="V4" s="3213" t="s">
        <v>2647</v>
      </c>
      <c r="W4" s="3213"/>
      <c r="X4" s="1815"/>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3"/>
      <c r="M5" s="1134"/>
      <c r="N5" s="1134"/>
      <c r="O5" s="1134"/>
      <c r="P5" s="3207"/>
      <c r="Q5" s="3208"/>
      <c r="R5" s="3189"/>
      <c r="S5" s="3190"/>
      <c r="T5" s="3189"/>
      <c r="U5" s="3190"/>
      <c r="V5" s="3213"/>
      <c r="W5" s="3213"/>
      <c r="X5" s="1815"/>
      <c r="Y5" s="3189"/>
      <c r="Z5" s="3190"/>
      <c r="AA5" s="3183"/>
      <c r="AB5" s="3183"/>
      <c r="AC5" s="3183"/>
    </row>
    <row r="6" spans="1:29" ht="15.75" thickBot="1">
      <c r="A6" s="406"/>
      <c r="B6" s="407"/>
      <c r="C6" s="3277" t="s">
        <v>2794</v>
      </c>
      <c r="D6" s="3278"/>
      <c r="E6" s="3279" t="s">
        <v>2794</v>
      </c>
      <c r="F6" s="3280"/>
      <c r="G6" s="3277" t="s">
        <v>2794</v>
      </c>
      <c r="H6" s="3278"/>
      <c r="I6" s="3277" t="s">
        <v>2794</v>
      </c>
      <c r="J6" s="3278"/>
      <c r="K6" s="610" t="s">
        <v>2545</v>
      </c>
      <c r="L6" s="1133"/>
      <c r="M6" s="1134"/>
      <c r="N6" s="1134"/>
      <c r="O6" s="1134"/>
      <c r="P6" s="3209"/>
      <c r="Q6" s="3210"/>
      <c r="R6" s="3189"/>
      <c r="S6" s="3190"/>
      <c r="T6" s="3211"/>
      <c r="U6" s="3212"/>
      <c r="V6" s="3213"/>
      <c r="W6" s="3213"/>
      <c r="X6" s="1815"/>
      <c r="Y6" s="3211"/>
      <c r="Z6" s="3212"/>
      <c r="AA6" s="3184"/>
      <c r="AB6" s="3184"/>
      <c r="AC6" s="3184"/>
    </row>
    <row r="7" spans="1:29" s="117" customFormat="1" ht="15.75" thickBot="1">
      <c r="A7" s="408" t="s">
        <v>2546</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5" t="s">
        <v>2547</v>
      </c>
      <c r="Q7" s="3214"/>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00" t="s">
        <v>2553</v>
      </c>
      <c r="Q9" s="1797"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00"/>
      <c r="Q10" s="1797" t="str">
        <f t="shared" si="6"/>
        <v>土地使用年限（年）</v>
      </c>
      <c r="R10" s="770" t="s">
        <v>17</v>
      </c>
      <c r="S10" s="771">
        <f t="shared" si="0"/>
        <v>112</v>
      </c>
      <c r="T10" s="770" t="s">
        <v>17</v>
      </c>
      <c r="U10" s="771">
        <f t="shared" si="1"/>
        <v>112</v>
      </c>
      <c r="V10" s="770" t="s">
        <v>17</v>
      </c>
      <c r="W10" s="771">
        <f t="shared" si="2"/>
        <v>112</v>
      </c>
      <c r="X10" s="772"/>
      <c r="Y10" s="3059"/>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5" t="s">
        <v>2558</v>
      </c>
      <c r="Q15" s="1812" t="str">
        <f t="shared" si="6"/>
        <v>产业集聚程度</v>
      </c>
      <c r="R15" s="774" t="s">
        <v>17</v>
      </c>
      <c r="S15" s="775">
        <f t="shared" si="0"/>
        <v>100</v>
      </c>
      <c r="T15" s="774" t="s">
        <v>17</v>
      </c>
      <c r="U15" s="775">
        <f t="shared" si="1"/>
        <v>100</v>
      </c>
      <c r="V15" s="774" t="s">
        <v>17</v>
      </c>
      <c r="W15" s="775">
        <f t="shared" si="2"/>
        <v>100</v>
      </c>
      <c r="X15" s="1815"/>
      <c r="Y15" s="3215" t="s">
        <v>2558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16"/>
      <c r="Q16" s="1812"/>
      <c r="R16" s="774"/>
      <c r="S16" s="775"/>
      <c r="T16" s="774"/>
      <c r="U16" s="775"/>
      <c r="V16" s="774"/>
      <c r="W16" s="775"/>
      <c r="X16" s="1815"/>
      <c r="Y16" s="3216"/>
      <c r="Z16" s="1816"/>
      <c r="AA16" s="1813">
        <v>1</v>
      </c>
      <c r="AB16" s="1813">
        <v>1</v>
      </c>
      <c r="AC16" s="1813">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6"/>
      <c r="Q17" s="1812" t="str">
        <f>B17</f>
        <v>交通便捷度</v>
      </c>
      <c r="R17" s="774" t="s">
        <v>17</v>
      </c>
      <c r="S17" s="775">
        <f>F17</f>
        <v>100</v>
      </c>
      <c r="T17" s="774" t="s">
        <v>17</v>
      </c>
      <c r="U17" s="775">
        <f>H17</f>
        <v>100</v>
      </c>
      <c r="V17" s="774" t="s">
        <v>17</v>
      </c>
      <c r="W17" s="775">
        <f>J17</f>
        <v>100</v>
      </c>
      <c r="X17" s="1815"/>
      <c r="Y17" s="3216"/>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16"/>
      <c r="Q18" s="1812"/>
      <c r="R18" s="774"/>
      <c r="S18" s="775"/>
      <c r="T18" s="774"/>
      <c r="U18" s="775"/>
      <c r="V18" s="774"/>
      <c r="W18" s="775"/>
      <c r="X18" s="1815"/>
      <c r="Y18" s="3216"/>
      <c r="Z18" s="1816"/>
      <c r="AA18" s="1813">
        <v>1</v>
      </c>
      <c r="AB18" s="1813">
        <v>1</v>
      </c>
      <c r="AC18" s="1813">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6"/>
      <c r="Q19" s="1812" t="str">
        <f t="shared" ref="Q19:Q33" si="8">B19</f>
        <v>区域土地利用方向</v>
      </c>
      <c r="R19" s="774" t="s">
        <v>17</v>
      </c>
      <c r="S19" s="775">
        <f>F19</f>
        <v>100</v>
      </c>
      <c r="T19" s="774" t="s">
        <v>17</v>
      </c>
      <c r="U19" s="775">
        <f>H19</f>
        <v>100</v>
      </c>
      <c r="V19" s="774" t="s">
        <v>17</v>
      </c>
      <c r="W19" s="775">
        <f>J19</f>
        <v>100</v>
      </c>
      <c r="X19" s="1815"/>
      <c r="Y19" s="3216"/>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16"/>
      <c r="Q20" s="1812"/>
      <c r="R20" s="774"/>
      <c r="S20" s="775"/>
      <c r="T20" s="774"/>
      <c r="U20" s="775"/>
      <c r="V20" s="774"/>
      <c r="W20" s="775"/>
      <c r="X20" s="1815"/>
      <c r="Y20" s="3216"/>
      <c r="Z20" s="1816"/>
      <c r="AA20" s="1813"/>
      <c r="AB20" s="1813"/>
      <c r="AC20" s="1813"/>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6"/>
      <c r="Q21" s="1812" t="str">
        <f t="shared" si="8"/>
        <v>环境状况</v>
      </c>
      <c r="R21" s="774" t="s">
        <v>17</v>
      </c>
      <c r="S21" s="775">
        <f>F21</f>
        <v>100</v>
      </c>
      <c r="T21" s="774" t="s">
        <v>17</v>
      </c>
      <c r="U21" s="775">
        <f>H21</f>
        <v>100</v>
      </c>
      <c r="V21" s="774" t="s">
        <v>17</v>
      </c>
      <c r="W21" s="775">
        <f>J21</f>
        <v>100</v>
      </c>
      <c r="X21" s="1815"/>
      <c r="Y21" s="3216"/>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16"/>
      <c r="Q22" s="1812"/>
      <c r="R22" s="774"/>
      <c r="S22" s="775"/>
      <c r="T22" s="774"/>
      <c r="U22" s="775"/>
      <c r="V22" s="774"/>
      <c r="W22" s="775"/>
      <c r="X22" s="1815"/>
      <c r="Y22" s="3216"/>
      <c r="Z22" s="1816"/>
      <c r="AA22" s="1813">
        <v>1</v>
      </c>
      <c r="AB22" s="1813">
        <v>1</v>
      </c>
      <c r="AC22" s="1813">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6"/>
      <c r="Q23" s="1797" t="str">
        <f t="shared" si="8"/>
        <v>公共配套设施</v>
      </c>
      <c r="R23" s="770" t="s">
        <v>17</v>
      </c>
      <c r="S23" s="771">
        <f>F23</f>
        <v>100</v>
      </c>
      <c r="T23" s="770" t="s">
        <v>17</v>
      </c>
      <c r="U23" s="771">
        <f>H23</f>
        <v>100</v>
      </c>
      <c r="V23" s="770" t="s">
        <v>17</v>
      </c>
      <c r="W23" s="771">
        <f>J23</f>
        <v>100</v>
      </c>
      <c r="X23" s="772"/>
      <c r="Y23" s="3216"/>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16"/>
      <c r="Q24" s="1797"/>
      <c r="R24" s="770"/>
      <c r="S24" s="771"/>
      <c r="T24" s="770"/>
      <c r="U24" s="771"/>
      <c r="V24" s="770"/>
      <c r="W24" s="771"/>
      <c r="X24" s="772"/>
      <c r="Y24" s="3216"/>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6"/>
      <c r="Q25" s="1797" t="str">
        <f>B25</f>
        <v>基础设施水平</v>
      </c>
      <c r="R25" s="770" t="s">
        <v>17</v>
      </c>
      <c r="S25" s="771">
        <f>F25</f>
        <v>100</v>
      </c>
      <c r="T25" s="770" t="s">
        <v>17</v>
      </c>
      <c r="U25" s="771">
        <f>H25</f>
        <v>100</v>
      </c>
      <c r="V25" s="770" t="s">
        <v>17</v>
      </c>
      <c r="W25" s="771">
        <f>J25</f>
        <v>100</v>
      </c>
      <c r="X25" s="772"/>
      <c r="Y25" s="3216"/>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16"/>
      <c r="Q26" s="1797"/>
      <c r="R26" s="770"/>
      <c r="S26" s="771"/>
      <c r="T26" s="770"/>
      <c r="U26" s="771"/>
      <c r="V26" s="770"/>
      <c r="W26" s="771"/>
      <c r="X26" s="772"/>
      <c r="Y26" s="321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6"/>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16"/>
      <c r="Z27" s="1816" t="str">
        <f t="shared" ref="Z27:Z40" si="12">Q27</f>
        <v>临街状况</v>
      </c>
      <c r="AA27" s="1813">
        <f t="shared" si="3"/>
        <v>1</v>
      </c>
      <c r="AB27" s="1813">
        <f t="shared" si="4"/>
        <v>1</v>
      </c>
      <c r="AC27" s="1813">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6"/>
      <c r="Q28" s="1812" t="str">
        <f t="shared" si="8"/>
        <v>毗邻道路的类型与等级</v>
      </c>
      <c r="R28" s="774" t="s">
        <v>17</v>
      </c>
      <c r="S28" s="775">
        <f t="shared" si="9"/>
        <v>100</v>
      </c>
      <c r="T28" s="774" t="s">
        <v>17</v>
      </c>
      <c r="U28" s="775">
        <f t="shared" si="10"/>
        <v>100</v>
      </c>
      <c r="V28" s="774" t="s">
        <v>17</v>
      </c>
      <c r="W28" s="775">
        <f t="shared" si="11"/>
        <v>100</v>
      </c>
      <c r="X28" s="1815"/>
      <c r="Y28" s="3216"/>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16"/>
      <c r="Q29" s="1812"/>
      <c r="R29" s="774"/>
      <c r="S29" s="775"/>
      <c r="T29" s="774"/>
      <c r="U29" s="775"/>
      <c r="V29" s="774"/>
      <c r="W29" s="775"/>
      <c r="X29" s="1815"/>
      <c r="Y29" s="3216"/>
      <c r="Z29" s="1816"/>
      <c r="AA29" s="1813">
        <v>1</v>
      </c>
      <c r="AB29" s="1813">
        <v>1</v>
      </c>
      <c r="AC29" s="1813">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6"/>
      <c r="Q30" s="1812" t="str">
        <f t="shared" si="8"/>
        <v>土地级别</v>
      </c>
      <c r="R30" s="774" t="s">
        <v>17</v>
      </c>
      <c r="S30" s="775">
        <f t="shared" si="9"/>
        <v>100</v>
      </c>
      <c r="T30" s="774" t="s">
        <v>17</v>
      </c>
      <c r="U30" s="775">
        <f t="shared" si="10"/>
        <v>100</v>
      </c>
      <c r="V30" s="774" t="s">
        <v>17</v>
      </c>
      <c r="W30" s="775">
        <f t="shared" si="11"/>
        <v>100</v>
      </c>
      <c r="X30" s="1815"/>
      <c r="Y30" s="3216"/>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6"/>
      <c r="Q31" s="1812">
        <f t="shared" si="8"/>
        <v>111</v>
      </c>
      <c r="R31" s="774" t="s">
        <v>17</v>
      </c>
      <c r="S31" s="775">
        <f t="shared" si="9"/>
        <v>100</v>
      </c>
      <c r="T31" s="774" t="s">
        <v>17</v>
      </c>
      <c r="U31" s="775">
        <f t="shared" si="10"/>
        <v>100</v>
      </c>
      <c r="V31" s="774" t="s">
        <v>17</v>
      </c>
      <c r="W31" s="775">
        <f t="shared" si="11"/>
        <v>100</v>
      </c>
      <c r="X31" s="1815"/>
      <c r="Y31" s="3216"/>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2563</v>
      </c>
      <c r="Q32" s="1812">
        <f t="shared" si="8"/>
        <v>111</v>
      </c>
      <c r="R32" s="774" t="s">
        <v>17</v>
      </c>
      <c r="S32" s="775">
        <f t="shared" si="9"/>
        <v>100</v>
      </c>
      <c r="T32" s="774" t="s">
        <v>17</v>
      </c>
      <c r="U32" s="775">
        <f t="shared" si="10"/>
        <v>100</v>
      </c>
      <c r="V32" s="774" t="s">
        <v>17</v>
      </c>
      <c r="W32" s="775">
        <f t="shared" si="11"/>
        <v>100</v>
      </c>
      <c r="X32" s="1815"/>
      <c r="Y32" s="3218" t="s">
        <v>2563</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2">
        <f t="shared" si="8"/>
        <v>111</v>
      </c>
      <c r="R33" s="777" t="s">
        <v>17</v>
      </c>
      <c r="S33" s="778">
        <f t="shared" si="9"/>
        <v>100</v>
      </c>
      <c r="T33" s="777" t="s">
        <v>17</v>
      </c>
      <c r="U33" s="778">
        <f t="shared" si="10"/>
        <v>100</v>
      </c>
      <c r="V33" s="777" t="s">
        <v>17</v>
      </c>
      <c r="W33" s="778">
        <f t="shared" si="11"/>
        <v>100</v>
      </c>
      <c r="X33" s="779"/>
      <c r="Y33" s="3218"/>
      <c r="Z33" s="780">
        <f t="shared" si="12"/>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2" t="str">
        <f>B34</f>
        <v>宗地面积</v>
      </c>
      <c r="R34" s="774" t="s">
        <v>17</v>
      </c>
      <c r="S34" s="775" t="e">
        <f t="shared" si="9"/>
        <v>#N/A</v>
      </c>
      <c r="T34" s="774" t="s">
        <v>17</v>
      </c>
      <c r="U34" s="775" t="e">
        <f t="shared" si="10"/>
        <v>#N/A</v>
      </c>
      <c r="V34" s="774" t="s">
        <v>17</v>
      </c>
      <c r="W34" s="775" t="e">
        <f t="shared" si="11"/>
        <v>#N/A</v>
      </c>
      <c r="X34" s="1815"/>
      <c r="Y34" s="3218"/>
      <c r="Z34" s="1816" t="str">
        <f t="shared" si="12"/>
        <v>宗地面积</v>
      </c>
      <c r="AA34" s="1813" t="e">
        <f t="shared" si="3"/>
        <v>#N/A</v>
      </c>
      <c r="AB34" s="1813" t="e">
        <f t="shared" si="4"/>
        <v>#N/A</v>
      </c>
      <c r="AC34" s="1813"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8"/>
      <c r="Q35" s="1812" t="str">
        <f t="shared" ref="Q35:Q40" si="13">B35</f>
        <v>宗地形状</v>
      </c>
      <c r="R35" s="774" t="s">
        <v>17</v>
      </c>
      <c r="S35" s="775">
        <f t="shared" si="9"/>
        <v>100</v>
      </c>
      <c r="T35" s="774" t="s">
        <v>17</v>
      </c>
      <c r="U35" s="775">
        <f t="shared" si="10"/>
        <v>100</v>
      </c>
      <c r="V35" s="774" t="s">
        <v>17</v>
      </c>
      <c r="W35" s="775">
        <f t="shared" si="11"/>
        <v>100</v>
      </c>
      <c r="X35" s="1815"/>
      <c r="Y35" s="3218"/>
      <c r="Z35" s="1816" t="str">
        <f t="shared" si="12"/>
        <v>宗地形状</v>
      </c>
      <c r="AA35" s="1813">
        <f t="shared" si="3"/>
        <v>1</v>
      </c>
      <c r="AB35" s="1813">
        <f t="shared" si="4"/>
        <v>1</v>
      </c>
      <c r="AC35" s="1813">
        <f t="shared" si="5"/>
        <v>1</v>
      </c>
    </row>
    <row r="36" spans="1:29" s="117" customFormat="1" ht="15">
      <c r="A36" s="473"/>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8"/>
      <c r="Q36" s="1812" t="str">
        <f t="shared" si="13"/>
        <v>宗地开发程度</v>
      </c>
      <c r="R36" s="770" t="s">
        <v>17</v>
      </c>
      <c r="S36" s="771">
        <f t="shared" si="9"/>
        <v>100</v>
      </c>
      <c r="T36" s="770" t="s">
        <v>17</v>
      </c>
      <c r="U36" s="771">
        <f t="shared" si="10"/>
        <v>100</v>
      </c>
      <c r="V36" s="770" t="s">
        <v>17</v>
      </c>
      <c r="W36" s="771">
        <f t="shared" si="11"/>
        <v>100</v>
      </c>
      <c r="X36" s="772"/>
      <c r="Y36" s="3218"/>
      <c r="Z36" s="55" t="str">
        <f t="shared" si="12"/>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8" t="s">
        <v>2563</v>
      </c>
      <c r="Q37" s="1812" t="str">
        <f t="shared" si="13"/>
        <v>工程地质条件</v>
      </c>
      <c r="R37" s="774" t="s">
        <v>17</v>
      </c>
      <c r="S37" s="775">
        <f t="shared" si="9"/>
        <v>100</v>
      </c>
      <c r="T37" s="774" t="s">
        <v>17</v>
      </c>
      <c r="U37" s="775">
        <f t="shared" si="10"/>
        <v>100</v>
      </c>
      <c r="V37" s="774" t="s">
        <v>17</v>
      </c>
      <c r="W37" s="775">
        <f t="shared" si="11"/>
        <v>100</v>
      </c>
      <c r="X37" s="1815"/>
      <c r="Y37" s="3218" t="s">
        <v>2563</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2">
        <f t="shared" si="13"/>
        <v>111</v>
      </c>
      <c r="R38" s="774" t="s">
        <v>17</v>
      </c>
      <c r="S38" s="775">
        <f t="shared" si="9"/>
        <v>100</v>
      </c>
      <c r="T38" s="774" t="s">
        <v>17</v>
      </c>
      <c r="U38" s="775">
        <f t="shared" si="10"/>
        <v>100</v>
      </c>
      <c r="V38" s="774" t="s">
        <v>17</v>
      </c>
      <c r="W38" s="775">
        <f t="shared" si="11"/>
        <v>100</v>
      </c>
      <c r="X38" s="1815"/>
      <c r="Y38" s="3218"/>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2">
        <f t="shared" si="13"/>
        <v>111</v>
      </c>
      <c r="R39" s="774" t="s">
        <v>17</v>
      </c>
      <c r="S39" s="775">
        <f t="shared" si="9"/>
        <v>100</v>
      </c>
      <c r="T39" s="774" t="s">
        <v>17</v>
      </c>
      <c r="U39" s="775">
        <f t="shared" si="10"/>
        <v>100</v>
      </c>
      <c r="V39" s="774" t="s">
        <v>17</v>
      </c>
      <c r="W39" s="775">
        <f t="shared" si="11"/>
        <v>100</v>
      </c>
      <c r="X39" s="1815"/>
      <c r="Y39" s="3218"/>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2">
        <f t="shared" si="13"/>
        <v>111</v>
      </c>
      <c r="R40" s="777" t="s">
        <v>17</v>
      </c>
      <c r="S40" s="778">
        <f t="shared" si="9"/>
        <v>100</v>
      </c>
      <c r="T40" s="777" t="s">
        <v>17</v>
      </c>
      <c r="U40" s="778">
        <f t="shared" si="10"/>
        <v>100</v>
      </c>
      <c r="V40" s="777" t="s">
        <v>17</v>
      </c>
      <c r="W40" s="778">
        <f t="shared" si="11"/>
        <v>100</v>
      </c>
      <c r="X40" s="779"/>
      <c r="Y40" s="3218"/>
      <c r="Z40" s="780">
        <f t="shared" si="12"/>
        <v>111</v>
      </c>
      <c r="AA40" s="1813">
        <f t="shared" si="3"/>
        <v>1</v>
      </c>
      <c r="AB40" s="1813">
        <f t="shared" si="4"/>
        <v>1</v>
      </c>
      <c r="AC40" s="1813">
        <f t="shared" si="5"/>
        <v>1</v>
      </c>
    </row>
    <row r="41" spans="1:29" ht="15">
      <c r="A41" s="479" t="s">
        <v>2718</v>
      </c>
      <c r="B41" s="2706" t="s">
        <v>2797</v>
      </c>
      <c r="C41" s="682" t="s">
        <v>1</v>
      </c>
      <c r="D41" s="481"/>
      <c r="E41" s="482"/>
      <c r="F41" s="483"/>
      <c r="G41" s="484"/>
      <c r="H41" s="485"/>
      <c r="I41" s="482"/>
      <c r="J41" s="485"/>
      <c r="K41" s="783"/>
      <c r="L41" s="1146"/>
      <c r="M41" s="1134"/>
      <c r="N41" s="1134"/>
      <c r="O41" s="1147"/>
      <c r="P41" s="3200" t="str">
        <f>A41</f>
        <v>成交单价</v>
      </c>
      <c r="Q41" s="3200"/>
      <c r="R41" s="3213">
        <f>E41</f>
        <v>0</v>
      </c>
      <c r="S41" s="3213"/>
      <c r="T41" s="3213">
        <f>G41</f>
        <v>0</v>
      </c>
      <c r="U41" s="3213"/>
      <c r="V41" s="3213">
        <f>I41</f>
        <v>0</v>
      </c>
      <c r="W41" s="321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19" t="e">
        <f>ROUND(PRODUCT(R41,AA7:AA40),0)</f>
        <v>#DIV/0!</v>
      </c>
      <c r="S42" s="3219"/>
      <c r="T42" s="3219" t="e">
        <f>ROUND(PRODUCT(T41,AB7:AB40),0)</f>
        <v>#DIV/0!</v>
      </c>
      <c r="U42" s="3219"/>
      <c r="V42" s="3219" t="e">
        <f>ROUND(PRODUCT(V41,AC7:AC40),0)</f>
        <v>#DIV/0!</v>
      </c>
      <c r="W42" s="321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20" t="str">
        <f>A43</f>
        <v>估价对象XX用房的比较价值（楼面单价，元/平方米）</v>
      </c>
      <c r="Q43" s="3221"/>
      <c r="R43" s="3222" t="e">
        <f>ROUND(AVERAGE(R42:V42),0)</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1" t="s">
        <v>2761</v>
      </c>
      <c r="H50" s="3223"/>
      <c r="I50" s="1816" t="s">
        <v>2798</v>
      </c>
      <c r="J50" s="1816" t="str">
        <f>项目基本情况!F35</f>
        <v>四川省成都市</v>
      </c>
      <c r="K50" s="2710" t="s">
        <v>2763</v>
      </c>
      <c r="L50" s="1109"/>
      <c r="M50" s="1147"/>
      <c r="N50" s="1147"/>
      <c r="O50" s="1147"/>
    </row>
    <row r="51" spans="1:17" s="692" customFormat="1">
      <c r="A51" s="688" t="s">
        <v>2764</v>
      </c>
      <c r="B51" s="689" t="e">
        <f>C43</f>
        <v>#DIV/0!</v>
      </c>
      <c r="C51" s="690">
        <v>1</v>
      </c>
      <c r="D51" s="1166">
        <v>1</v>
      </c>
      <c r="E51" s="690">
        <f>'数据-汇总表'!E8+'数据-汇总表'!E9</f>
        <v>18849.45</v>
      </c>
      <c r="F51" s="691" t="e">
        <f t="shared" ref="F51:F60" si="14">ROUND(B51*E51/10000,0)</f>
        <v>#DIV/0!</v>
      </c>
      <c r="G51" s="3224"/>
      <c r="H51" s="3200"/>
      <c r="I51" s="945">
        <v>1</v>
      </c>
      <c r="J51" s="945">
        <v>1</v>
      </c>
      <c r="K51" s="1148"/>
      <c r="L51" s="944"/>
      <c r="M51" s="944"/>
      <c r="N51" s="944"/>
      <c r="O51" s="944"/>
    </row>
    <row r="52" spans="1:17" s="692" customFormat="1">
      <c r="A52" s="693" t="s">
        <v>2765</v>
      </c>
      <c r="B52" s="262" t="e">
        <f>ROUND($C$43*C52*D52,0)</f>
        <v>#DIV/0!</v>
      </c>
      <c r="C52" s="200">
        <f t="shared" ref="C52:C60" si="15">IF($C$50="北京市系数",I52,J52)</f>
        <v>0</v>
      </c>
      <c r="D52" s="1167">
        <v>0.25</v>
      </c>
      <c r="E52" s="694"/>
      <c r="F52" s="691" t="e">
        <f t="shared" si="14"/>
        <v>#DIV/0!</v>
      </c>
      <c r="G52" s="3225"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6">ROUND($C$43*C53*D53,0)</f>
        <v>#DIV/0!</v>
      </c>
      <c r="C53" s="200">
        <f t="shared" si="15"/>
        <v>0</v>
      </c>
      <c r="D53" s="1167">
        <v>0.25</v>
      </c>
      <c r="E53" s="694"/>
      <c r="F53" s="691" t="e">
        <f t="shared" si="14"/>
        <v>#DIV/0!</v>
      </c>
      <c r="G53" s="3225"/>
      <c r="H53" s="1107">
        <f>项目基本情况!B37</f>
        <v>0</v>
      </c>
      <c r="I53" s="945">
        <f>SUMIF(修正!A45:A56,H53,修正!C45:C56)</f>
        <v>0</v>
      </c>
      <c r="J53" s="946"/>
      <c r="K53" s="1148"/>
      <c r="L53" s="944"/>
      <c r="M53" s="944"/>
      <c r="N53" s="944"/>
      <c r="O53" s="944"/>
    </row>
    <row r="54" spans="1:17" s="692" customFormat="1">
      <c r="A54" s="693" t="s">
        <v>2768</v>
      </c>
      <c r="B54" s="262" t="e">
        <f t="shared" si="16"/>
        <v>#DIV/0!</v>
      </c>
      <c r="C54" s="200">
        <f t="shared" si="15"/>
        <v>0</v>
      </c>
      <c r="D54" s="1167">
        <v>0.25</v>
      </c>
      <c r="E54" s="694"/>
      <c r="F54" s="691" t="e">
        <f t="shared" si="14"/>
        <v>#DIV/0!</v>
      </c>
      <c r="G54" s="3225"/>
      <c r="H54" s="1107">
        <f>项目基本情况!B37</f>
        <v>0</v>
      </c>
      <c r="I54" s="945">
        <f>SUMIF(修正!A45:A56,H54,修正!D45:D56)</f>
        <v>0</v>
      </c>
      <c r="J54" s="946"/>
      <c r="K54" s="1147"/>
      <c r="L54" s="944"/>
      <c r="M54" s="944"/>
      <c r="N54" s="944"/>
      <c r="O54" s="944"/>
    </row>
    <row r="55" spans="1:17" s="692" customFormat="1">
      <c r="A55" s="693" t="s">
        <v>2769</v>
      </c>
      <c r="B55" s="262" t="e">
        <f t="shared" si="16"/>
        <v>#DIV/0!</v>
      </c>
      <c r="C55" s="200">
        <f t="shared" si="15"/>
        <v>0</v>
      </c>
      <c r="D55" s="1167">
        <v>0.25</v>
      </c>
      <c r="E55" s="694"/>
      <c r="F55" s="691" t="e">
        <f t="shared" si="14"/>
        <v>#DIV/0!</v>
      </c>
      <c r="G55" s="3225"/>
      <c r="H55" s="1107">
        <f>项目基本情况!B37</f>
        <v>0</v>
      </c>
      <c r="I55" s="945">
        <f>SUMIF(修正!A45:A56,H55,修正!E45:E56)</f>
        <v>0</v>
      </c>
      <c r="J55" s="946"/>
      <c r="K55" s="1148"/>
      <c r="L55" s="944"/>
      <c r="M55" s="944"/>
      <c r="N55" s="944"/>
      <c r="O55" s="944"/>
    </row>
    <row r="56" spans="1:17" s="692" customFormat="1">
      <c r="A56" s="693" t="s">
        <v>2770</v>
      </c>
      <c r="B56" s="262" t="e">
        <f t="shared" si="16"/>
        <v>#DIV/0!</v>
      </c>
      <c r="C56" s="200">
        <f t="shared" si="15"/>
        <v>0</v>
      </c>
      <c r="D56" s="1167">
        <v>0.25</v>
      </c>
      <c r="E56" s="261">
        <f>'数据-汇总表'!E11</f>
        <v>0</v>
      </c>
      <c r="F56" s="691" t="e">
        <f t="shared" si="14"/>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6"/>
        <v>#DIV/0!</v>
      </c>
      <c r="C57" s="200">
        <f t="shared" si="15"/>
        <v>0</v>
      </c>
      <c r="D57" s="1167">
        <v>0.25</v>
      </c>
      <c r="E57" s="261">
        <f>'数据-汇总表'!E12</f>
        <v>0</v>
      </c>
      <c r="F57" s="691" t="e">
        <f t="shared" si="14"/>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6"/>
        <v>#DIV/0!</v>
      </c>
      <c r="C58" s="200">
        <f t="shared" si="15"/>
        <v>0</v>
      </c>
      <c r="D58" s="1167">
        <v>0.25</v>
      </c>
      <c r="E58" s="261">
        <f>'数据-汇总表'!E13</f>
        <v>0</v>
      </c>
      <c r="F58" s="691" t="e">
        <f t="shared" si="14"/>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6"/>
        <v>#DIV/0!</v>
      </c>
      <c r="C59" s="200">
        <f t="shared" si="15"/>
        <v>0</v>
      </c>
      <c r="D59" s="1167">
        <v>0.25</v>
      </c>
      <c r="E59" s="261">
        <f>'数据-汇总表'!E14</f>
        <v>0</v>
      </c>
      <c r="F59" s="691" t="e">
        <f t="shared" si="14"/>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6"/>
        <v>#DIV/0!</v>
      </c>
      <c r="C60" s="200">
        <f t="shared" si="15"/>
        <v>0</v>
      </c>
      <c r="D60" s="1167">
        <v>0.25</v>
      </c>
      <c r="E60" s="261">
        <f>'数据-汇总表'!E15</f>
        <v>0</v>
      </c>
      <c r="F60" s="691" t="e">
        <f t="shared" si="14"/>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5.87</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5"/>
      <c r="B4" s="3296"/>
      <c r="C4" s="3296"/>
      <c r="D4" s="3297"/>
      <c r="E4" s="3297"/>
      <c r="F4" s="3297"/>
      <c r="G4" s="3297"/>
      <c r="H4" s="3297"/>
      <c r="I4" s="3297"/>
      <c r="J4" s="3298"/>
      <c r="K4" s="1373"/>
      <c r="L4" s="2728"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1"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2832</v>
      </c>
      <c r="X7" s="1606">
        <f>G2</f>
        <v>0</v>
      </c>
      <c r="Y7" s="1606" t="s">
        <v>2833</v>
      </c>
      <c r="Z7" s="1607">
        <f>G3</f>
        <v>5.87</v>
      </c>
      <c r="AA7" s="1608"/>
      <c r="AB7" s="1608"/>
      <c r="AC7" s="1609"/>
      <c r="AD7" s="1610"/>
      <c r="AE7" s="1610"/>
      <c r="AF7" s="1610"/>
      <c r="AG7" s="1610"/>
      <c r="AH7" s="1610"/>
      <c r="AI7" s="1610"/>
      <c r="AJ7" s="1611"/>
    </row>
    <row r="8" spans="1:36" ht="15">
      <c r="A8" s="3282"/>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92" t="s">
        <v>2837</v>
      </c>
      <c r="X8" s="3293"/>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82"/>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4"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2"/>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2"/>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4" t="s">
        <v>2861</v>
      </c>
      <c r="X11" s="1616" t="s">
        <v>2862</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81"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4"/>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9"/>
      <c r="B13" s="2766" t="s">
        <v>2868</v>
      </c>
      <c r="C13" s="2767" t="s">
        <v>2869</v>
      </c>
      <c r="D13" s="1810" t="s">
        <v>2870</v>
      </c>
      <c r="E13" s="1810" t="s">
        <v>2871</v>
      </c>
      <c r="F13" s="30" t="s">
        <v>2872</v>
      </c>
      <c r="G13" s="2768" t="s">
        <v>2873</v>
      </c>
      <c r="H13" s="2768" t="s">
        <v>2873</v>
      </c>
      <c r="I13" s="2768" t="s">
        <v>2873</v>
      </c>
      <c r="J13" s="2769" t="s">
        <v>2873</v>
      </c>
      <c r="K13" s="1373"/>
      <c r="L13" s="1373"/>
      <c r="M13" s="1373"/>
      <c r="N13" s="1373"/>
      <c r="O13" s="1373"/>
      <c r="P13" s="1373"/>
      <c r="Q13" s="1373"/>
      <c r="R13" s="1604">
        <v>12</v>
      </c>
      <c r="S13" s="1605"/>
      <c r="T13" s="1604" t="e">
        <f t="shared" si="0"/>
        <v>#DIV/0!</v>
      </c>
      <c r="U13" s="1605"/>
      <c r="V13" s="1604" t="e">
        <f t="shared" si="1"/>
        <v>#DIV/0!</v>
      </c>
      <c r="W13" s="3294"/>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9"/>
      <c r="B14" s="2770"/>
      <c r="C14" s="2771"/>
      <c r="D14" s="2772"/>
      <c r="E14" s="2772"/>
      <c r="F14" s="2773"/>
      <c r="G14" s="2774" t="s">
        <v>2874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0"/>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1" t="s">
        <v>2880</v>
      </c>
      <c r="B16" s="2747" t="s">
        <v>2881</v>
      </c>
      <c r="C16" s="1803" t="e">
        <f>ROUND(SUM(G17:J17)/C17,0)</f>
        <v>#DIV/0!</v>
      </c>
      <c r="D16" s="2781" t="s">
        <v>2882</v>
      </c>
      <c r="E16" s="2782"/>
      <c r="F16" s="2783"/>
      <c r="G16" s="2784"/>
      <c r="H16" s="2784"/>
      <c r="I16" s="2784"/>
      <c r="J16" s="2785"/>
      <c r="K16" s="1373"/>
      <c r="L16" s="2786"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2"/>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43324</v>
      </c>
      <c r="H19" s="2800" t="s">
        <v>2892</v>
      </c>
      <c r="I19" s="930" t="str">
        <f>IF(H19="季度增幅（自定义）",SUMIF(N21:N24,E2,O21:O24),"")</f>
        <v/>
      </c>
      <c r="J19" s="2797"/>
      <c r="K19" s="1380"/>
      <c r="L19" s="2801" t="s">
        <v>2893</v>
      </c>
      <c r="M19" s="1736">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7">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9" t="s">
        <v>2929</v>
      </c>
      <c r="B33" s="2863" t="s">
        <v>2930</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0"/>
      <c r="B34" s="2767" t="s">
        <v>2931</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0"/>
      <c r="B35" s="2767" t="s">
        <v>2932</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91"/>
      <c r="B36" s="2767" t="s">
        <v>2933</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80" t="s">
        <v>2949</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2954</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2957</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2954</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2957</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2965</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2957</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2959</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2966</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2951</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2965</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2957</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2958</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2955</v>
      </c>
      <c r="B87" s="2886" t="s">
        <v>2969</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3" t="s">
        <v>2971</v>
      </c>
      <c r="B90" s="3283"/>
      <c r="C90" s="3283"/>
      <c r="D90" s="3283"/>
      <c r="E90" s="3283"/>
      <c r="F90" s="3283"/>
      <c r="G90" s="3283"/>
      <c r="H90" s="3283"/>
      <c r="I90" s="3283"/>
      <c r="J90" s="3283"/>
      <c r="K90" s="2894"/>
      <c r="L90" s="2894"/>
      <c r="M90" s="2894"/>
      <c r="N90" s="2894"/>
    </row>
    <row r="91" spans="1:37">
      <c r="A91" s="3285" t="s">
        <v>2972</v>
      </c>
      <c r="B91" s="3285" t="s">
        <v>2973</v>
      </c>
      <c r="C91" s="2848" t="s">
        <v>2974</v>
      </c>
      <c r="D91" s="2849"/>
      <c r="E91" s="2849"/>
      <c r="F91" s="2849"/>
      <c r="G91" s="2849"/>
      <c r="H91" s="2849"/>
      <c r="I91" s="2849"/>
      <c r="J91" s="2895"/>
      <c r="K91" s="2896"/>
      <c r="L91" s="2896"/>
      <c r="M91" s="2896"/>
      <c r="N91" s="2896"/>
    </row>
    <row r="92" spans="1:37">
      <c r="A92" s="3285"/>
      <c r="B92" s="328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86"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7"/>
      <c r="B99" s="2897" t="s">
        <v>2854</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8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6" t="s">
        <v>2976</v>
      </c>
      <c r="B101" s="2901" t="s">
        <v>2977</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87"/>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87"/>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87"/>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87"/>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87"/>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87"/>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87"/>
      <c r="B108" s="3113" t="s">
        <v>2978</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88"/>
      <c r="B109" s="3114"/>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84" t="s">
        <v>2979</v>
      </c>
      <c r="B110" s="3284"/>
      <c r="C110" s="3284"/>
      <c r="D110" s="3284"/>
      <c r="E110" s="3284"/>
      <c r="F110" s="3284"/>
      <c r="G110" s="3284"/>
      <c r="H110" s="3284"/>
      <c r="I110" s="3284"/>
      <c r="J110" s="3284"/>
      <c r="K110" s="2903"/>
      <c r="L110" s="2903"/>
      <c r="M110" s="2903"/>
      <c r="N110" s="2903"/>
    </row>
    <row r="112" spans="1:14" ht="13.5" thickBot="1"/>
    <row r="113" spans="1:13" ht="25.5" thickBot="1">
      <c r="A113" s="903" t="s">
        <v>2980</v>
      </c>
      <c r="B113" s="1290">
        <f>G3</f>
        <v>5.87</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2877</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2878</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2879</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7" t="s">
        <v>1150</v>
      </c>
      <c r="C1" s="3307"/>
      <c r="D1" s="3307"/>
      <c r="E1" s="3307"/>
      <c r="F1" s="3307"/>
      <c r="G1" s="3303" t="s">
        <v>1151</v>
      </c>
      <c r="H1" s="3303"/>
      <c r="I1" s="3303"/>
      <c r="J1" s="3303"/>
      <c r="K1" s="3303"/>
      <c r="L1" s="3303"/>
      <c r="N1" s="3303" t="s">
        <v>1152</v>
      </c>
      <c r="O1" s="3303"/>
      <c r="P1" s="3303"/>
      <c r="Q1" s="3303"/>
      <c r="R1" s="1449"/>
      <c r="S1" s="3303" t="s">
        <v>1153</v>
      </c>
      <c r="T1" s="3303"/>
      <c r="U1" s="3303"/>
      <c r="V1" s="3303"/>
      <c r="X1" s="3302" t="s">
        <v>1154</v>
      </c>
      <c r="Y1" s="3303"/>
      <c r="Z1" s="3303"/>
      <c r="AA1" s="3303"/>
      <c r="AB1" s="3303"/>
      <c r="AD1" s="3302" t="s">
        <v>1155</v>
      </c>
      <c r="AE1" s="3303"/>
      <c r="AF1" s="3303"/>
      <c r="AG1" s="3303"/>
      <c r="AH1" s="330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3042</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3036</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3043</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3034</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3031</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8">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5"/>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5"/>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6"/>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4">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5"/>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5"/>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6"/>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4">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5"/>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5"/>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6"/>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9">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10"/>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10"/>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11"/>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4">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5"/>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5"/>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6"/>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4">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5">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5">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6">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4">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5">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5">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6">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4">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5">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5">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6">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4">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5">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5">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6">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4">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5">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5">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6">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4">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5">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5">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6">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4">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5">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5">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6">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4">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5">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5">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6">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5">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5">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5">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5">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6">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2" activePane="bottomLeft" state="frozen"/>
      <selection activeCell="C50" sqref="C50"/>
      <selection pane="bottomLeft" activeCell="R24" sqref="R24: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3" t="s">
        <v>3005</v>
      </c>
      <c r="D1" s="3314"/>
      <c r="E1" s="3314"/>
      <c r="F1" s="3314"/>
      <c r="G1" s="3314"/>
      <c r="H1" s="3314"/>
      <c r="I1" s="3314"/>
      <c r="J1" s="3314"/>
      <c r="K1" s="3314"/>
      <c r="L1" s="3314"/>
      <c r="M1" s="3314"/>
      <c r="N1" s="3314"/>
      <c r="O1" s="3314"/>
      <c r="P1" s="3314"/>
      <c r="Q1" s="3314"/>
      <c r="R1" s="3314"/>
      <c r="S1" s="3315"/>
      <c r="T1" s="1207" t="s">
        <v>3006</v>
      </c>
    </row>
    <row r="2" spans="1:45" s="707" customFormat="1" ht="38.25">
      <c r="A2" s="1208"/>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t="s">
        <v>3123</v>
      </c>
      <c r="D17" s="1235" t="s">
        <v>3124</v>
      </c>
      <c r="E17" s="1235" t="s">
        <v>3125</v>
      </c>
      <c r="F17" s="1235" t="s">
        <v>3126</v>
      </c>
      <c r="G17" s="1235" t="s">
        <v>3127</v>
      </c>
      <c r="H17" s="1235" t="s">
        <v>3128</v>
      </c>
      <c r="I17" s="1235" t="s">
        <v>3129</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f ca="1">IF(D20="——",S22,S22-F20)</f>
        <v>47837</v>
      </c>
      <c r="C20" s="168"/>
      <c r="D20" s="2921" t="s">
        <v>70</v>
      </c>
      <c r="E20" s="1795"/>
      <c r="F20" s="1207" t="e">
        <f ca="1">SUMIF(INDIRECT("'"&amp;H20&amp;"'"&amp;"!A:A"),"承租人权益价值",INDIRECT("'"&amp;H20&amp;"'"&amp;"!c:c"))</f>
        <v>#REF!</v>
      </c>
      <c r="G20" s="1207" t="s">
        <v>3018</v>
      </c>
      <c r="H20" s="2922"/>
      <c r="I20" s="168"/>
      <c r="J20" s="168"/>
      <c r="K20" s="168"/>
      <c r="L20" s="168"/>
      <c r="M20" s="168"/>
      <c r="N20" s="168"/>
      <c r="O20" s="168"/>
      <c r="P20" s="168"/>
      <c r="Q20" s="168"/>
      <c r="R20" s="788"/>
      <c r="S20" s="138"/>
      <c r="U20" s="798"/>
      <c r="V20" s="2988" t="s">
        <v>3331</v>
      </c>
      <c r="W20" s="2988" t="s">
        <v>3332</v>
      </c>
    </row>
    <row r="21" spans="1:45" ht="15.75">
      <c r="A21" s="715" t="s">
        <v>3019</v>
      </c>
      <c r="B21" s="338">
        <f ca="1">R22</f>
        <v>25378</v>
      </c>
      <c r="C21" s="168"/>
      <c r="D21" s="168"/>
      <c r="E21" s="168"/>
      <c r="F21" s="168"/>
      <c r="G21" s="168"/>
      <c r="H21" s="168"/>
      <c r="I21" s="168"/>
      <c r="J21" s="168"/>
      <c r="K21" s="168"/>
      <c r="L21" s="168"/>
      <c r="M21" s="168"/>
      <c r="N21" s="168"/>
      <c r="O21" s="168"/>
      <c r="P21" s="168"/>
      <c r="Q21" s="168"/>
      <c r="R21" s="788"/>
      <c r="S21" s="138"/>
      <c r="U21" s="2988" t="s">
        <v>3329</v>
      </c>
      <c r="V21" s="798">
        <f ca="1">B20</f>
        <v>47837</v>
      </c>
      <c r="W21" s="798">
        <f ca="1">B21</f>
        <v>25378</v>
      </c>
    </row>
    <row r="22" spans="1:45">
      <c r="A22" s="361" t="s">
        <v>3020</v>
      </c>
      <c r="B22" s="24">
        <f>SUM(B24:B10000)</f>
        <v>18849.449999999993</v>
      </c>
      <c r="C22" s="3094" t="s">
        <v>33</v>
      </c>
      <c r="D22" s="3095"/>
      <c r="E22" s="3095"/>
      <c r="F22" s="3095"/>
      <c r="G22" s="3095"/>
      <c r="H22" s="3095"/>
      <c r="I22" s="3095"/>
      <c r="J22" s="3095"/>
      <c r="K22" s="3095"/>
      <c r="L22" s="3095"/>
      <c r="M22" s="3095"/>
      <c r="N22" s="3095"/>
      <c r="O22" s="3095"/>
      <c r="P22" s="3095"/>
      <c r="Q22" s="3312"/>
      <c r="R22" s="716">
        <f ca="1">ROUND(S22*10000/B22,0)</f>
        <v>25378</v>
      </c>
      <c r="S22" s="24">
        <f ca="1">SUM(S24:S10000)</f>
        <v>47837</v>
      </c>
      <c r="U22" s="2988" t="s">
        <v>3330</v>
      </c>
      <c r="V22" s="798">
        <f>[4]结果表!$G$19</f>
        <v>188179</v>
      </c>
      <c r="W22" s="798">
        <f>[4]结果表!$G$20</f>
        <v>11455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f ca="1">V21+V22</f>
        <v>236016</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3130</v>
      </c>
      <c r="Q24" s="719">
        <v>1</v>
      </c>
      <c r="R24" s="721">
        <f ca="1">结果表!G20</f>
        <v>39412</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3130</v>
      </c>
      <c r="Q25" s="24">
        <f>(SUMIF($17:$17,P25,$18:$18)-SUMIF($17:$17,$P$24,$18:$18)+100)/100</f>
        <v>1</v>
      </c>
      <c r="R25" s="716">
        <f ca="1">IF(B25="",0,ROUND($R$24*C25*E25*G25*I25*K25*M25*O25*Q25,0))</f>
        <v>39412</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3130</v>
      </c>
      <c r="Q26" s="24">
        <f t="shared" ref="Q26:Q89" si="14">(SUMIF($17:$17,P26,$18:$18)-SUMIF($17:$17,$P$24,$18:$18)+100)/100</f>
        <v>1</v>
      </c>
      <c r="R26" s="716">
        <f t="shared" ref="R26:R89" ca="1" si="15">IF(B26="",0,ROUND($R$24*C26*E26*G26*I26*K26*M26*O26*Q26,0))</f>
        <v>39412</v>
      </c>
      <c r="S26" s="361">
        <f t="shared" ca="1" si="6"/>
        <v>296</v>
      </c>
      <c r="V26" s="795">
        <f>[5]结果表!$G$19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3130</v>
      </c>
      <c r="Q27" s="24">
        <f t="shared" si="14"/>
        <v>1</v>
      </c>
      <c r="R27" s="716">
        <f t="shared" ca="1" si="15"/>
        <v>39412</v>
      </c>
      <c r="S27" s="361">
        <f t="shared" ca="1" si="6"/>
        <v>463</v>
      </c>
      <c r="V27" s="795">
        <f>[6]结果表!$G$19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3130</v>
      </c>
      <c r="Q28" s="24">
        <f t="shared" si="14"/>
        <v>1</v>
      </c>
      <c r="R28" s="716">
        <f t="shared" ca="1" si="15"/>
        <v>39412</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3130</v>
      </c>
      <c r="Q29" s="24">
        <f t="shared" si="14"/>
        <v>1</v>
      </c>
      <c r="R29" s="716">
        <f t="shared" ca="1" si="15"/>
        <v>39412</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3130</v>
      </c>
      <c r="Q30" s="24">
        <f t="shared" si="14"/>
        <v>1</v>
      </c>
      <c r="R30" s="716">
        <f t="shared" ca="1" si="15"/>
        <v>39412</v>
      </c>
      <c r="S30" s="361">
        <f t="shared" ca="1" si="6"/>
        <v>286</v>
      </c>
      <c r="V30" s="795">
        <f ca="1">V23+V28</f>
        <v>335949</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3130</v>
      </c>
      <c r="Q31" s="24">
        <f t="shared" si="14"/>
        <v>1</v>
      </c>
      <c r="R31" s="716">
        <f t="shared" ca="1" si="15"/>
        <v>39412</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3130</v>
      </c>
      <c r="Q32" s="24">
        <f t="shared" si="14"/>
        <v>1</v>
      </c>
      <c r="R32" s="716">
        <f t="shared" ca="1" si="15"/>
        <v>39412</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3130</v>
      </c>
      <c r="Q33" s="24">
        <f t="shared" si="14"/>
        <v>1</v>
      </c>
      <c r="R33" s="716">
        <f t="shared" ca="1" si="15"/>
        <v>39412</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3130</v>
      </c>
      <c r="Q34" s="24">
        <f t="shared" si="14"/>
        <v>1</v>
      </c>
      <c r="R34" s="716">
        <f t="shared" ca="1" si="15"/>
        <v>39412</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3130</v>
      </c>
      <c r="Q35" s="24">
        <f t="shared" si="14"/>
        <v>1</v>
      </c>
      <c r="R35" s="716">
        <f t="shared" ca="1" si="15"/>
        <v>39412</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3130</v>
      </c>
      <c r="Q36" s="24">
        <f t="shared" si="14"/>
        <v>1</v>
      </c>
      <c r="R36" s="716">
        <f t="shared" ca="1" si="15"/>
        <v>39412</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3130</v>
      </c>
      <c r="Q37" s="24">
        <f t="shared" si="14"/>
        <v>1</v>
      </c>
      <c r="R37" s="716">
        <f t="shared" ca="1" si="15"/>
        <v>39018</v>
      </c>
      <c r="S37" s="361">
        <f t="shared" ca="1" si="6"/>
        <v>2384</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3130</v>
      </c>
      <c r="Q38" s="24">
        <f t="shared" si="14"/>
        <v>1</v>
      </c>
      <c r="R38" s="716">
        <f t="shared" ca="1" si="15"/>
        <v>39412</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3131</v>
      </c>
      <c r="Q39" s="24">
        <f t="shared" si="14"/>
        <v>0.7</v>
      </c>
      <c r="R39" s="716">
        <f t="shared" ca="1" si="15"/>
        <v>27588</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3131</v>
      </c>
      <c r="Q40" s="24">
        <f t="shared" si="14"/>
        <v>0.7</v>
      </c>
      <c r="R40" s="716">
        <f t="shared" ca="1" si="15"/>
        <v>27588</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3131</v>
      </c>
      <c r="Q41" s="24">
        <f t="shared" si="14"/>
        <v>0.7</v>
      </c>
      <c r="R41" s="716">
        <f t="shared" ca="1" si="15"/>
        <v>27588</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3131</v>
      </c>
      <c r="Q42" s="24">
        <f t="shared" si="14"/>
        <v>0.7</v>
      </c>
      <c r="R42" s="716">
        <f t="shared" ca="1" si="15"/>
        <v>27588</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3131</v>
      </c>
      <c r="Q43" s="24">
        <f t="shared" si="14"/>
        <v>0.7</v>
      </c>
      <c r="R43" s="716">
        <f t="shared" ca="1" si="15"/>
        <v>27588</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3131</v>
      </c>
      <c r="Q44" s="24">
        <f t="shared" si="14"/>
        <v>0.7</v>
      </c>
      <c r="R44" s="716">
        <f t="shared" ca="1" si="15"/>
        <v>27588</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3131</v>
      </c>
      <c r="Q45" s="24">
        <f t="shared" si="14"/>
        <v>0.7</v>
      </c>
      <c r="R45" s="716">
        <f t="shared" ca="1" si="15"/>
        <v>27588</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3131</v>
      </c>
      <c r="Q46" s="24">
        <f t="shared" si="14"/>
        <v>0.7</v>
      </c>
      <c r="R46" s="716">
        <f t="shared" ca="1" si="15"/>
        <v>27588</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3131</v>
      </c>
      <c r="Q47" s="24">
        <f t="shared" si="14"/>
        <v>0.7</v>
      </c>
      <c r="R47" s="716">
        <f t="shared" ca="1" si="15"/>
        <v>27588</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3131</v>
      </c>
      <c r="Q48" s="24">
        <f t="shared" si="14"/>
        <v>0.7</v>
      </c>
      <c r="R48" s="716">
        <f t="shared" ca="1" si="15"/>
        <v>27588</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3131</v>
      </c>
      <c r="Q49" s="24">
        <f t="shared" si="14"/>
        <v>0.7</v>
      </c>
      <c r="R49" s="716">
        <f t="shared" ca="1" si="15"/>
        <v>27588</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3131</v>
      </c>
      <c r="Q50" s="24">
        <f t="shared" si="14"/>
        <v>0.7</v>
      </c>
      <c r="R50" s="716">
        <f t="shared" ca="1" si="15"/>
        <v>27588</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3131</v>
      </c>
      <c r="Q51" s="24">
        <f t="shared" si="14"/>
        <v>0.7</v>
      </c>
      <c r="R51" s="716">
        <f t="shared" ca="1" si="15"/>
        <v>27313</v>
      </c>
      <c r="S51" s="361">
        <f t="shared" ca="1" si="6"/>
        <v>1816</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3131</v>
      </c>
      <c r="Q52" s="24">
        <f t="shared" si="14"/>
        <v>0.7</v>
      </c>
      <c r="R52" s="716">
        <f t="shared" ca="1" si="15"/>
        <v>27588</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3131</v>
      </c>
      <c r="Q53" s="24">
        <f t="shared" si="14"/>
        <v>0.7</v>
      </c>
      <c r="R53" s="716">
        <f t="shared" ca="1" si="15"/>
        <v>27588</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3132</v>
      </c>
      <c r="Q54" s="24">
        <f t="shared" si="14"/>
        <v>0.65</v>
      </c>
      <c r="R54" s="716">
        <f t="shared" ca="1" si="15"/>
        <v>25618</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3132</v>
      </c>
      <c r="Q55" s="24">
        <f t="shared" si="14"/>
        <v>0.65</v>
      </c>
      <c r="R55" s="716">
        <f t="shared" ca="1" si="15"/>
        <v>25618</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3132</v>
      </c>
      <c r="Q56" s="24">
        <f t="shared" si="14"/>
        <v>0.65</v>
      </c>
      <c r="R56" s="716">
        <f t="shared" ca="1" si="15"/>
        <v>25618</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3132</v>
      </c>
      <c r="Q57" s="24">
        <f t="shared" si="14"/>
        <v>0.65</v>
      </c>
      <c r="R57" s="716">
        <f t="shared" ca="1" si="15"/>
        <v>25618</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3132</v>
      </c>
      <c r="Q58" s="24">
        <f t="shared" si="14"/>
        <v>0.65</v>
      </c>
      <c r="R58" s="716">
        <f t="shared" ca="1" si="15"/>
        <v>25618</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3132</v>
      </c>
      <c r="Q59" s="24">
        <f t="shared" si="14"/>
        <v>0.65</v>
      </c>
      <c r="R59" s="716">
        <f t="shared" ca="1" si="15"/>
        <v>25618</v>
      </c>
      <c r="S59" s="361">
        <f t="shared" ca="1" si="16"/>
        <v>304</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3132</v>
      </c>
      <c r="Q60" s="24">
        <f t="shared" si="14"/>
        <v>0.65</v>
      </c>
      <c r="R60" s="716">
        <f t="shared" ca="1" si="15"/>
        <v>25618</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3132</v>
      </c>
      <c r="Q61" s="24">
        <f t="shared" si="14"/>
        <v>0.65</v>
      </c>
      <c r="R61" s="716">
        <f t="shared" ca="1" si="15"/>
        <v>25618</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3132</v>
      </c>
      <c r="Q62" s="24">
        <f t="shared" si="14"/>
        <v>0.65</v>
      </c>
      <c r="R62" s="716">
        <f t="shared" ca="1" si="15"/>
        <v>25618</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3132</v>
      </c>
      <c r="Q63" s="24">
        <f t="shared" si="14"/>
        <v>0.65</v>
      </c>
      <c r="R63" s="716">
        <f t="shared" ca="1" si="15"/>
        <v>25362</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3132</v>
      </c>
      <c r="Q64" s="24">
        <f t="shared" si="14"/>
        <v>0.65</v>
      </c>
      <c r="R64" s="716">
        <f t="shared" ca="1" si="15"/>
        <v>25618</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3132</v>
      </c>
      <c r="Q65" s="24">
        <f t="shared" si="14"/>
        <v>0.65</v>
      </c>
      <c r="R65" s="716">
        <f t="shared" ca="1" si="15"/>
        <v>25618</v>
      </c>
      <c r="S65" s="361">
        <f t="shared" ca="1" si="16"/>
        <v>810</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3133</v>
      </c>
      <c r="Q66" s="24">
        <f t="shared" si="14"/>
        <v>0.6</v>
      </c>
      <c r="R66" s="716">
        <f t="shared" ca="1" si="15"/>
        <v>23647</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3133</v>
      </c>
      <c r="Q67" s="24">
        <f t="shared" si="14"/>
        <v>0.6</v>
      </c>
      <c r="R67" s="716">
        <f t="shared" ca="1" si="15"/>
        <v>23647</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3133</v>
      </c>
      <c r="Q68" s="24">
        <f t="shared" si="14"/>
        <v>0.6</v>
      </c>
      <c r="R68" s="716">
        <f t="shared" ca="1" si="15"/>
        <v>23647</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3133</v>
      </c>
      <c r="Q69" s="24">
        <f t="shared" si="14"/>
        <v>0.6</v>
      </c>
      <c r="R69" s="716">
        <f t="shared" ca="1" si="15"/>
        <v>23647</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3133</v>
      </c>
      <c r="Q70" s="24">
        <f t="shared" si="14"/>
        <v>0.6</v>
      </c>
      <c r="R70" s="716">
        <f t="shared" ca="1" si="15"/>
        <v>23647</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3133</v>
      </c>
      <c r="Q71" s="24">
        <f t="shared" si="14"/>
        <v>0.6</v>
      </c>
      <c r="R71" s="716">
        <f t="shared" ca="1" si="15"/>
        <v>23647</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3133</v>
      </c>
      <c r="Q72" s="24">
        <f t="shared" si="14"/>
        <v>0.6</v>
      </c>
      <c r="R72" s="716">
        <f t="shared" ca="1" si="15"/>
        <v>23647</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3133</v>
      </c>
      <c r="Q73" s="24">
        <f t="shared" si="14"/>
        <v>0.6</v>
      </c>
      <c r="R73" s="716">
        <f t="shared" ca="1" si="15"/>
        <v>23647</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3133</v>
      </c>
      <c r="Q74" s="24">
        <f t="shared" si="14"/>
        <v>0.6</v>
      </c>
      <c r="R74" s="716">
        <f t="shared" ca="1" si="15"/>
        <v>23647</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3133</v>
      </c>
      <c r="Q75" s="24">
        <f t="shared" si="14"/>
        <v>0.6</v>
      </c>
      <c r="R75" s="716">
        <f t="shared" ca="1" si="15"/>
        <v>23411</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3133</v>
      </c>
      <c r="Q76" s="24">
        <f t="shared" si="14"/>
        <v>0.6</v>
      </c>
      <c r="R76" s="716">
        <f t="shared" ca="1" si="15"/>
        <v>23647</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3133</v>
      </c>
      <c r="Q77" s="24">
        <f t="shared" si="14"/>
        <v>0.6</v>
      </c>
      <c r="R77" s="716">
        <f t="shared" ca="1" si="15"/>
        <v>23647</v>
      </c>
      <c r="S77" s="361">
        <f t="shared" ca="1" si="16"/>
        <v>750</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3134</v>
      </c>
      <c r="Q78" s="24">
        <f t="shared" si="14"/>
        <v>0.55000000000000004</v>
      </c>
      <c r="R78" s="716">
        <f t="shared" ca="1" si="15"/>
        <v>21677</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3134</v>
      </c>
      <c r="Q79" s="24">
        <f t="shared" si="14"/>
        <v>0.55000000000000004</v>
      </c>
      <c r="R79" s="716">
        <f t="shared" ca="1" si="15"/>
        <v>21460</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3134</v>
      </c>
      <c r="Q80" s="24">
        <f t="shared" si="14"/>
        <v>0.55000000000000004</v>
      </c>
      <c r="R80" s="716">
        <f t="shared" ca="1" si="15"/>
        <v>21677</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3134</v>
      </c>
      <c r="Q81" s="24">
        <f t="shared" si="14"/>
        <v>0.55000000000000004</v>
      </c>
      <c r="R81" s="716">
        <f t="shared" ca="1" si="15"/>
        <v>21677</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3134</v>
      </c>
      <c r="Q82" s="24">
        <f t="shared" si="14"/>
        <v>0.55000000000000004</v>
      </c>
      <c r="R82" s="716">
        <f t="shared" ca="1" si="15"/>
        <v>21677</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3134</v>
      </c>
      <c r="Q83" s="24">
        <f t="shared" si="14"/>
        <v>0.55000000000000004</v>
      </c>
      <c r="R83" s="716">
        <f t="shared" ca="1" si="15"/>
        <v>21677</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3134</v>
      </c>
      <c r="Q84" s="24">
        <f t="shared" si="14"/>
        <v>0.55000000000000004</v>
      </c>
      <c r="R84" s="716">
        <f t="shared" ca="1" si="15"/>
        <v>21677</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3134</v>
      </c>
      <c r="Q85" s="24">
        <f t="shared" si="14"/>
        <v>0.55000000000000004</v>
      </c>
      <c r="R85" s="716">
        <f t="shared" ca="1" si="15"/>
        <v>21677</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3134</v>
      </c>
      <c r="Q86" s="24">
        <f t="shared" si="14"/>
        <v>0.55000000000000004</v>
      </c>
      <c r="R86" s="716">
        <f t="shared" ca="1" si="15"/>
        <v>21677</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3134</v>
      </c>
      <c r="Q87" s="24">
        <f t="shared" si="14"/>
        <v>0.55000000000000004</v>
      </c>
      <c r="R87" s="716">
        <f t="shared" ca="1" si="15"/>
        <v>21677</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3134</v>
      </c>
      <c r="Q88" s="24">
        <f t="shared" si="14"/>
        <v>0.55000000000000004</v>
      </c>
      <c r="R88" s="716">
        <f t="shared" ca="1" si="15"/>
        <v>21677</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3134</v>
      </c>
      <c r="Q89" s="24">
        <f t="shared" si="14"/>
        <v>0.55000000000000004</v>
      </c>
      <c r="R89" s="716">
        <f t="shared" ca="1" si="15"/>
        <v>21677</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3135</v>
      </c>
      <c r="Q90" s="24">
        <f t="shared" ref="Q90:Q153" si="25">(SUMIF($17:$17,P90,$18:$18)-SUMIF($17:$17,$P$24,$18:$18)+100)/100</f>
        <v>0.5</v>
      </c>
      <c r="R90" s="716">
        <f t="shared" ref="R90:R153" ca="1" si="26">IF(B90="",0,ROUND($R$24*C90*E90*G90*I90*K90*M90*O90*Q90,0))</f>
        <v>19706</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3135</v>
      </c>
      <c r="Q91" s="24">
        <f t="shared" si="25"/>
        <v>0.5</v>
      </c>
      <c r="R91" s="716">
        <f t="shared" ca="1" si="26"/>
        <v>19706</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3135</v>
      </c>
      <c r="Q92" s="24">
        <f t="shared" si="25"/>
        <v>0.5</v>
      </c>
      <c r="R92" s="716">
        <f t="shared" ca="1" si="26"/>
        <v>19706</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3135</v>
      </c>
      <c r="Q93" s="24">
        <f t="shared" si="25"/>
        <v>0.5</v>
      </c>
      <c r="R93" s="716">
        <f t="shared" ca="1" si="26"/>
        <v>19706</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3135</v>
      </c>
      <c r="Q94" s="24">
        <f t="shared" si="25"/>
        <v>0.5</v>
      </c>
      <c r="R94" s="716">
        <f t="shared" ca="1" si="26"/>
        <v>19706</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3135</v>
      </c>
      <c r="Q95" s="24">
        <f t="shared" si="25"/>
        <v>0.5</v>
      </c>
      <c r="R95" s="716">
        <f t="shared" ca="1" si="26"/>
        <v>19706</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3135</v>
      </c>
      <c r="Q96" s="24">
        <f t="shared" si="25"/>
        <v>0.5</v>
      </c>
      <c r="R96" s="716">
        <f t="shared" ca="1" si="26"/>
        <v>19706</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3135</v>
      </c>
      <c r="Q97" s="24">
        <f t="shared" si="25"/>
        <v>0.5</v>
      </c>
      <c r="R97" s="716">
        <f t="shared" ca="1" si="26"/>
        <v>19706</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3135</v>
      </c>
      <c r="Q98" s="24">
        <f t="shared" si="25"/>
        <v>0.5</v>
      </c>
      <c r="R98" s="716">
        <f t="shared" ca="1" si="26"/>
        <v>19706</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3135</v>
      </c>
      <c r="Q99" s="24">
        <f t="shared" si="25"/>
        <v>0.5</v>
      </c>
      <c r="R99" s="716">
        <f t="shared" ca="1" si="26"/>
        <v>19706</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3135</v>
      </c>
      <c r="Q100" s="24">
        <f t="shared" si="25"/>
        <v>0.5</v>
      </c>
      <c r="R100" s="716">
        <f t="shared" ca="1" si="26"/>
        <v>19706</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3135</v>
      </c>
      <c r="Q101" s="24">
        <f t="shared" si="25"/>
        <v>0.5</v>
      </c>
      <c r="R101" s="716">
        <f t="shared" ca="1" si="26"/>
        <v>19706</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3135</v>
      </c>
      <c r="Q102" s="24">
        <f t="shared" si="25"/>
        <v>0.5</v>
      </c>
      <c r="R102" s="716">
        <f t="shared" ca="1" si="26"/>
        <v>19706</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3135</v>
      </c>
      <c r="Q103" s="24">
        <f t="shared" si="25"/>
        <v>0.5</v>
      </c>
      <c r="R103" s="716">
        <f t="shared" ca="1" si="26"/>
        <v>19706</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3135</v>
      </c>
      <c r="Q104" s="24">
        <f t="shared" si="25"/>
        <v>0.5</v>
      </c>
      <c r="R104" s="716">
        <f t="shared" ca="1" si="26"/>
        <v>19706</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3135</v>
      </c>
      <c r="Q105" s="24">
        <f t="shared" si="25"/>
        <v>0.5</v>
      </c>
      <c r="R105" s="716">
        <f t="shared" ca="1" si="26"/>
        <v>19706</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3136</v>
      </c>
      <c r="Q106" s="24">
        <f t="shared" si="25"/>
        <v>0.5</v>
      </c>
      <c r="R106" s="716">
        <f t="shared" ca="1" si="26"/>
        <v>18918</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3"/>
      <c r="B4" s="2997" t="s">
        <v>1630</v>
      </c>
      <c r="C4" s="2997"/>
      <c r="D4" s="2997"/>
      <c r="E4" s="1963"/>
    </row>
    <row r="5" spans="1:5" ht="16.5" thickTop="1">
      <c r="A5" s="1961"/>
      <c r="B5" s="2995" t="s">
        <v>1622</v>
      </c>
      <c r="C5" s="1964" t="s">
        <v>1623</v>
      </c>
      <c r="D5" s="1043">
        <f ca="1">结果表!H101</f>
        <v>47837</v>
      </c>
      <c r="E5" s="1961"/>
    </row>
    <row r="6" spans="1:5" ht="15.75">
      <c r="A6" s="1961"/>
      <c r="B6" s="2995"/>
      <c r="C6" s="1964" t="s">
        <v>1624</v>
      </c>
      <c r="D6" s="1043" t="str">
        <f ca="1">NUMBERSTRING(INT(D5*10000),2)&amp;"元整"</f>
        <v>肆亿柒仟捌佰叁拾柒万元整</v>
      </c>
      <c r="E6" s="1961"/>
    </row>
    <row r="7" spans="1:5" ht="15.75">
      <c r="A7" s="1961"/>
      <c r="B7" s="3000"/>
      <c r="C7" s="1965" t="s">
        <v>1625</v>
      </c>
      <c r="D7" s="1044">
        <f ca="1">结果表!H102</f>
        <v>18441</v>
      </c>
      <c r="E7" s="1961"/>
    </row>
    <row r="8" spans="1:5" ht="15.75">
      <c r="A8" s="1961"/>
      <c r="B8" s="3001" t="str">
        <f>结果表!E103</f>
        <v>2.估价师知悉的法定优先受偿款</v>
      </c>
      <c r="C8" s="1966" t="s">
        <v>1626</v>
      </c>
      <c r="D8" s="1044">
        <f>结果表!H103</f>
        <v>1600</v>
      </c>
      <c r="E8" s="1961"/>
    </row>
    <row r="9" spans="1:5" ht="15.75">
      <c r="A9" s="1961"/>
      <c r="B9" s="3003"/>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4" t="str">
        <f>结果表!E107</f>
        <v>3.房地产抵押价值</v>
      </c>
      <c r="C13" s="1969" t="s">
        <v>1623</v>
      </c>
      <c r="D13" s="1046">
        <f ca="1">结果表!H107</f>
        <v>46237</v>
      </c>
      <c r="E13" s="1961"/>
    </row>
    <row r="14" spans="1:5" ht="15.75">
      <c r="A14" s="1961"/>
      <c r="B14" s="2995"/>
      <c r="C14" s="1964" t="s">
        <v>1624</v>
      </c>
      <c r="D14" s="1043" t="str">
        <f ca="1">NUMBERSTRING(INT(D13*10000),2)&amp;"元整"</f>
        <v>肆亿陆仟贰佰叁拾柒万元整</v>
      </c>
      <c r="E14" s="1961"/>
    </row>
    <row r="15" spans="1:5" ht="15">
      <c r="A15" s="1961"/>
      <c r="B15" s="3000"/>
      <c r="C15" s="1965" t="s">
        <v>1634</v>
      </c>
      <c r="D15" s="1055">
        <f ca="1">结果表!H108</f>
        <v>17824</v>
      </c>
      <c r="E15" s="1961"/>
    </row>
    <row r="16" spans="1:5" ht="15">
      <c r="A16" s="1961"/>
      <c r="B16" s="3001" t="str">
        <f>结果表!E109</f>
        <v>——</v>
      </c>
      <c r="C16" s="1969" t="s">
        <v>1635</v>
      </c>
      <c r="D16" s="1970" t="str">
        <f>结果表!H109</f>
        <v>——</v>
      </c>
      <c r="E16" s="1961"/>
    </row>
    <row r="17" spans="1:5" ht="15.75">
      <c r="A17" s="1961"/>
      <c r="B17" s="3002"/>
      <c r="C17" s="1964" t="s">
        <v>1636</v>
      </c>
      <c r="D17" s="1043" t="e">
        <f>NUMBERSTRING(INT(D16*10000),2)&amp;"元整"</f>
        <v>#VALUE!</v>
      </c>
      <c r="E17" s="1961"/>
    </row>
    <row r="18" spans="1:5" ht="15">
      <c r="A18" s="1961"/>
      <c r="B18" s="3003"/>
      <c r="C18" s="1965" t="s">
        <v>1625</v>
      </c>
      <c r="D18" s="1055" t="str">
        <f>结果表!H110</f>
        <v>——</v>
      </c>
      <c r="E18" s="1961"/>
    </row>
    <row r="19" spans="1:5" ht="15.75">
      <c r="A19" s="1961"/>
      <c r="B19" s="2994" t="str">
        <f>结果表!E111</f>
        <v>——</v>
      </c>
      <c r="C19" s="1969" t="s">
        <v>1623</v>
      </c>
      <c r="D19" s="1044" t="str">
        <f>结果表!H111</f>
        <v>——</v>
      </c>
      <c r="E19" s="1961"/>
    </row>
    <row r="20" spans="1:5" ht="15.75">
      <c r="A20" s="1961"/>
      <c r="B20" s="2995"/>
      <c r="C20" s="1964" t="s">
        <v>1636</v>
      </c>
      <c r="D20" s="1043" t="e">
        <f>NUMBERSTRING(INT(D19*10000),2)&amp;"元整"</f>
        <v>#VALUE!</v>
      </c>
      <c r="E20" s="1961"/>
    </row>
    <row r="21" spans="1:5" ht="15.75" thickBot="1">
      <c r="A21" s="1961"/>
      <c r="B21" s="299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53696</v>
      </c>
      <c r="C2" s="2" t="s">
        <v>133</v>
      </c>
      <c r="D2" s="243"/>
      <c r="E2" s="243"/>
      <c r="F2" s="243"/>
      <c r="G2" s="243"/>
    </row>
    <row r="3" spans="1:7" s="244" customFormat="1" ht="18" customHeight="1" thickBot="1">
      <c r="A3" s="247" t="s">
        <v>85</v>
      </c>
      <c r="B3" s="248">
        <f ca="1">ROUND(B2*10000/'数据-汇总表'!E3,0)</f>
        <v>20699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337</v>
      </c>
      <c r="D10" s="1035">
        <f>'数据-汇总表'!E6</f>
        <v>25941</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3187</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1118</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1096</v>
      </c>
      <c r="D42" s="282"/>
      <c r="E42" s="282"/>
      <c r="F42" s="283"/>
      <c r="G42" s="3179" t="s">
        <v>121</v>
      </c>
    </row>
    <row r="43" spans="1:7" ht="13.5" customHeight="1">
      <c r="A43" s="954" t="s">
        <v>792</v>
      </c>
      <c r="B43" s="259" t="s">
        <v>1064</v>
      </c>
      <c r="C43" s="282">
        <f ca="1">ROUND(IF('数据-取费表'!B22&lt;=1,C39*F22*'数据-取费表'!B21/2,C39*(POWER((1+F22),'数据-取费表'!B21/2)-1)),0)</f>
        <v>22</v>
      </c>
      <c r="D43" s="282"/>
      <c r="E43" s="282"/>
      <c r="F43" s="283"/>
      <c r="G43" s="3180"/>
    </row>
    <row r="44" spans="1:7" ht="13.5" customHeight="1">
      <c r="A44" s="954" t="s">
        <v>793</v>
      </c>
      <c r="B44" s="259" t="s">
        <v>1066</v>
      </c>
      <c r="C44" s="282">
        <f ca="1">ROUND(IF('数据-取费表'!B22&lt;=1,C40*F22*'数据-取费表'!B21/2,C40*(POWER((1+F22),'数据-取费表'!B21/2)-1)),4)</f>
        <v>2.2000000000000001E-3</v>
      </c>
      <c r="D44" s="282"/>
      <c r="E44" s="282"/>
      <c r="F44" s="283"/>
      <c r="G44" s="3181"/>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21720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21720</v>
      </c>
      <c r="D51" s="276"/>
      <c r="E51" s="276"/>
      <c r="F51" s="308"/>
      <c r="G51" s="278" t="s">
        <v>64</v>
      </c>
    </row>
    <row r="52" spans="1:7" s="252" customFormat="1" ht="16.5" thickBot="1">
      <c r="A52" s="309" t="s">
        <v>65</v>
      </c>
      <c r="B52" s="310"/>
      <c r="C52" s="311">
        <f ca="1">C31+C51</f>
        <v>53696</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871</v>
      </c>
      <c r="B1" s="33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M7" sqref="M7"/>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3044</v>
      </c>
      <c r="B1" s="2946" t="s">
        <v>3045</v>
      </c>
      <c r="C1" s="2946" t="s">
        <v>3046</v>
      </c>
      <c r="D1" s="2946" t="s">
        <v>3047</v>
      </c>
      <c r="E1" s="2946" t="s">
        <v>3048</v>
      </c>
    </row>
    <row r="2" spans="1:13">
      <c r="A2" s="2947">
        <v>1</v>
      </c>
      <c r="B2" s="2951">
        <v>3</v>
      </c>
      <c r="C2" s="2952" t="s">
        <v>3049</v>
      </c>
      <c r="D2" s="2953">
        <v>102</v>
      </c>
      <c r="E2" s="2954">
        <v>158.21</v>
      </c>
      <c r="G2" s="2944" t="s">
        <v>3056</v>
      </c>
    </row>
    <row r="3" spans="1:13">
      <c r="A3" s="2947">
        <v>2</v>
      </c>
      <c r="B3" s="2951">
        <v>3</v>
      </c>
      <c r="C3" s="2952" t="s">
        <v>3049</v>
      </c>
      <c r="D3" s="2953">
        <v>107</v>
      </c>
      <c r="E3" s="2954">
        <v>77.400000000000006</v>
      </c>
      <c r="G3" s="2944" t="s">
        <v>3079</v>
      </c>
      <c r="H3">
        <v>36787.64</v>
      </c>
      <c r="M3">
        <f>107061.04-31075</f>
        <v>75986.039999999994</v>
      </c>
    </row>
    <row r="4" spans="1:13">
      <c r="A4" s="2947">
        <v>3</v>
      </c>
      <c r="B4" s="2951">
        <v>3</v>
      </c>
      <c r="C4" s="2952" t="s">
        <v>3049</v>
      </c>
      <c r="D4" s="2953">
        <v>108</v>
      </c>
      <c r="E4" s="2954">
        <v>75.02</v>
      </c>
      <c r="G4" s="2944" t="s">
        <v>3080</v>
      </c>
      <c r="H4">
        <f>107061.04+174935.79+177827.93</f>
        <v>459824.76</v>
      </c>
      <c r="I4" s="2989">
        <f>ROUND(H4/H3,2)</f>
        <v>12.5</v>
      </c>
      <c r="M4">
        <f>174935.79-63802</f>
        <v>111133.79000000001</v>
      </c>
    </row>
    <row r="5" spans="1:13">
      <c r="A5" s="2947">
        <v>4</v>
      </c>
      <c r="B5" s="2951">
        <v>3</v>
      </c>
      <c r="C5" s="2952" t="s">
        <v>3049</v>
      </c>
      <c r="D5" s="2953">
        <v>109</v>
      </c>
      <c r="E5" s="2954">
        <v>117.6</v>
      </c>
      <c r="G5" s="2944" t="s">
        <v>3081</v>
      </c>
      <c r="H5" s="2989">
        <f>I25</f>
        <v>190214</v>
      </c>
      <c r="K5" s="2944" t="s">
        <v>3335</v>
      </c>
      <c r="M5">
        <f>177827.93-66542</f>
        <v>111285.93</v>
      </c>
    </row>
    <row r="6" spans="1:13">
      <c r="A6" s="2947">
        <v>5</v>
      </c>
      <c r="B6" s="2951">
        <v>3</v>
      </c>
      <c r="C6" s="2952" t="s">
        <v>3049</v>
      </c>
      <c r="D6" s="2953">
        <v>110</v>
      </c>
      <c r="E6" s="2954">
        <v>52.35</v>
      </c>
      <c r="G6" s="2944" t="s">
        <v>3082</v>
      </c>
      <c r="H6">
        <f>ROUND(H5/H4*H3,2)</f>
        <v>15217.81</v>
      </c>
      <c r="I6" s="2944" t="s">
        <v>3333</v>
      </c>
      <c r="J6">
        <f>I12+I13+I14+I15+I16+I17</f>
        <v>25940.999999999996</v>
      </c>
      <c r="K6">
        <f>ROUND(J6/H5*H6,2)</f>
        <v>2075.37</v>
      </c>
      <c r="M6">
        <f>SUM(M3:M5)</f>
        <v>298405.76000000001</v>
      </c>
    </row>
    <row r="7" spans="1:13">
      <c r="A7" s="2947">
        <v>6</v>
      </c>
      <c r="B7" s="2951">
        <v>3</v>
      </c>
      <c r="C7" s="2952" t="s">
        <v>3049</v>
      </c>
      <c r="D7" s="2953">
        <v>111</v>
      </c>
      <c r="E7" s="2954">
        <v>157.30000000000001</v>
      </c>
      <c r="I7" s="2944" t="s">
        <v>3334</v>
      </c>
      <c r="J7" s="2989">
        <f>I18+I19+I22+I23+I24</f>
        <v>164273</v>
      </c>
      <c r="K7">
        <f>H6-K6</f>
        <v>13142.439999999999</v>
      </c>
      <c r="M7">
        <f>ROUND(M6/H3,2)</f>
        <v>8.11</v>
      </c>
    </row>
    <row r="8" spans="1:13">
      <c r="A8" s="2947">
        <v>7</v>
      </c>
      <c r="B8" s="2951">
        <v>3</v>
      </c>
      <c r="C8" s="2952" t="s">
        <v>3049</v>
      </c>
      <c r="D8" s="2953">
        <v>113</v>
      </c>
      <c r="E8" s="2954">
        <v>72.5</v>
      </c>
    </row>
    <row r="9" spans="1:13">
      <c r="A9" s="2948">
        <v>8</v>
      </c>
      <c r="B9" s="2955">
        <v>4</v>
      </c>
      <c r="C9" s="2956" t="s">
        <v>3049</v>
      </c>
      <c r="D9" s="2957">
        <v>104</v>
      </c>
      <c r="E9" s="2958">
        <v>137.57</v>
      </c>
    </row>
    <row r="10" spans="1:13">
      <c r="A10" s="2948">
        <v>9</v>
      </c>
      <c r="B10" s="2955">
        <v>4</v>
      </c>
      <c r="C10" s="2956" t="s">
        <v>3049</v>
      </c>
      <c r="D10" s="2957">
        <v>106</v>
      </c>
      <c r="E10" s="2958">
        <v>64.61</v>
      </c>
    </row>
    <row r="11" spans="1:13">
      <c r="A11" s="2948">
        <v>10</v>
      </c>
      <c r="B11" s="2955">
        <v>4</v>
      </c>
      <c r="C11" s="2956" t="s">
        <v>3049</v>
      </c>
      <c r="D11" s="2957">
        <v>107</v>
      </c>
      <c r="E11" s="2958">
        <v>94.62</v>
      </c>
      <c r="G11" s="2963" t="s">
        <v>3083</v>
      </c>
      <c r="H11" s="2963" t="s">
        <v>3084</v>
      </c>
      <c r="I11" s="2963" t="s">
        <v>3085</v>
      </c>
      <c r="J11" s="2964" t="s">
        <v>3086</v>
      </c>
    </row>
    <row r="12" spans="1:13">
      <c r="A12" s="2948">
        <v>11</v>
      </c>
      <c r="B12" s="2955">
        <v>4</v>
      </c>
      <c r="C12" s="2956" t="s">
        <v>3049</v>
      </c>
      <c r="D12" s="2957">
        <v>111</v>
      </c>
      <c r="E12" s="2958">
        <v>280.05</v>
      </c>
      <c r="G12" s="2965" t="s">
        <v>3087</v>
      </c>
      <c r="H12" s="3320" t="s">
        <v>3088</v>
      </c>
      <c r="I12" s="2965">
        <v>6893.7</v>
      </c>
      <c r="J12" s="2964" t="s">
        <v>3089</v>
      </c>
    </row>
    <row r="13" spans="1:13">
      <c r="A13" s="2948">
        <v>12</v>
      </c>
      <c r="B13" s="2955">
        <v>4</v>
      </c>
      <c r="C13" s="2956" t="s">
        <v>3049</v>
      </c>
      <c r="D13" s="2957">
        <v>117</v>
      </c>
      <c r="E13" s="2958">
        <v>105.85</v>
      </c>
      <c r="G13" s="2965" t="s">
        <v>3090</v>
      </c>
      <c r="H13" s="3320"/>
      <c r="I13" s="2965">
        <v>1326.9</v>
      </c>
      <c r="J13" s="2964"/>
    </row>
    <row r="14" spans="1:13">
      <c r="A14" s="2948">
        <v>13</v>
      </c>
      <c r="B14" s="2959">
        <v>5</v>
      </c>
      <c r="C14" s="2949">
        <v>1</v>
      </c>
      <c r="D14" s="2949">
        <v>101</v>
      </c>
      <c r="E14" s="2950">
        <v>211.82</v>
      </c>
      <c r="G14" s="2965" t="s">
        <v>3087</v>
      </c>
      <c r="H14" s="3320" t="s">
        <v>3091</v>
      </c>
      <c r="I14" s="2965">
        <v>5305.81</v>
      </c>
      <c r="J14" s="2964" t="s">
        <v>3089</v>
      </c>
    </row>
    <row r="15" spans="1:13">
      <c r="A15" s="2948">
        <v>14</v>
      </c>
      <c r="B15" s="2959">
        <v>5</v>
      </c>
      <c r="C15" s="2949">
        <v>1</v>
      </c>
      <c r="D15" s="2949">
        <v>103</v>
      </c>
      <c r="E15" s="2950">
        <v>611.04999999999995</v>
      </c>
      <c r="G15" s="2965" t="s">
        <v>3090</v>
      </c>
      <c r="H15" s="3320"/>
      <c r="I15" s="2965">
        <v>3233.19</v>
      </c>
      <c r="J15" s="2964"/>
    </row>
    <row r="16" spans="1:13">
      <c r="A16" s="2948">
        <v>15</v>
      </c>
      <c r="B16" s="2959">
        <v>5</v>
      </c>
      <c r="C16" s="2949">
        <v>1</v>
      </c>
      <c r="D16" s="2949">
        <v>108</v>
      </c>
      <c r="E16" s="2950">
        <v>350.4</v>
      </c>
      <c r="G16" s="2965" t="s">
        <v>3087</v>
      </c>
      <c r="H16" s="3320" t="s">
        <v>3092</v>
      </c>
      <c r="I16" s="2965">
        <v>6649.94</v>
      </c>
      <c r="J16" s="2964" t="s">
        <v>3093</v>
      </c>
    </row>
    <row r="17" spans="1:10">
      <c r="A17" s="2947">
        <v>16</v>
      </c>
      <c r="B17" s="2951">
        <v>3</v>
      </c>
      <c r="C17" s="2952" t="s">
        <v>3050</v>
      </c>
      <c r="D17" s="2953">
        <v>201</v>
      </c>
      <c r="E17" s="2954">
        <v>323.68</v>
      </c>
      <c r="G17" s="2965" t="s">
        <v>3090</v>
      </c>
      <c r="H17" s="3320"/>
      <c r="I17" s="2965">
        <v>2531.46</v>
      </c>
      <c r="J17" s="2964"/>
    </row>
    <row r="18" spans="1:10">
      <c r="A18" s="2947">
        <v>17</v>
      </c>
      <c r="B18" s="2951">
        <v>3</v>
      </c>
      <c r="C18" s="2952" t="s">
        <v>3050</v>
      </c>
      <c r="D18" s="2953">
        <v>202</v>
      </c>
      <c r="E18" s="2954">
        <v>389.15</v>
      </c>
      <c r="G18" s="2965" t="s">
        <v>3087</v>
      </c>
      <c r="H18" s="3320" t="s">
        <v>3094</v>
      </c>
      <c r="I18" s="2966">
        <v>63151.97</v>
      </c>
      <c r="J18" s="2964" t="s">
        <v>3095</v>
      </c>
    </row>
    <row r="19" spans="1:10">
      <c r="A19" s="2947">
        <v>18</v>
      </c>
      <c r="B19" s="2951">
        <v>3</v>
      </c>
      <c r="C19" s="2952" t="s">
        <v>3050</v>
      </c>
      <c r="D19" s="2953">
        <v>203</v>
      </c>
      <c r="E19" s="2954">
        <v>142.53</v>
      </c>
      <c r="G19" s="2965" t="s">
        <v>3090</v>
      </c>
      <c r="H19" s="3320"/>
      <c r="I19" s="2965">
        <v>169.55</v>
      </c>
      <c r="J19" s="2964"/>
    </row>
    <row r="20" spans="1:10">
      <c r="A20" s="2947">
        <v>19</v>
      </c>
      <c r="B20" s="2951">
        <v>3</v>
      </c>
      <c r="C20" s="2952" t="s">
        <v>3050</v>
      </c>
      <c r="D20" s="2953">
        <v>206</v>
      </c>
      <c r="E20" s="2954">
        <v>37.119999999999997</v>
      </c>
      <c r="G20" s="2967" t="s">
        <v>3096</v>
      </c>
      <c r="H20" s="2967" t="s">
        <v>3097</v>
      </c>
      <c r="I20" s="2968">
        <f>I12+I14+I16+I18</f>
        <v>82001.42</v>
      </c>
      <c r="J20" s="2969">
        <f>I12+I14+I16+I18</f>
        <v>82001.42</v>
      </c>
    </row>
    <row r="21" spans="1:10">
      <c r="A21" s="2947">
        <v>20</v>
      </c>
      <c r="B21" s="2951">
        <v>3</v>
      </c>
      <c r="C21" s="2952" t="s">
        <v>3050</v>
      </c>
      <c r="D21" s="2953">
        <v>207</v>
      </c>
      <c r="E21" s="2954">
        <v>43.2</v>
      </c>
      <c r="G21" s="2967" t="s">
        <v>3098</v>
      </c>
      <c r="H21" s="2967" t="s">
        <v>3097</v>
      </c>
      <c r="I21" s="2967">
        <f>I13+I15+I17+I19</f>
        <v>7261.1</v>
      </c>
      <c r="J21" s="2970"/>
    </row>
    <row r="22" spans="1:10">
      <c r="A22" s="2947">
        <v>21</v>
      </c>
      <c r="B22" s="2951">
        <v>3</v>
      </c>
      <c r="C22" s="2952" t="s">
        <v>3050</v>
      </c>
      <c r="D22" s="2953">
        <v>210</v>
      </c>
      <c r="E22" s="2954">
        <v>206.57</v>
      </c>
      <c r="G22" s="2971" t="s">
        <v>3099</v>
      </c>
      <c r="H22" s="2971"/>
      <c r="I22" s="2971">
        <v>69497</v>
      </c>
      <c r="J22" s="2970" t="s">
        <v>3100</v>
      </c>
    </row>
    <row r="23" spans="1:10">
      <c r="A23" s="2947">
        <v>22</v>
      </c>
      <c r="B23" s="2951">
        <v>3</v>
      </c>
      <c r="C23" s="2952" t="s">
        <v>3050</v>
      </c>
      <c r="D23" s="2953">
        <v>211</v>
      </c>
      <c r="E23" s="2954">
        <v>61.62</v>
      </c>
      <c r="G23" s="2971" t="s">
        <v>3101</v>
      </c>
      <c r="H23" s="2971"/>
      <c r="I23" s="2972">
        <f>190214-I20-I21-I24-I22</f>
        <v>7800.4799999999959</v>
      </c>
      <c r="J23" s="2970"/>
    </row>
    <row r="24" spans="1:10">
      <c r="A24" s="2948">
        <v>23</v>
      </c>
      <c r="B24" s="2955">
        <v>4</v>
      </c>
      <c r="C24" s="2956" t="s">
        <v>3050</v>
      </c>
      <c r="D24" s="2957">
        <v>206</v>
      </c>
      <c r="E24" s="2958">
        <v>259.49</v>
      </c>
      <c r="G24" s="2971" t="s">
        <v>3102</v>
      </c>
      <c r="H24" s="2971"/>
      <c r="I24" s="2972">
        <v>23654</v>
      </c>
      <c r="J24" s="2970" t="s">
        <v>3100</v>
      </c>
    </row>
    <row r="25" spans="1:10">
      <c r="A25" s="2948">
        <v>24</v>
      </c>
      <c r="B25" s="2955">
        <v>4</v>
      </c>
      <c r="C25" s="2956" t="s">
        <v>3050</v>
      </c>
      <c r="D25" s="2957">
        <v>208</v>
      </c>
      <c r="E25" s="2958">
        <v>81.400000000000006</v>
      </c>
      <c r="G25" s="2967" t="s">
        <v>3103</v>
      </c>
      <c r="H25" s="2967"/>
      <c r="I25" s="2968">
        <v>190214</v>
      </c>
      <c r="J25" s="2973"/>
    </row>
    <row r="26" spans="1:10">
      <c r="A26" s="2948">
        <v>25</v>
      </c>
      <c r="B26" s="2955">
        <v>4</v>
      </c>
      <c r="C26" s="2956" t="s">
        <v>3050</v>
      </c>
      <c r="D26" s="2957">
        <v>209</v>
      </c>
      <c r="E26" s="2958">
        <v>123.69</v>
      </c>
    </row>
    <row r="27" spans="1:10">
      <c r="A27" s="2948">
        <v>26</v>
      </c>
      <c r="B27" s="2955">
        <v>4</v>
      </c>
      <c r="C27" s="2956" t="s">
        <v>3050</v>
      </c>
      <c r="D27" s="2957">
        <v>210</v>
      </c>
      <c r="E27" s="2958">
        <v>167.08</v>
      </c>
    </row>
    <row r="28" spans="1:10">
      <c r="A28" s="2948">
        <v>27</v>
      </c>
      <c r="B28" s="2955">
        <v>4</v>
      </c>
      <c r="C28" s="2956" t="s">
        <v>3050</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3051</v>
      </c>
      <c r="D32" s="2953">
        <v>305</v>
      </c>
      <c r="E32" s="2954">
        <v>276.85000000000002</v>
      </c>
    </row>
    <row r="33" spans="1:5">
      <c r="A33" s="2948">
        <v>32</v>
      </c>
      <c r="B33" s="2951">
        <v>3</v>
      </c>
      <c r="C33" s="2952" t="s">
        <v>3051</v>
      </c>
      <c r="D33" s="2953">
        <v>308</v>
      </c>
      <c r="E33" s="2954">
        <v>116.48</v>
      </c>
    </row>
    <row r="34" spans="1:5">
      <c r="A34" s="2948">
        <v>33</v>
      </c>
      <c r="B34" s="2951">
        <v>3</v>
      </c>
      <c r="C34" s="2952" t="s">
        <v>3051</v>
      </c>
      <c r="D34" s="2953">
        <v>309</v>
      </c>
      <c r="E34" s="2954">
        <v>361.45</v>
      </c>
    </row>
    <row r="35" spans="1:5">
      <c r="A35" s="2948">
        <v>34</v>
      </c>
      <c r="B35" s="2955">
        <v>4</v>
      </c>
      <c r="C35" s="2956" t="s">
        <v>3051</v>
      </c>
      <c r="D35" s="2957">
        <v>306</v>
      </c>
      <c r="E35" s="2958">
        <v>263.87</v>
      </c>
    </row>
    <row r="36" spans="1:5">
      <c r="A36" s="2948">
        <v>35</v>
      </c>
      <c r="B36" s="2955">
        <v>4</v>
      </c>
      <c r="C36" s="2956" t="s">
        <v>3051</v>
      </c>
      <c r="D36" s="2957">
        <v>308</v>
      </c>
      <c r="E36" s="2958">
        <v>90.78</v>
      </c>
    </row>
    <row r="37" spans="1:5">
      <c r="A37" s="2948">
        <v>36</v>
      </c>
      <c r="B37" s="2955">
        <v>4</v>
      </c>
      <c r="C37" s="2956" t="s">
        <v>3051</v>
      </c>
      <c r="D37" s="2957">
        <v>309</v>
      </c>
      <c r="E37" s="2958">
        <v>118.86</v>
      </c>
    </row>
    <row r="38" spans="1:5">
      <c r="A38" s="2948">
        <v>37</v>
      </c>
      <c r="B38" s="2955">
        <v>4</v>
      </c>
      <c r="C38" s="2956" t="s">
        <v>3051</v>
      </c>
      <c r="D38" s="2957">
        <v>310</v>
      </c>
      <c r="E38" s="2958">
        <v>169.4</v>
      </c>
    </row>
    <row r="39" spans="1:5">
      <c r="A39" s="2948">
        <v>38</v>
      </c>
      <c r="B39" s="2955">
        <v>4</v>
      </c>
      <c r="C39" s="2956" t="s">
        <v>3051</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3052</v>
      </c>
      <c r="D44" s="2953">
        <v>405</v>
      </c>
      <c r="E44" s="2954">
        <v>282.05</v>
      </c>
    </row>
    <row r="45" spans="1:5">
      <c r="A45" s="2948">
        <v>44</v>
      </c>
      <c r="B45" s="2951">
        <v>3</v>
      </c>
      <c r="C45" s="2952" t="s">
        <v>3052</v>
      </c>
      <c r="D45" s="2953">
        <v>408</v>
      </c>
      <c r="E45" s="2954">
        <v>131.13999999999999</v>
      </c>
    </row>
    <row r="46" spans="1:5">
      <c r="A46" s="2948">
        <v>45</v>
      </c>
      <c r="B46" s="2951">
        <v>3</v>
      </c>
      <c r="C46" s="2952" t="s">
        <v>3052</v>
      </c>
      <c r="D46" s="2953">
        <v>409</v>
      </c>
      <c r="E46" s="2954">
        <v>435.56</v>
      </c>
    </row>
    <row r="47" spans="1:5">
      <c r="A47" s="2948">
        <v>46</v>
      </c>
      <c r="B47" s="2955">
        <v>4</v>
      </c>
      <c r="C47" s="2956" t="s">
        <v>3052</v>
      </c>
      <c r="D47" s="2957">
        <v>406</v>
      </c>
      <c r="E47" s="2958">
        <v>261.70999999999998</v>
      </c>
    </row>
    <row r="48" spans="1:5">
      <c r="A48" s="2948">
        <v>47</v>
      </c>
      <c r="B48" s="2955">
        <v>4</v>
      </c>
      <c r="C48" s="2956" t="s">
        <v>3052</v>
      </c>
      <c r="D48" s="2957">
        <v>408</v>
      </c>
      <c r="E48" s="2958">
        <v>90.79</v>
      </c>
    </row>
    <row r="49" spans="1:5">
      <c r="A49" s="2948">
        <v>48</v>
      </c>
      <c r="B49" s="2955">
        <v>4</v>
      </c>
      <c r="C49" s="2956" t="s">
        <v>3052</v>
      </c>
      <c r="D49" s="2957">
        <v>409</v>
      </c>
      <c r="E49" s="2958">
        <v>118.96</v>
      </c>
    </row>
    <row r="50" spans="1:5">
      <c r="A50" s="2948">
        <v>49</v>
      </c>
      <c r="B50" s="2955">
        <v>4</v>
      </c>
      <c r="C50" s="2956" t="s">
        <v>3052</v>
      </c>
      <c r="D50" s="2957">
        <v>410</v>
      </c>
      <c r="E50" s="2958">
        <v>224.37</v>
      </c>
    </row>
    <row r="51" spans="1:5">
      <c r="A51" s="2948">
        <v>50</v>
      </c>
      <c r="B51" s="2955">
        <v>4</v>
      </c>
      <c r="C51" s="2956" t="s">
        <v>3052</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3053</v>
      </c>
      <c r="D56" s="2953">
        <v>505</v>
      </c>
      <c r="E56" s="2954">
        <v>365.78</v>
      </c>
    </row>
    <row r="57" spans="1:5">
      <c r="A57" s="2948">
        <v>56</v>
      </c>
      <c r="B57" s="2951">
        <v>3</v>
      </c>
      <c r="C57" s="2952" t="s">
        <v>3053</v>
      </c>
      <c r="D57" s="2953">
        <v>510</v>
      </c>
      <c r="E57" s="2954">
        <v>557.26</v>
      </c>
    </row>
    <row r="58" spans="1:5">
      <c r="A58" s="2948">
        <v>57</v>
      </c>
      <c r="B58" s="2955">
        <v>4</v>
      </c>
      <c r="C58" s="2956" t="s">
        <v>3053</v>
      </c>
      <c r="D58" s="2957">
        <v>502</v>
      </c>
      <c r="E58" s="2958">
        <v>56.6</v>
      </c>
    </row>
    <row r="59" spans="1:5">
      <c r="A59" s="2948">
        <v>58</v>
      </c>
      <c r="B59" s="2955">
        <v>4</v>
      </c>
      <c r="C59" s="2956" t="s">
        <v>3053</v>
      </c>
      <c r="D59" s="2957">
        <v>506</v>
      </c>
      <c r="E59" s="2958">
        <v>290.10000000000002</v>
      </c>
    </row>
    <row r="60" spans="1:5">
      <c r="A60" s="2948">
        <v>59</v>
      </c>
      <c r="B60" s="2955">
        <v>4</v>
      </c>
      <c r="C60" s="2956" t="s">
        <v>3053</v>
      </c>
      <c r="D60" s="2957">
        <v>508</v>
      </c>
      <c r="E60" s="2958">
        <v>329.75</v>
      </c>
    </row>
    <row r="61" spans="1:5">
      <c r="A61" s="2948">
        <v>60</v>
      </c>
      <c r="B61" s="2955">
        <v>4</v>
      </c>
      <c r="C61" s="2956" t="s">
        <v>3053</v>
      </c>
      <c r="D61" s="2957">
        <v>511</v>
      </c>
      <c r="E61" s="2958">
        <v>125.01</v>
      </c>
    </row>
    <row r="62" spans="1:5">
      <c r="A62" s="2948">
        <v>61</v>
      </c>
      <c r="B62" s="2955">
        <v>4</v>
      </c>
      <c r="C62" s="2956" t="s">
        <v>3053</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3054</v>
      </c>
      <c r="D68" s="2953">
        <v>605</v>
      </c>
      <c r="E68" s="2954">
        <v>308.42</v>
      </c>
    </row>
    <row r="69" spans="1:5">
      <c r="A69" s="2948">
        <v>68</v>
      </c>
      <c r="B69" s="2951">
        <v>3</v>
      </c>
      <c r="C69" s="2952" t="s">
        <v>3054</v>
      </c>
      <c r="D69" s="2953">
        <v>608</v>
      </c>
      <c r="E69" s="2954">
        <v>30.82</v>
      </c>
    </row>
    <row r="70" spans="1:5">
      <c r="A70" s="2948">
        <v>69</v>
      </c>
      <c r="B70" s="2951">
        <v>3</v>
      </c>
      <c r="C70" s="2952" t="s">
        <v>3054</v>
      </c>
      <c r="D70" s="2953">
        <v>610</v>
      </c>
      <c r="E70" s="2954">
        <v>69.25</v>
      </c>
    </row>
    <row r="71" spans="1:5">
      <c r="A71" s="2948">
        <v>70</v>
      </c>
      <c r="B71" s="2955">
        <v>4</v>
      </c>
      <c r="C71" s="2956" t="s">
        <v>3054</v>
      </c>
      <c r="D71" s="2957">
        <v>602</v>
      </c>
      <c r="E71" s="2958">
        <v>69.36</v>
      </c>
    </row>
    <row r="72" spans="1:5">
      <c r="A72" s="2948">
        <v>71</v>
      </c>
      <c r="B72" s="2955">
        <v>4</v>
      </c>
      <c r="C72" s="2956" t="s">
        <v>3054</v>
      </c>
      <c r="D72" s="2957">
        <v>606</v>
      </c>
      <c r="E72" s="2958">
        <v>287.89999999999998</v>
      </c>
    </row>
    <row r="73" spans="1:5">
      <c r="A73" s="2948">
        <v>72</v>
      </c>
      <c r="B73" s="2955">
        <v>4</v>
      </c>
      <c r="C73" s="2956" t="s">
        <v>3054</v>
      </c>
      <c r="D73" s="2957">
        <v>608</v>
      </c>
      <c r="E73" s="2958">
        <v>212.41</v>
      </c>
    </row>
    <row r="74" spans="1:5">
      <c r="A74" s="2948">
        <v>73</v>
      </c>
      <c r="B74" s="2955">
        <v>4</v>
      </c>
      <c r="C74" s="2956" t="s">
        <v>3054</v>
      </c>
      <c r="D74" s="2957">
        <v>610</v>
      </c>
      <c r="E74" s="2958">
        <v>117.06</v>
      </c>
    </row>
    <row r="75" spans="1:5">
      <c r="A75" s="2948">
        <v>74</v>
      </c>
      <c r="B75" s="2955">
        <v>4</v>
      </c>
      <c r="C75" s="2956" t="s">
        <v>3054</v>
      </c>
      <c r="D75" s="2957">
        <v>611</v>
      </c>
      <c r="E75" s="2958">
        <v>116.5</v>
      </c>
    </row>
    <row r="76" spans="1:5">
      <c r="A76" s="2948">
        <v>75</v>
      </c>
      <c r="B76" s="2955">
        <v>4</v>
      </c>
      <c r="C76" s="2956" t="s">
        <v>3054</v>
      </c>
      <c r="D76" s="2957">
        <v>613</v>
      </c>
      <c r="E76" s="2958">
        <v>30.11</v>
      </c>
    </row>
    <row r="77" spans="1:5">
      <c r="A77" s="2948">
        <v>76</v>
      </c>
      <c r="B77" s="2955">
        <v>4</v>
      </c>
      <c r="C77" s="2956" t="s">
        <v>3054</v>
      </c>
      <c r="D77" s="2957">
        <v>615</v>
      </c>
      <c r="E77" s="2958">
        <v>55.15</v>
      </c>
    </row>
    <row r="78" spans="1:5">
      <c r="A78" s="2948">
        <v>77</v>
      </c>
      <c r="B78" s="2955">
        <v>4</v>
      </c>
      <c r="C78" s="2956" t="s">
        <v>3054</v>
      </c>
      <c r="D78" s="2957">
        <v>616</v>
      </c>
      <c r="E78" s="2958">
        <v>67.94</v>
      </c>
    </row>
    <row r="79" spans="1:5">
      <c r="A79" s="2948">
        <v>78</v>
      </c>
      <c r="B79" s="2955">
        <v>4</v>
      </c>
      <c r="C79" s="2956" t="s">
        <v>3054</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3055</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58" workbookViewId="0">
      <selection activeCell="N171" sqref="N171"/>
    </sheetView>
  </sheetViews>
  <sheetFormatPr defaultRowHeight="13.5"/>
  <sheetData>
    <row r="1" spans="1:13" s="2978" customFormat="1" ht="12">
      <c r="A1" s="2978" t="s">
        <v>3137</v>
      </c>
      <c r="B1" s="2978" t="s">
        <v>3138</v>
      </c>
      <c r="C1" s="2978" t="s">
        <v>3139</v>
      </c>
      <c r="D1" s="2978" t="s">
        <v>3140</v>
      </c>
      <c r="E1" s="2978" t="s">
        <v>3141</v>
      </c>
      <c r="F1" s="2978" t="s">
        <v>3142</v>
      </c>
      <c r="G1" s="2978" t="s">
        <v>3143</v>
      </c>
      <c r="H1" s="2978" t="s">
        <v>3144</v>
      </c>
      <c r="I1" s="2978" t="s">
        <v>3145</v>
      </c>
      <c r="J1" s="2978" t="s">
        <v>3146</v>
      </c>
      <c r="K1" s="2978" t="s">
        <v>3147</v>
      </c>
      <c r="L1" s="2978" t="s">
        <v>3148</v>
      </c>
      <c r="M1" s="2978" t="s">
        <v>3149</v>
      </c>
    </row>
    <row r="2" spans="1:13" s="2978" customFormat="1" ht="12">
      <c r="A2" s="2978" t="s">
        <v>3150</v>
      </c>
      <c r="B2" s="2978" t="s">
        <v>3151</v>
      </c>
      <c r="C2" s="2978" t="s">
        <v>3152</v>
      </c>
      <c r="D2" s="2978">
        <v>44356.9</v>
      </c>
      <c r="E2" s="2978">
        <v>133070.70000000001</v>
      </c>
      <c r="F2" s="2978" t="s">
        <v>3153</v>
      </c>
      <c r="G2" s="2978" t="s">
        <v>3154</v>
      </c>
      <c r="H2" s="2978" t="s">
        <v>3155</v>
      </c>
      <c r="I2" s="2978">
        <v>37512.620000000003</v>
      </c>
      <c r="J2" s="2978">
        <v>37512.620000000003</v>
      </c>
      <c r="K2" s="2978">
        <v>2819</v>
      </c>
      <c r="L2" s="2978">
        <v>0</v>
      </c>
      <c r="M2" s="2978" t="s">
        <v>3156</v>
      </c>
    </row>
    <row r="3" spans="1:13" s="2978" customFormat="1" ht="12">
      <c r="A3" s="2978" t="s">
        <v>3157</v>
      </c>
      <c r="B3" s="2978" t="s">
        <v>3151</v>
      </c>
      <c r="C3" s="2978" t="s">
        <v>3152</v>
      </c>
      <c r="D3" s="2978">
        <v>30243.9</v>
      </c>
      <c r="E3" s="2978">
        <v>90731</v>
      </c>
      <c r="F3" s="2978" t="s">
        <v>3158</v>
      </c>
      <c r="G3" s="2978" t="s">
        <v>3154</v>
      </c>
      <c r="H3" s="2978" t="s">
        <v>3155</v>
      </c>
      <c r="I3" s="2978">
        <v>25858.33</v>
      </c>
      <c r="J3" s="2978">
        <v>25858.33</v>
      </c>
      <c r="K3" s="2978">
        <v>2850</v>
      </c>
      <c r="L3" s="2978">
        <v>0</v>
      </c>
      <c r="M3" s="2978" t="s">
        <v>3159</v>
      </c>
    </row>
    <row r="4" spans="1:13" s="2979" customFormat="1" ht="12">
      <c r="A4" s="2979" t="s">
        <v>3160</v>
      </c>
      <c r="B4" s="2979" t="s">
        <v>3151</v>
      </c>
      <c r="C4" s="2979" t="s">
        <v>3152</v>
      </c>
      <c r="D4" s="2979">
        <v>4053.02</v>
      </c>
      <c r="E4" s="2979">
        <v>8106</v>
      </c>
      <c r="F4" s="2979" t="s">
        <v>3161</v>
      </c>
      <c r="G4" s="2979" t="s">
        <v>3154</v>
      </c>
      <c r="H4" s="2979" t="s">
        <v>3162</v>
      </c>
      <c r="I4" s="2979">
        <v>2804.67</v>
      </c>
      <c r="J4" s="2979">
        <v>5682.31</v>
      </c>
      <c r="K4" s="2979">
        <v>7010</v>
      </c>
      <c r="L4" s="2979">
        <v>102.6</v>
      </c>
      <c r="M4" s="2979" t="s">
        <v>3163</v>
      </c>
    </row>
    <row r="5" spans="1:13" s="2978" customFormat="1" ht="12">
      <c r="A5" s="2978" t="s">
        <v>3164</v>
      </c>
      <c r="B5" s="2978" t="s">
        <v>3151</v>
      </c>
      <c r="C5" s="2978" t="s">
        <v>3152</v>
      </c>
      <c r="D5" s="2978">
        <v>32637.29</v>
      </c>
      <c r="E5" s="2978">
        <v>120499.4</v>
      </c>
      <c r="F5" s="2978" t="s">
        <v>3165</v>
      </c>
      <c r="G5" s="2978" t="s">
        <v>3154</v>
      </c>
      <c r="H5" s="2978" t="s">
        <v>3166</v>
      </c>
      <c r="I5" s="2978">
        <v>32534.83</v>
      </c>
      <c r="J5" s="2978">
        <v>56634.720000000001</v>
      </c>
      <c r="K5" s="2978">
        <v>4700</v>
      </c>
      <c r="L5" s="2978">
        <v>74.069999999999993</v>
      </c>
      <c r="M5" s="2978" t="s">
        <v>3167</v>
      </c>
    </row>
    <row r="6" spans="1:13" s="2978" customFormat="1" ht="12">
      <c r="A6" s="2978" t="s">
        <v>3168</v>
      </c>
      <c r="B6" s="2978" t="s">
        <v>3151</v>
      </c>
      <c r="C6" s="2978" t="s">
        <v>3152</v>
      </c>
      <c r="D6" s="2978">
        <v>19482.37</v>
      </c>
      <c r="E6" s="2978">
        <v>136376.6</v>
      </c>
      <c r="F6" s="2978" t="s">
        <v>3169</v>
      </c>
      <c r="G6" s="2978" t="s">
        <v>3154</v>
      </c>
      <c r="H6" s="2978" t="s">
        <v>3170</v>
      </c>
      <c r="I6" s="2978">
        <v>26593.43</v>
      </c>
      <c r="J6" s="2978">
        <v>26593.43</v>
      </c>
      <c r="K6" s="2978">
        <v>1950</v>
      </c>
      <c r="L6" s="2978">
        <v>0</v>
      </c>
      <c r="M6" s="2978" t="s">
        <v>3171</v>
      </c>
    </row>
    <row r="7" spans="1:13" s="2979" customFormat="1" ht="12">
      <c r="A7" s="2979" t="s">
        <v>3172</v>
      </c>
      <c r="B7" s="2979" t="s">
        <v>3151</v>
      </c>
      <c r="C7" s="2979" t="s">
        <v>3152</v>
      </c>
      <c r="D7" s="2979">
        <v>9787.69</v>
      </c>
      <c r="E7" s="2979">
        <v>29363</v>
      </c>
      <c r="F7" s="2979" t="s">
        <v>3173</v>
      </c>
      <c r="G7" s="2979" t="s">
        <v>3154</v>
      </c>
      <c r="H7" s="2979" t="s">
        <v>3174</v>
      </c>
      <c r="I7" s="2979">
        <v>8368.4500000000007</v>
      </c>
      <c r="J7" s="2979">
        <v>20260.47</v>
      </c>
      <c r="K7" s="2979">
        <v>6900</v>
      </c>
      <c r="L7" s="2979">
        <v>142.11000000000001</v>
      </c>
      <c r="M7" s="2979" t="s">
        <v>3175</v>
      </c>
    </row>
    <row r="8" spans="1:13" s="2978" customFormat="1" ht="12">
      <c r="A8" s="2978" t="s">
        <v>3176</v>
      </c>
      <c r="B8" s="2978" t="s">
        <v>3151</v>
      </c>
      <c r="C8" s="2978" t="s">
        <v>3152</v>
      </c>
      <c r="D8" s="2978">
        <v>7249.52</v>
      </c>
      <c r="E8" s="2978">
        <v>21748</v>
      </c>
      <c r="F8" s="2978" t="s">
        <v>3173</v>
      </c>
      <c r="G8" s="2978" t="s">
        <v>3154</v>
      </c>
      <c r="H8" s="2978" t="s">
        <v>3174</v>
      </c>
      <c r="I8" s="2978">
        <v>6111.18</v>
      </c>
      <c r="J8" s="2978">
        <v>12613.84</v>
      </c>
      <c r="K8" s="2978">
        <v>5800</v>
      </c>
      <c r="L8" s="2978">
        <v>106.41</v>
      </c>
      <c r="M8" s="2978" t="s">
        <v>3175</v>
      </c>
    </row>
    <row r="9" spans="1:13" s="2978" customFormat="1" ht="12">
      <c r="A9" s="2978" t="s">
        <v>3177</v>
      </c>
      <c r="B9" s="2978" t="s">
        <v>3151</v>
      </c>
      <c r="C9" s="2978" t="s">
        <v>3152</v>
      </c>
      <c r="D9" s="2978">
        <v>30428.29</v>
      </c>
      <c r="E9" s="2978">
        <v>91284</v>
      </c>
      <c r="F9" s="2978" t="s">
        <v>3173</v>
      </c>
      <c r="G9" s="2978" t="s">
        <v>3154</v>
      </c>
      <c r="H9" s="2978" t="s">
        <v>3178</v>
      </c>
      <c r="I9" s="2978">
        <v>26472.36</v>
      </c>
      <c r="J9" s="2978">
        <v>26563.63</v>
      </c>
      <c r="K9" s="2978">
        <v>2910</v>
      </c>
      <c r="L9" s="2978">
        <v>0.34</v>
      </c>
      <c r="M9" s="2978" t="s">
        <v>3179</v>
      </c>
    </row>
    <row r="10" spans="1:13" s="2978" customFormat="1" ht="12">
      <c r="A10" s="2978" t="s">
        <v>3180</v>
      </c>
      <c r="B10" s="2978" t="s">
        <v>3151</v>
      </c>
      <c r="C10" s="2978" t="s">
        <v>3152</v>
      </c>
      <c r="D10" s="2978">
        <v>11677.71</v>
      </c>
      <c r="E10" s="2978">
        <v>77072.89</v>
      </c>
      <c r="F10" s="2978" t="s">
        <v>3181</v>
      </c>
      <c r="G10" s="2978" t="s">
        <v>3154</v>
      </c>
      <c r="H10" s="2978" t="s">
        <v>3182</v>
      </c>
      <c r="I10" s="2978">
        <v>41264.83</v>
      </c>
      <c r="J10" s="2978">
        <v>41264.83</v>
      </c>
      <c r="K10" s="2978">
        <v>5354</v>
      </c>
      <c r="L10" s="2978">
        <v>0</v>
      </c>
      <c r="M10" s="2978" t="s">
        <v>3183</v>
      </c>
    </row>
    <row r="11" spans="1:13" s="2978" customFormat="1" ht="12">
      <c r="A11" s="2978" t="s">
        <v>3180</v>
      </c>
      <c r="B11" s="2978" t="s">
        <v>3151</v>
      </c>
      <c r="C11" s="2978" t="s">
        <v>3152</v>
      </c>
      <c r="D11" s="2978">
        <v>19312.560000000001</v>
      </c>
      <c r="E11" s="2978">
        <v>77250.240000000005</v>
      </c>
      <c r="F11" s="2978" t="s">
        <v>3184</v>
      </c>
      <c r="G11" s="2978" t="s">
        <v>3154</v>
      </c>
      <c r="H11" s="2978" t="s">
        <v>3182</v>
      </c>
      <c r="I11" s="2978">
        <v>45199.12</v>
      </c>
      <c r="J11" s="2978">
        <v>45199.12</v>
      </c>
      <c r="K11" s="2978">
        <v>5851</v>
      </c>
      <c r="L11" s="2978">
        <v>0</v>
      </c>
      <c r="M11" s="2978" t="s">
        <v>3183</v>
      </c>
    </row>
    <row r="12" spans="1:13" s="2978" customFormat="1" ht="12">
      <c r="A12" s="2978" t="s">
        <v>3185</v>
      </c>
      <c r="B12" s="2978" t="s">
        <v>3151</v>
      </c>
      <c r="C12" s="2978" t="s">
        <v>3152</v>
      </c>
      <c r="D12" s="2978">
        <v>29579.26</v>
      </c>
      <c r="E12" s="2978">
        <v>88737.78</v>
      </c>
      <c r="F12" s="2978" t="s">
        <v>3158</v>
      </c>
      <c r="G12" s="2978" t="s">
        <v>3154</v>
      </c>
      <c r="H12" s="2978" t="s">
        <v>3186</v>
      </c>
      <c r="I12" s="2978">
        <v>26621.33</v>
      </c>
      <c r="J12" s="2978">
        <v>40375.69</v>
      </c>
      <c r="K12" s="2978">
        <v>4550</v>
      </c>
      <c r="L12" s="2978">
        <v>51.67</v>
      </c>
      <c r="M12" s="2978" t="s">
        <v>3187</v>
      </c>
    </row>
    <row r="13" spans="1:13" s="2978" customFormat="1" ht="12">
      <c r="A13" s="2978" t="s">
        <v>3188</v>
      </c>
      <c r="B13" s="2978" t="s">
        <v>3151</v>
      </c>
      <c r="C13" s="2978" t="s">
        <v>3152</v>
      </c>
      <c r="D13" s="2978">
        <v>12584.31</v>
      </c>
      <c r="E13" s="2978">
        <v>17618.03</v>
      </c>
      <c r="F13" s="2978" t="s">
        <v>3189</v>
      </c>
      <c r="G13" s="2978" t="s">
        <v>3154</v>
      </c>
      <c r="H13" s="2978" t="s">
        <v>3190</v>
      </c>
      <c r="I13" s="2978">
        <v>3865.4</v>
      </c>
      <c r="J13" s="2978">
        <v>3865.4</v>
      </c>
      <c r="K13" s="2978">
        <v>2194</v>
      </c>
      <c r="L13" s="2978">
        <v>0</v>
      </c>
      <c r="M13" s="2978" t="s">
        <v>3191</v>
      </c>
    </row>
    <row r="14" spans="1:13" s="2978" customFormat="1" ht="12">
      <c r="A14" s="2978" t="s">
        <v>3192</v>
      </c>
      <c r="B14" s="2978" t="s">
        <v>3151</v>
      </c>
      <c r="C14" s="2978" t="s">
        <v>3152</v>
      </c>
      <c r="D14" s="2978">
        <v>18102.36</v>
      </c>
      <c r="E14" s="2978">
        <v>108614</v>
      </c>
      <c r="F14" s="2978" t="s">
        <v>3193</v>
      </c>
      <c r="G14" s="2978" t="s">
        <v>3194</v>
      </c>
      <c r="H14" s="2978" t="s">
        <v>3195</v>
      </c>
      <c r="I14" s="2978">
        <v>136875.39000000001</v>
      </c>
      <c r="J14" s="2978">
        <v>136875.39000000001</v>
      </c>
      <c r="K14" s="2978">
        <v>12602</v>
      </c>
      <c r="L14" s="2978">
        <v>0</v>
      </c>
      <c r="M14" s="2978" t="s">
        <v>3196</v>
      </c>
    </row>
    <row r="15" spans="1:13" s="2979" customFormat="1" ht="12">
      <c r="A15" s="2979" t="s">
        <v>3197</v>
      </c>
      <c r="B15" s="2979" t="s">
        <v>3151</v>
      </c>
      <c r="C15" s="2979" t="s">
        <v>3152</v>
      </c>
      <c r="D15" s="2979">
        <v>16666.689999999999</v>
      </c>
      <c r="E15" s="2979">
        <v>100000.1</v>
      </c>
      <c r="F15" s="2979" t="s">
        <v>3198</v>
      </c>
      <c r="G15" s="2979" t="s">
        <v>3154</v>
      </c>
      <c r="H15" s="2979" t="s">
        <v>3199</v>
      </c>
      <c r="I15" s="2979">
        <v>30000.04</v>
      </c>
      <c r="J15" s="2979">
        <v>71200.070000000007</v>
      </c>
      <c r="K15" s="2979">
        <v>7120</v>
      </c>
      <c r="L15" s="2979">
        <v>137.33000000000001</v>
      </c>
      <c r="M15" s="2979" t="s">
        <v>3200</v>
      </c>
    </row>
    <row r="16" spans="1:13" s="2978" customFormat="1" ht="12">
      <c r="A16" s="2978" t="s">
        <v>3201</v>
      </c>
      <c r="B16" s="2978" t="s">
        <v>3151</v>
      </c>
      <c r="C16" s="2978" t="s">
        <v>3152</v>
      </c>
      <c r="D16" s="2978">
        <v>24090.47</v>
      </c>
      <c r="E16" s="2978">
        <v>33726.660000000003</v>
      </c>
      <c r="F16" s="2978" t="s">
        <v>3189</v>
      </c>
      <c r="G16" s="2978" t="s">
        <v>3154</v>
      </c>
      <c r="H16" s="2978" t="s">
        <v>3202</v>
      </c>
      <c r="I16" s="2978">
        <v>6354.1</v>
      </c>
      <c r="J16" s="2978">
        <v>6354.1</v>
      </c>
      <c r="K16" s="2978">
        <v>1884</v>
      </c>
      <c r="L16" s="2978">
        <v>0</v>
      </c>
      <c r="M16" s="2978" t="s">
        <v>3203</v>
      </c>
    </row>
    <row r="17" spans="1:13" s="2978" customFormat="1" ht="12">
      <c r="A17" s="2978" t="s">
        <v>3204</v>
      </c>
      <c r="B17" s="2978" t="s">
        <v>3151</v>
      </c>
      <c r="C17" s="2978" t="s">
        <v>3152</v>
      </c>
      <c r="D17" s="2978">
        <v>3836</v>
      </c>
      <c r="E17" s="2978">
        <v>3836</v>
      </c>
      <c r="F17" s="2978" t="s">
        <v>1331</v>
      </c>
      <c r="G17" s="2978" t="s">
        <v>3154</v>
      </c>
      <c r="H17" s="2978" t="s">
        <v>3202</v>
      </c>
      <c r="I17" s="2978">
        <v>749.57</v>
      </c>
      <c r="J17" s="2978">
        <v>794.57</v>
      </c>
      <c r="K17" s="2978">
        <v>2071.34</v>
      </c>
      <c r="L17" s="2978">
        <v>6</v>
      </c>
      <c r="M17" s="2978" t="s">
        <v>3205</v>
      </c>
    </row>
    <row r="18" spans="1:13" s="2978" customFormat="1" ht="12">
      <c r="A18" s="2978" t="s">
        <v>3206</v>
      </c>
      <c r="B18" s="2978" t="s">
        <v>3151</v>
      </c>
      <c r="C18" s="2978" t="s">
        <v>3152</v>
      </c>
      <c r="D18" s="2978">
        <v>10730.54</v>
      </c>
      <c r="E18" s="2978">
        <v>15022.76</v>
      </c>
      <c r="F18" s="2978" t="s">
        <v>3189</v>
      </c>
      <c r="G18" s="2978" t="s">
        <v>3154</v>
      </c>
      <c r="H18" s="2978" t="s">
        <v>3202</v>
      </c>
      <c r="I18" s="2978">
        <v>2830.28</v>
      </c>
      <c r="J18" s="2978">
        <v>2830.28</v>
      </c>
      <c r="K18" s="2978">
        <v>1884</v>
      </c>
      <c r="L18" s="2978">
        <v>0</v>
      </c>
      <c r="M18" s="2978" t="s">
        <v>3206</v>
      </c>
    </row>
    <row r="19" spans="1:13" s="2978" customFormat="1" ht="12">
      <c r="A19" s="2978" t="s">
        <v>3207</v>
      </c>
      <c r="B19" s="2978" t="s">
        <v>3151</v>
      </c>
      <c r="C19" s="2978" t="s">
        <v>3152</v>
      </c>
      <c r="D19" s="2978">
        <v>26325.119999999999</v>
      </c>
      <c r="E19" s="2978">
        <v>119224</v>
      </c>
      <c r="F19" s="2978" t="s">
        <v>3208</v>
      </c>
      <c r="G19" s="2978" t="s">
        <v>3194</v>
      </c>
      <c r="H19" s="2978" t="s">
        <v>3209</v>
      </c>
      <c r="I19" s="2978">
        <v>47546.52</v>
      </c>
      <c r="J19" s="2978">
        <v>47570.37</v>
      </c>
      <c r="K19" s="2978">
        <v>3990</v>
      </c>
      <c r="L19" s="2978">
        <v>0.05</v>
      </c>
      <c r="M19" s="2978" t="s">
        <v>3210</v>
      </c>
    </row>
    <row r="20" spans="1:13" s="2978" customFormat="1" ht="12">
      <c r="A20" s="2978" t="s">
        <v>3211</v>
      </c>
      <c r="B20" s="2978" t="s">
        <v>3151</v>
      </c>
      <c r="C20" s="2978" t="s">
        <v>3152</v>
      </c>
      <c r="D20" s="2978">
        <v>11168.7</v>
      </c>
      <c r="E20" s="2978">
        <v>48025</v>
      </c>
      <c r="F20" s="2978" t="s">
        <v>3212</v>
      </c>
      <c r="G20" s="2978" t="s">
        <v>3154</v>
      </c>
      <c r="H20" s="2978" t="s">
        <v>3213</v>
      </c>
      <c r="I20" s="2978">
        <v>10123.67</v>
      </c>
      <c r="J20" s="2978">
        <v>13206.87</v>
      </c>
      <c r="K20" s="2978">
        <v>2750</v>
      </c>
      <c r="L20" s="2978">
        <v>30.46</v>
      </c>
      <c r="M20" s="2978" t="s">
        <v>3214</v>
      </c>
    </row>
    <row r="21" spans="1:13" s="2978" customFormat="1" ht="12">
      <c r="A21" s="2978" t="s">
        <v>3215</v>
      </c>
      <c r="B21" s="2978" t="s">
        <v>3151</v>
      </c>
      <c r="C21" s="2978" t="s">
        <v>3152</v>
      </c>
      <c r="D21" s="2978">
        <v>13959.49</v>
      </c>
      <c r="E21" s="2978">
        <v>62817</v>
      </c>
      <c r="F21" s="2978" t="s">
        <v>3216</v>
      </c>
      <c r="G21" s="2978" t="s">
        <v>3154</v>
      </c>
      <c r="H21" s="2978" t="s">
        <v>3213</v>
      </c>
      <c r="I21" s="2978">
        <v>12676.46</v>
      </c>
      <c r="J21" s="2978">
        <v>17777.2</v>
      </c>
      <c r="K21" s="2978">
        <v>2830</v>
      </c>
      <c r="L21" s="2978">
        <v>40.24</v>
      </c>
      <c r="M21" s="2978" t="s">
        <v>3217</v>
      </c>
    </row>
    <row r="22" spans="1:13" s="2978" customFormat="1" ht="12">
      <c r="A22" s="2978" t="s">
        <v>3218</v>
      </c>
      <c r="B22" s="2978" t="s">
        <v>3151</v>
      </c>
      <c r="C22" s="2978" t="s">
        <v>3152</v>
      </c>
      <c r="D22" s="2978">
        <v>2249.9899999999998</v>
      </c>
      <c r="E22" s="2978">
        <v>5624</v>
      </c>
      <c r="F22" s="2978" t="s">
        <v>3219</v>
      </c>
      <c r="G22" s="2978" t="s">
        <v>3154</v>
      </c>
      <c r="H22" s="2978" t="s">
        <v>3220</v>
      </c>
      <c r="I22" s="2978">
        <v>3051</v>
      </c>
      <c r="J22" s="2978">
        <v>3051</v>
      </c>
      <c r="K22" s="2978">
        <v>5424.96</v>
      </c>
      <c r="L22" s="2978">
        <v>0</v>
      </c>
      <c r="M22" s="2978" t="s">
        <v>3221</v>
      </c>
    </row>
    <row r="23" spans="1:13" s="2978" customFormat="1" ht="12">
      <c r="A23" s="2978" t="s">
        <v>3222</v>
      </c>
      <c r="B23" s="2978" t="s">
        <v>3151</v>
      </c>
      <c r="C23" s="2978" t="s">
        <v>3152</v>
      </c>
      <c r="D23" s="2978">
        <v>4955.3599999999997</v>
      </c>
      <c r="E23" s="2978">
        <v>14866</v>
      </c>
      <c r="F23" s="2978" t="s">
        <v>3223</v>
      </c>
      <c r="G23" s="2978" t="s">
        <v>3154</v>
      </c>
      <c r="H23" s="2978" t="s">
        <v>3224</v>
      </c>
      <c r="I23" s="2978">
        <v>1114.95</v>
      </c>
      <c r="J23" s="2978">
        <v>2750.21</v>
      </c>
      <c r="K23" s="2978">
        <v>1850</v>
      </c>
      <c r="L23" s="2978">
        <v>146.66999999999999</v>
      </c>
      <c r="M23" s="2978" t="s">
        <v>3225</v>
      </c>
    </row>
    <row r="24" spans="1:13" s="2978" customFormat="1" ht="12">
      <c r="A24" s="2978" t="s">
        <v>3226</v>
      </c>
      <c r="B24" s="2978" t="s">
        <v>3151</v>
      </c>
      <c r="C24" s="2978" t="s">
        <v>3152</v>
      </c>
      <c r="D24" s="2978">
        <v>3286.27</v>
      </c>
      <c r="E24" s="2978">
        <v>26290.16</v>
      </c>
      <c r="F24" s="2978" t="s">
        <v>3227</v>
      </c>
      <c r="G24" s="2978" t="s">
        <v>3154</v>
      </c>
      <c r="H24" s="2978" t="s">
        <v>3224</v>
      </c>
      <c r="I24" s="2978">
        <v>13933.78</v>
      </c>
      <c r="J24" s="2978">
        <v>13933.78</v>
      </c>
      <c r="K24" s="2978">
        <v>5300</v>
      </c>
      <c r="L24" s="2978">
        <v>0</v>
      </c>
      <c r="M24" s="2978" t="s">
        <v>3228</v>
      </c>
    </row>
    <row r="25" spans="1:13" s="2978" customFormat="1" ht="12">
      <c r="A25" s="2978" t="s">
        <v>3229</v>
      </c>
      <c r="B25" s="2978" t="s">
        <v>3151</v>
      </c>
      <c r="C25" s="2978" t="s">
        <v>3152</v>
      </c>
      <c r="D25" s="2978">
        <v>28391.53</v>
      </c>
      <c r="E25" s="2978">
        <v>42587.29</v>
      </c>
      <c r="F25" s="2978" t="s">
        <v>3230</v>
      </c>
      <c r="G25" s="2978" t="s">
        <v>3154</v>
      </c>
      <c r="H25" s="2978" t="s">
        <v>3231</v>
      </c>
      <c r="I25" s="2978">
        <v>21293.65</v>
      </c>
      <c r="J25" s="2978">
        <v>21293.65</v>
      </c>
      <c r="K25" s="2978">
        <v>5000</v>
      </c>
      <c r="L25" s="2978">
        <v>0</v>
      </c>
      <c r="M25" s="2978" t="s">
        <v>3232</v>
      </c>
    </row>
    <row r="26" spans="1:13" s="2978" customFormat="1" ht="12">
      <c r="A26" s="2978" t="s">
        <v>3233</v>
      </c>
      <c r="B26" s="2978" t="s">
        <v>3151</v>
      </c>
      <c r="C26" s="2978" t="s">
        <v>3152</v>
      </c>
      <c r="D26" s="2978">
        <v>2690.48</v>
      </c>
      <c r="E26" s="2978">
        <v>4304</v>
      </c>
      <c r="F26" s="2978" t="s">
        <v>3234</v>
      </c>
      <c r="G26" s="2978" t="s">
        <v>3154</v>
      </c>
      <c r="H26" s="2978" t="s">
        <v>3235</v>
      </c>
      <c r="I26" s="2978">
        <v>1196.5</v>
      </c>
      <c r="J26" s="2978">
        <v>1721.59</v>
      </c>
      <c r="K26" s="2978">
        <v>4000</v>
      </c>
      <c r="L26" s="2978">
        <v>43.89</v>
      </c>
      <c r="M26" s="2978" t="s">
        <v>3236</v>
      </c>
    </row>
    <row r="27" spans="1:13" s="2978" customFormat="1" ht="12">
      <c r="A27" s="2978" t="s">
        <v>3237</v>
      </c>
      <c r="B27" s="2978" t="s">
        <v>3151</v>
      </c>
      <c r="C27" s="2978" t="s">
        <v>3152</v>
      </c>
      <c r="D27" s="2978">
        <v>4640.0200000000004</v>
      </c>
      <c r="E27" s="2978">
        <v>7424</v>
      </c>
      <c r="F27" s="2978" t="s">
        <v>3234</v>
      </c>
      <c r="G27" s="2978" t="s">
        <v>3154</v>
      </c>
      <c r="H27" s="2978" t="s">
        <v>3235</v>
      </c>
      <c r="I27" s="2978">
        <v>2394.23</v>
      </c>
      <c r="J27" s="2978">
        <v>3296.26</v>
      </c>
      <c r="K27" s="2978">
        <v>4440.01</v>
      </c>
      <c r="L27" s="2978">
        <v>37.67</v>
      </c>
      <c r="M27" s="2978" t="s">
        <v>3238</v>
      </c>
    </row>
    <row r="28" spans="1:13" s="2978" customFormat="1" ht="12">
      <c r="A28" s="2978" t="s">
        <v>3239</v>
      </c>
      <c r="B28" s="2978" t="s">
        <v>3151</v>
      </c>
      <c r="C28" s="2978" t="s">
        <v>3152</v>
      </c>
      <c r="D28" s="2978">
        <v>3308.01</v>
      </c>
      <c r="E28" s="2978">
        <v>7939</v>
      </c>
      <c r="F28" s="2978" t="s">
        <v>3240</v>
      </c>
      <c r="G28" s="2978" t="s">
        <v>3154</v>
      </c>
      <c r="H28" s="2978" t="s">
        <v>3235</v>
      </c>
      <c r="I28" s="2978">
        <v>1516.34</v>
      </c>
      <c r="J28" s="2978">
        <v>2024.45</v>
      </c>
      <c r="K28" s="2978">
        <v>2550.0100000000002</v>
      </c>
      <c r="L28" s="2978">
        <v>33.51</v>
      </c>
      <c r="M28" s="2978" t="s">
        <v>3236</v>
      </c>
    </row>
    <row r="29" spans="1:13" s="2978" customFormat="1" ht="12">
      <c r="A29" s="2978" t="s">
        <v>3241</v>
      </c>
      <c r="B29" s="2978" t="s">
        <v>3151</v>
      </c>
      <c r="C29" s="2978" t="s">
        <v>3152</v>
      </c>
      <c r="D29" s="2978">
        <v>16928.150000000001</v>
      </c>
      <c r="E29" s="2978">
        <v>33856.300000000003</v>
      </c>
      <c r="F29" s="2978" t="s">
        <v>3242</v>
      </c>
      <c r="G29" s="2978" t="s">
        <v>3154</v>
      </c>
      <c r="H29" s="2978" t="s">
        <v>3243</v>
      </c>
      <c r="I29" s="2978">
        <v>4465.6400000000003</v>
      </c>
      <c r="J29" s="2978">
        <v>4465.6400000000003</v>
      </c>
      <c r="K29" s="2978">
        <v>1319</v>
      </c>
      <c r="L29" s="2978">
        <v>0</v>
      </c>
      <c r="M29" s="2978" t="s">
        <v>3244</v>
      </c>
    </row>
    <row r="30" spans="1:13" s="2978" customFormat="1" ht="12">
      <c r="A30" s="2978" t="s">
        <v>3204</v>
      </c>
      <c r="B30" s="2978" t="s">
        <v>3151</v>
      </c>
      <c r="C30" s="2978" t="s">
        <v>3152</v>
      </c>
      <c r="D30" s="2978">
        <v>5100</v>
      </c>
      <c r="E30" s="2978" t="s">
        <v>1331</v>
      </c>
      <c r="F30" s="2978" t="s">
        <v>3245</v>
      </c>
      <c r="G30" s="2978" t="s">
        <v>3154</v>
      </c>
      <c r="H30" s="2978" t="s">
        <v>3246</v>
      </c>
      <c r="I30" s="2978">
        <v>1208.7</v>
      </c>
      <c r="J30" s="2978">
        <v>1208.7</v>
      </c>
      <c r="K30" s="2978" t="s">
        <v>1331</v>
      </c>
      <c r="L30" s="2978">
        <v>0</v>
      </c>
      <c r="M30" s="2978" t="s">
        <v>3247</v>
      </c>
    </row>
    <row r="31" spans="1:13" s="2978" customFormat="1" ht="12">
      <c r="A31" s="2978" t="s">
        <v>3248</v>
      </c>
      <c r="B31" s="2978" t="s">
        <v>3151</v>
      </c>
      <c r="C31" s="2978" t="s">
        <v>3152</v>
      </c>
      <c r="D31" s="2978">
        <v>5400.01</v>
      </c>
      <c r="E31" s="2978">
        <v>16200.03</v>
      </c>
      <c r="F31" s="2978" t="s">
        <v>3249</v>
      </c>
      <c r="G31" s="2978" t="s">
        <v>3154</v>
      </c>
      <c r="H31" s="2978" t="s">
        <v>3250</v>
      </c>
      <c r="I31" s="2978">
        <v>1709.09</v>
      </c>
      <c r="J31" s="2978">
        <v>1709.09</v>
      </c>
      <c r="K31" s="2978">
        <v>1055</v>
      </c>
      <c r="L31" s="2978">
        <v>0</v>
      </c>
      <c r="M31" s="2978" t="s">
        <v>3251</v>
      </c>
    </row>
    <row r="32" spans="1:13" s="2978" customFormat="1" ht="12">
      <c r="A32" s="2978" t="s">
        <v>3252</v>
      </c>
      <c r="B32" s="2978" t="s">
        <v>3151</v>
      </c>
      <c r="C32" s="2978" t="s">
        <v>3152</v>
      </c>
      <c r="D32" s="2978">
        <v>21350.33</v>
      </c>
      <c r="E32" s="2978">
        <v>42700.66</v>
      </c>
      <c r="F32" s="2978" t="s">
        <v>3242</v>
      </c>
      <c r="G32" s="2978" t="s">
        <v>3154</v>
      </c>
      <c r="H32" s="2978" t="s">
        <v>3250</v>
      </c>
      <c r="I32" s="2978">
        <v>5495.56</v>
      </c>
      <c r="J32" s="2978">
        <v>5495.56</v>
      </c>
      <c r="K32" s="2978">
        <v>1287</v>
      </c>
      <c r="L32" s="2978">
        <v>0</v>
      </c>
      <c r="M32" s="2978" t="s">
        <v>3253</v>
      </c>
    </row>
    <row r="33" spans="1:13" s="2978" customFormat="1" ht="12">
      <c r="A33" s="2978" t="s">
        <v>3254</v>
      </c>
      <c r="B33" s="2978" t="s">
        <v>3151</v>
      </c>
      <c r="C33" s="2978" t="s">
        <v>3152</v>
      </c>
      <c r="D33" s="2978">
        <v>9235.6200000000008</v>
      </c>
      <c r="E33" s="2978">
        <v>27706.86</v>
      </c>
      <c r="F33" s="2978" t="s">
        <v>3255</v>
      </c>
      <c r="G33" s="2978" t="s">
        <v>3154</v>
      </c>
      <c r="H33" s="2978" t="s">
        <v>3256</v>
      </c>
      <c r="I33" s="2978">
        <v>3047.75</v>
      </c>
      <c r="J33" s="2978">
        <v>10944.2</v>
      </c>
      <c r="K33" s="2978">
        <v>3950</v>
      </c>
      <c r="L33" s="2978">
        <v>259.08999999999997</v>
      </c>
      <c r="M33" s="2978" t="s">
        <v>3257</v>
      </c>
    </row>
    <row r="34" spans="1:13" s="2978" customFormat="1" ht="12">
      <c r="A34" s="2978" t="s">
        <v>3258</v>
      </c>
      <c r="B34" s="2978" t="s">
        <v>3151</v>
      </c>
      <c r="C34" s="2978" t="s">
        <v>3152</v>
      </c>
      <c r="D34" s="2978">
        <v>23191.18</v>
      </c>
      <c r="E34" s="2978">
        <v>104360.3</v>
      </c>
      <c r="F34" s="2978" t="s">
        <v>3259</v>
      </c>
      <c r="G34" s="2978" t="s">
        <v>3154</v>
      </c>
      <c r="H34" s="2978" t="s">
        <v>3260</v>
      </c>
      <c r="I34" s="2978">
        <v>7900.07</v>
      </c>
      <c r="J34" s="2978">
        <v>7900.07</v>
      </c>
      <c r="K34" s="2978">
        <v>757</v>
      </c>
      <c r="L34" s="2978">
        <v>0</v>
      </c>
      <c r="M34" s="2978" t="s">
        <v>3261</v>
      </c>
    </row>
    <row r="35" spans="1:13" s="2978" customFormat="1" ht="12">
      <c r="A35" s="2978" t="s">
        <v>3262</v>
      </c>
      <c r="B35" s="2978" t="s">
        <v>3151</v>
      </c>
      <c r="C35" s="2978" t="s">
        <v>3152</v>
      </c>
      <c r="D35" s="2978">
        <v>8231.2099999999991</v>
      </c>
      <c r="E35" s="2978">
        <v>65849.679999999993</v>
      </c>
      <c r="F35" s="2978" t="s">
        <v>3227</v>
      </c>
      <c r="G35" s="2978" t="s">
        <v>3154</v>
      </c>
      <c r="H35" s="2978" t="s">
        <v>3263</v>
      </c>
      <c r="I35" s="2978">
        <v>52172.69</v>
      </c>
      <c r="J35" s="2978">
        <v>52172.69</v>
      </c>
      <c r="K35" s="2978">
        <v>7923</v>
      </c>
      <c r="L35" s="2978">
        <v>0</v>
      </c>
      <c r="M35" s="2978" t="s">
        <v>3264</v>
      </c>
    </row>
    <row r="36" spans="1:13" s="2978" customFormat="1" ht="12">
      <c r="A36" s="2978" t="s">
        <v>3265</v>
      </c>
      <c r="B36" s="2978" t="s">
        <v>3151</v>
      </c>
      <c r="C36" s="2978" t="s">
        <v>3152</v>
      </c>
      <c r="D36" s="2978">
        <v>35293.03</v>
      </c>
      <c r="E36" s="2978">
        <v>176465.2</v>
      </c>
      <c r="F36" s="2978" t="s">
        <v>3266</v>
      </c>
      <c r="G36" s="2978" t="s">
        <v>3154</v>
      </c>
      <c r="H36" s="2978" t="s">
        <v>3263</v>
      </c>
      <c r="I36" s="2978">
        <v>46410.33</v>
      </c>
      <c r="J36" s="2978">
        <v>46410.33</v>
      </c>
      <c r="K36" s="2978">
        <v>2630</v>
      </c>
      <c r="L36" s="2978">
        <v>0</v>
      </c>
      <c r="M36" s="2978" t="s">
        <v>3267</v>
      </c>
    </row>
    <row r="37" spans="1:13" s="2978" customFormat="1" ht="12">
      <c r="A37" s="2978" t="s">
        <v>3268</v>
      </c>
      <c r="B37" s="2978" t="s">
        <v>3151</v>
      </c>
      <c r="C37" s="2978" t="s">
        <v>3152</v>
      </c>
      <c r="D37" s="2978">
        <v>17318.53</v>
      </c>
      <c r="E37" s="2978">
        <v>34637.06</v>
      </c>
      <c r="F37" s="2978" t="s">
        <v>3242</v>
      </c>
      <c r="G37" s="2978" t="s">
        <v>3154</v>
      </c>
      <c r="H37" s="2978" t="s">
        <v>3269</v>
      </c>
      <c r="I37" s="2978">
        <v>4568.63</v>
      </c>
      <c r="J37" s="2978">
        <v>4568.63</v>
      </c>
      <c r="K37" s="2978">
        <v>1319</v>
      </c>
      <c r="L37" s="2978">
        <v>0</v>
      </c>
      <c r="M37" s="2978" t="s">
        <v>3270</v>
      </c>
    </row>
    <row r="38" spans="1:13" s="2978" customFormat="1" ht="12">
      <c r="A38" s="2978" t="s">
        <v>3271</v>
      </c>
      <c r="B38" s="2978" t="s">
        <v>3151</v>
      </c>
      <c r="C38" s="2978" t="s">
        <v>3152</v>
      </c>
      <c r="D38" s="2978">
        <v>14923.14</v>
      </c>
      <c r="E38" s="2978">
        <v>59692.56</v>
      </c>
      <c r="F38" s="2978" t="s">
        <v>3272</v>
      </c>
      <c r="G38" s="2978" t="s">
        <v>3154</v>
      </c>
      <c r="H38" s="2978" t="s">
        <v>3269</v>
      </c>
      <c r="I38" s="2978">
        <v>3939.71</v>
      </c>
      <c r="J38" s="2978">
        <v>3939.71</v>
      </c>
      <c r="K38" s="2978">
        <v>660</v>
      </c>
      <c r="L38" s="2978">
        <v>0</v>
      </c>
      <c r="M38" s="2978" t="s">
        <v>3273</v>
      </c>
    </row>
    <row r="39" spans="1:13" s="2978" customFormat="1" ht="12">
      <c r="A39" s="2978" t="s">
        <v>3271</v>
      </c>
      <c r="B39" s="2978" t="s">
        <v>3151</v>
      </c>
      <c r="C39" s="2978" t="s">
        <v>3152</v>
      </c>
      <c r="D39" s="2978">
        <v>8564.4599999999991</v>
      </c>
      <c r="E39" s="2978">
        <v>11990.24</v>
      </c>
      <c r="F39" s="2978" t="s">
        <v>3274</v>
      </c>
      <c r="G39" s="2978" t="s">
        <v>3154</v>
      </c>
      <c r="H39" s="2978" t="s">
        <v>3269</v>
      </c>
      <c r="I39" s="2978">
        <v>2205.0100000000002</v>
      </c>
      <c r="J39" s="2978">
        <v>2205.0100000000002</v>
      </c>
      <c r="K39" s="2978">
        <v>1839</v>
      </c>
      <c r="L39" s="2978">
        <v>0</v>
      </c>
      <c r="M39" s="2978" t="s">
        <v>3275</v>
      </c>
    </row>
    <row r="40" spans="1:13" s="2978" customFormat="1" ht="12">
      <c r="A40" s="2978" t="s">
        <v>3276</v>
      </c>
      <c r="B40" s="2978" t="s">
        <v>3151</v>
      </c>
      <c r="C40" s="2978" t="s">
        <v>3152</v>
      </c>
      <c r="D40" s="2978">
        <v>44283.17</v>
      </c>
      <c r="E40" s="2978">
        <v>177132.7</v>
      </c>
      <c r="F40" s="2978" t="s">
        <v>3272</v>
      </c>
      <c r="G40" s="2978" t="s">
        <v>3154</v>
      </c>
      <c r="H40" s="2978" t="s">
        <v>3269</v>
      </c>
      <c r="I40" s="2978">
        <v>19927.43</v>
      </c>
      <c r="J40" s="2978">
        <v>19927.43</v>
      </c>
      <c r="K40" s="2978">
        <v>1125</v>
      </c>
      <c r="L40" s="2978">
        <v>0</v>
      </c>
      <c r="M40" s="2978" t="s">
        <v>3277</v>
      </c>
    </row>
    <row r="41" spans="1:13" s="2978" customFormat="1" ht="12">
      <c r="A41" s="2978" t="s">
        <v>3278</v>
      </c>
      <c r="B41" s="2978" t="s">
        <v>3151</v>
      </c>
      <c r="C41" s="2978" t="s">
        <v>3152</v>
      </c>
      <c r="D41" s="2978">
        <v>18739.14</v>
      </c>
      <c r="E41" s="2978">
        <v>74956.56</v>
      </c>
      <c r="F41" s="2978" t="s">
        <v>3272</v>
      </c>
      <c r="G41" s="2978" t="s">
        <v>3154</v>
      </c>
      <c r="H41" s="2978" t="s">
        <v>3279</v>
      </c>
      <c r="I41" s="2978">
        <v>6041.5</v>
      </c>
      <c r="J41" s="2978">
        <v>6041.5</v>
      </c>
      <c r="K41" s="2978">
        <v>806</v>
      </c>
      <c r="L41" s="2978">
        <v>0</v>
      </c>
      <c r="M41" s="2978" t="s">
        <v>3280</v>
      </c>
    </row>
    <row r="42" spans="1:13" s="2978" customFormat="1" ht="12">
      <c r="A42" s="2978" t="s">
        <v>3281</v>
      </c>
      <c r="B42" s="2978" t="s">
        <v>3151</v>
      </c>
      <c r="C42" s="2978" t="s">
        <v>3152</v>
      </c>
      <c r="D42" s="2978">
        <v>15602.61</v>
      </c>
      <c r="E42" s="2978">
        <v>21843.65</v>
      </c>
      <c r="F42" s="2978" t="s">
        <v>3282</v>
      </c>
      <c r="G42" s="2978" t="s">
        <v>3154</v>
      </c>
      <c r="H42" s="2978" t="s">
        <v>3283</v>
      </c>
      <c r="I42" s="2978">
        <v>3484.05</v>
      </c>
      <c r="J42" s="2978">
        <v>3484.05</v>
      </c>
      <c r="K42" s="2978">
        <v>1595</v>
      </c>
      <c r="L42" s="2978">
        <v>0</v>
      </c>
      <c r="M42" s="2978" t="s">
        <v>3284</v>
      </c>
    </row>
    <row r="43" spans="1:13" s="2978" customFormat="1" ht="12">
      <c r="A43" s="2978" t="s">
        <v>3285</v>
      </c>
      <c r="B43" s="2978" t="s">
        <v>3151</v>
      </c>
      <c r="C43" s="2978" t="s">
        <v>3152</v>
      </c>
      <c r="D43" s="2978">
        <v>30063.9</v>
      </c>
      <c r="E43" s="2978">
        <v>60127.8</v>
      </c>
      <c r="F43" s="2978" t="s">
        <v>3286</v>
      </c>
      <c r="G43" s="2978" t="s">
        <v>3154</v>
      </c>
      <c r="H43" s="2978" t="s">
        <v>3287</v>
      </c>
      <c r="I43" s="2978">
        <v>6493.8</v>
      </c>
      <c r="J43" s="2978">
        <v>6493.8</v>
      </c>
      <c r="K43" s="2978">
        <v>1080</v>
      </c>
      <c r="L43" s="2978">
        <v>0</v>
      </c>
      <c r="M43" s="2978" t="s">
        <v>3288</v>
      </c>
    </row>
    <row r="44" spans="1:13" s="2978" customFormat="1" ht="12">
      <c r="A44" s="2978" t="s">
        <v>3289</v>
      </c>
      <c r="B44" s="2978" t="s">
        <v>3151</v>
      </c>
      <c r="C44" s="2978" t="s">
        <v>3152</v>
      </c>
      <c r="D44" s="2978">
        <v>28268.9</v>
      </c>
      <c r="E44" s="2978">
        <v>39576.46</v>
      </c>
      <c r="F44" s="2978" t="s">
        <v>3282</v>
      </c>
      <c r="G44" s="2978" t="s">
        <v>3154</v>
      </c>
      <c r="H44" s="2978" t="s">
        <v>3290</v>
      </c>
      <c r="I44" s="2978">
        <v>6106.64</v>
      </c>
      <c r="J44" s="2978">
        <v>6106.64</v>
      </c>
      <c r="K44" s="2978">
        <v>1543</v>
      </c>
      <c r="L44" s="2978">
        <v>0</v>
      </c>
      <c r="M44" s="2978" t="s">
        <v>3291</v>
      </c>
    </row>
    <row r="45" spans="1:13" s="2978" customFormat="1" ht="12">
      <c r="A45" s="2978" t="s">
        <v>3292</v>
      </c>
      <c r="B45" s="2978" t="s">
        <v>3151</v>
      </c>
      <c r="C45" s="2978" t="s">
        <v>3152</v>
      </c>
      <c r="D45" s="2978">
        <v>5748.17</v>
      </c>
      <c r="E45" s="2978">
        <v>34489.019999999997</v>
      </c>
      <c r="F45" s="2978" t="s">
        <v>3293</v>
      </c>
      <c r="G45" s="2978" t="s">
        <v>3194</v>
      </c>
      <c r="H45" s="2978" t="s">
        <v>3294</v>
      </c>
      <c r="I45" s="2978">
        <v>7760.02</v>
      </c>
      <c r="J45" s="2978">
        <v>13968.04</v>
      </c>
      <c r="K45" s="2978">
        <v>4050</v>
      </c>
      <c r="L45" s="2978">
        <v>80</v>
      </c>
      <c r="M45" s="2978" t="s">
        <v>3295</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1641</v>
      </c>
      <c r="B2" s="3005" t="s">
        <v>1642</v>
      </c>
      <c r="C2" s="3005" t="s">
        <v>1643</v>
      </c>
      <c r="D2" s="3005" t="str">
        <f>结果表!D116</f>
        <v>出让国有建设用地使用权价值</v>
      </c>
      <c r="E2" s="3005"/>
      <c r="F2" s="3005" t="str">
        <f>结果表!F116</f>
        <v>建筑物价值</v>
      </c>
      <c r="G2" s="3005"/>
      <c r="H2" s="3005" t="str">
        <f>IF(项目基本情况!B9="房地产市场价值","房地产市场价值","房地产价值")</f>
        <v>房地产价值</v>
      </c>
      <c r="I2" s="3005"/>
    </row>
    <row r="3" spans="1:9" ht="15">
      <c r="A3" s="3006"/>
      <c r="B3" s="3006"/>
      <c r="C3" s="3006"/>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f ca="1">结果表!D118</f>
        <v>17948</v>
      </c>
      <c r="E4" s="1047">
        <f ca="1">结果表!E118</f>
        <v>6919</v>
      </c>
      <c r="F4" s="1047">
        <f ca="1">结果表!F118</f>
        <v>29889</v>
      </c>
      <c r="G4" s="1047">
        <f ca="1">结果表!G118</f>
        <v>11522</v>
      </c>
      <c r="H4" s="1047">
        <f ca="1">结果表!H118</f>
        <v>47837</v>
      </c>
      <c r="I4" s="1047">
        <f ca="1">结果表!I118</f>
        <v>18441</v>
      </c>
    </row>
    <row r="5" spans="1:9" ht="30" customHeight="1">
      <c r="A5" s="3006" t="s">
        <v>1640</v>
      </c>
      <c r="B5" s="3006"/>
      <c r="C5" s="3006"/>
      <c r="D5" s="3007" t="str">
        <f ca="1">结果表!D119</f>
        <v>壹亿柒仟玖佰肆拾捌万元整</v>
      </c>
      <c r="E5" s="3007"/>
      <c r="F5" s="3007" t="str">
        <f ca="1">结果表!F119</f>
        <v>贰亿玖仟捌佰捌拾玖万元整</v>
      </c>
      <c r="G5" s="3007"/>
      <c r="H5" s="3007" t="str">
        <f ca="1">结果表!H119</f>
        <v>肆亿柒仟捌佰叁拾柒万元整</v>
      </c>
      <c r="I5" s="3007"/>
    </row>
    <row r="6" spans="1:9" ht="15.75">
      <c r="A6" s="3008" t="str">
        <f>结果表!A120</f>
        <v>估价师知悉的法定优先受偿款</v>
      </c>
      <c r="B6" s="3008"/>
      <c r="C6" s="3008"/>
      <c r="D6" s="3008">
        <f>结果表!D120</f>
        <v>1600</v>
      </c>
      <c r="E6" s="3008"/>
      <c r="F6" s="3008"/>
      <c r="G6" s="3008"/>
      <c r="H6" s="3008"/>
      <c r="I6" s="3008"/>
    </row>
    <row r="7" spans="1:9" ht="15">
      <c r="A7" s="3006" t="s">
        <v>1640</v>
      </c>
      <c r="B7" s="3006"/>
      <c r="C7" s="3006"/>
      <c r="D7" s="3009" t="str">
        <f>结果表!D121</f>
        <v>壹仟陆佰万元整</v>
      </c>
      <c r="E7" s="3010"/>
      <c r="F7" s="3010"/>
      <c r="G7" s="3010"/>
      <c r="H7" s="3010"/>
      <c r="I7" s="3011"/>
    </row>
    <row r="8" spans="1:9" ht="15.75">
      <c r="A8" s="3008" t="str">
        <f>结果表!A122</f>
        <v>房地产抵押价值</v>
      </c>
      <c r="B8" s="3008"/>
      <c r="C8" s="3008"/>
      <c r="D8" s="3008">
        <f ca="1">结果表!D122</f>
        <v>46237</v>
      </c>
      <c r="E8" s="3008"/>
      <c r="F8" s="3008"/>
      <c r="G8" s="3008"/>
      <c r="H8" s="3008"/>
      <c r="I8" s="3008"/>
    </row>
    <row r="9" spans="1:9" ht="15">
      <c r="A9" s="3006" t="s">
        <v>1640</v>
      </c>
      <c r="B9" s="3006"/>
      <c r="C9" s="3006"/>
      <c r="D9" s="3007" t="str">
        <f ca="1">结果表!D123</f>
        <v>肆亿陆仟贰佰叁拾柒万元整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1640</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1640</v>
      </c>
      <c r="B13" s="3012"/>
      <c r="C13" s="3012"/>
      <c r="D13" s="3013" t="e">
        <f>结果表!D127</f>
        <v>#VALUE!</v>
      </c>
      <c r="E13" s="3013"/>
      <c r="F13" s="3013"/>
      <c r="G13" s="3013"/>
      <c r="H13" s="3013"/>
      <c r="I13" s="3013"/>
    </row>
    <row r="14" spans="1:9" ht="15" thickTop="1">
      <c r="A14" s="3014" t="s">
        <v>1645</v>
      </c>
      <c r="B14" s="3014"/>
      <c r="C14" s="3014"/>
      <c r="D14" s="3014"/>
      <c r="E14" s="3014"/>
      <c r="F14" s="3014"/>
      <c r="G14" s="3014"/>
      <c r="H14" s="3014"/>
      <c r="I14" s="3014"/>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5" t="s">
        <v>1662</v>
      </c>
      <c r="B1" s="3015"/>
      <c r="C1" s="3015"/>
      <c r="D1" s="3015"/>
    </row>
    <row r="2" spans="1:4" ht="18">
      <c r="A2" s="3016" t="s">
        <v>1646</v>
      </c>
      <c r="B2" s="3016"/>
      <c r="C2" s="3016"/>
      <c r="D2" s="3016"/>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6" t="s">
        <v>1652</v>
      </c>
      <c r="B6" s="3016"/>
      <c r="C6" s="3016"/>
      <c r="D6" s="3016"/>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7" t="s">
        <v>1655</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1656</v>
      </c>
      <c r="B16" s="3021"/>
      <c r="C16" s="3021"/>
      <c r="D16" s="3021"/>
    </row>
    <row r="17" spans="1:4" ht="144" customHeight="1">
      <c r="A17" s="3021" t="s">
        <v>1657</v>
      </c>
      <c r="B17" s="3021"/>
      <c r="C17" s="3021"/>
      <c r="D17" s="3021"/>
    </row>
    <row r="18" spans="1:4" ht="15.75" customHeight="1">
      <c r="A18" s="3018" t="str">
        <f>IF(项目基本情况!B8="抵押",结果表!K120,"——")</f>
        <v>故，本次评估估价师知悉的法定优先受偿款为人民币1600万元整。</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1658</v>
      </c>
      <c r="B22" s="3023"/>
      <c r="C22" s="3023"/>
      <c r="D22" s="3023"/>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9" t="s">
        <v>1669</v>
      </c>
      <c r="B15" s="3024" t="s">
        <v>136</v>
      </c>
      <c r="C15" s="3025"/>
    </row>
    <row r="16" spans="1:7" ht="13.5">
      <c r="A16" s="3030"/>
      <c r="B16" s="3024" t="s">
        <v>69</v>
      </c>
      <c r="C16" s="3025"/>
    </row>
    <row r="17" spans="1:3" ht="13.5">
      <c r="A17" s="3030"/>
      <c r="B17" s="3027" t="s">
        <v>1670</v>
      </c>
      <c r="C17" s="2002" t="s">
        <v>1669</v>
      </c>
    </row>
    <row r="18" spans="1:3" ht="13.5">
      <c r="A18" s="3030"/>
      <c r="B18" s="3027"/>
      <c r="C18" s="2002" t="s">
        <v>1671</v>
      </c>
    </row>
    <row r="19" spans="1:3" ht="13.5">
      <c r="A19" s="3030"/>
      <c r="B19" s="3027"/>
      <c r="C19" s="2002" t="s">
        <v>1672</v>
      </c>
    </row>
    <row r="20" spans="1:3" ht="13.5">
      <c r="A20" s="3031"/>
      <c r="B20" s="3026" t="s">
        <v>1673</v>
      </c>
      <c r="C20" s="3025"/>
    </row>
    <row r="21" spans="1:3" ht="13.5">
      <c r="A21" s="2003" t="s">
        <v>1674</v>
      </c>
      <c r="B21" s="2004"/>
      <c r="C21" s="2005"/>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2002" t="s">
        <v>1680</v>
      </c>
    </row>
    <row r="26" spans="1:3" ht="13.5">
      <c r="A26" s="3028"/>
      <c r="B26" s="3027"/>
      <c r="C26" s="2002" t="s">
        <v>1681</v>
      </c>
    </row>
    <row r="27" spans="1:3" ht="13.5">
      <c r="A27" s="3028"/>
      <c r="B27" s="3027"/>
      <c r="C27" s="2002" t="s">
        <v>1682</v>
      </c>
    </row>
    <row r="28" spans="1:3" ht="13.5">
      <c r="A28" s="3028"/>
      <c r="B28" s="3027"/>
      <c r="C28" s="2002" t="s">
        <v>1683</v>
      </c>
    </row>
    <row r="29" spans="1:3" ht="13.5">
      <c r="A29" s="3028"/>
      <c r="B29" s="3027"/>
      <c r="C29" s="2002" t="s">
        <v>1684</v>
      </c>
    </row>
    <row r="30" spans="1:3" ht="13.5">
      <c r="A30" s="3028"/>
      <c r="B30" s="3027"/>
      <c r="C30" s="2002" t="s">
        <v>1685</v>
      </c>
    </row>
    <row r="31" spans="1:3" ht="13.5">
      <c r="A31" s="3028"/>
      <c r="B31" s="3027"/>
      <c r="C31" s="2002" t="s">
        <v>1686</v>
      </c>
    </row>
    <row r="32" spans="1:3" ht="13.5">
      <c r="A32" s="3028"/>
      <c r="B32" s="3027"/>
      <c r="C32" s="2002" t="s">
        <v>1687</v>
      </c>
    </row>
    <row r="33" spans="1:3" ht="13.5">
      <c r="A33" s="3028"/>
      <c r="B33" s="302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43353</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3041</v>
      </c>
      <c r="B12" s="1025">
        <v>1120110054</v>
      </c>
      <c r="C12" s="2942">
        <v>43937</v>
      </c>
      <c r="D12" s="1704" t="s">
        <v>3041</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2018-09-10T02:01:15Z</dcterms:modified>
</cp:coreProperties>
</file>