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C:\Users\xing&amp;han\Desktop\"/>
    </mc:Choice>
  </mc:AlternateContent>
  <xr:revisionPtr revIDLastSave="0" documentId="13_ncr:1_{67524D7E-DABC-4007-8702-4CA572EAB984}" xr6:coauthVersionLast="45" xr6:coauthVersionMax="45" xr10:uidLastSave="{00000000-0000-0000-0000-000000000000}"/>
  <bookViews>
    <workbookView xWindow="-110" yWindow="-110" windowWidth="19420" windowHeight="1042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Sheet1" sheetId="77" r:id="rId34"/>
    <sheet name="Sheet3" sheetId="79"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4" i="1" l="1"/>
  <c r="L14" i="1"/>
  <c r="D10" i="68"/>
  <c r="C10" i="68"/>
  <c r="B29" i="1"/>
  <c r="D76" i="40"/>
  <c r="E76" i="40"/>
  <c r="F11" i="40"/>
  <c r="AA11" i="40"/>
  <c r="F9" i="40"/>
  <c r="AA9" i="40"/>
  <c r="R42" i="40"/>
  <c r="H11" i="40"/>
  <c r="AB11" i="40"/>
  <c r="H9" i="40"/>
  <c r="AB9" i="40"/>
  <c r="T42" i="40"/>
  <c r="J11" i="40"/>
  <c r="AC11" i="40"/>
  <c r="J9" i="40"/>
  <c r="AC9" i="40"/>
  <c r="V42" i="40"/>
  <c r="R43" i="40"/>
  <c r="C43" i="40"/>
  <c r="B3" i="3"/>
  <c r="AY6" i="3"/>
  <c r="D3" i="6"/>
  <c r="E61" i="40"/>
  <c r="F61" i="40"/>
  <c r="B2" i="40"/>
  <c r="C6" i="68"/>
  <c r="I34" i="40"/>
  <c r="G34" i="40"/>
  <c r="E34" i="40"/>
  <c r="C34" i="40"/>
  <c r="C11" i="40"/>
  <c r="I7" i="40"/>
  <c r="G7" i="40"/>
  <c r="E7" i="40"/>
  <c r="I41" i="40"/>
  <c r="G41" i="40"/>
  <c r="E41" i="40"/>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2" i="77"/>
  <c r="F6" i="15"/>
  <c r="F8" i="15"/>
  <c r="F7" i="15"/>
  <c r="F9" i="15"/>
  <c r="C6" i="15"/>
  <c r="F4" i="73"/>
  <c r="I1" i="73"/>
  <c r="B39" i="1"/>
  <c r="F11" i="15"/>
  <c r="C10" i="15"/>
  <c r="C5" i="15"/>
  <c r="C32" i="15"/>
  <c r="C33" i="15"/>
  <c r="D19" i="6"/>
  <c r="H19" i="6"/>
  <c r="R19" i="6"/>
  <c r="R6" i="1"/>
  <c r="F35" i="15"/>
  <c r="C34" i="15"/>
  <c r="C31" i="15"/>
  <c r="M6" i="1"/>
  <c r="T6" i="1"/>
  <c r="C14" i="15"/>
  <c r="C15" i="15"/>
  <c r="F16" i="15"/>
  <c r="C16" i="15"/>
  <c r="F43" i="15"/>
  <c r="C17" i="15"/>
  <c r="C18" i="15"/>
  <c r="C19" i="15"/>
  <c r="C20" i="15"/>
  <c r="D5" i="73"/>
  <c r="B22" i="1"/>
  <c r="E1" i="73"/>
  <c r="K1" i="73"/>
  <c r="D4" i="73"/>
  <c r="G1" i="73"/>
  <c r="B40" i="1"/>
  <c r="F24" i="15"/>
  <c r="F23" i="15"/>
  <c r="C23" i="15"/>
  <c r="F26" i="15"/>
  <c r="C26" i="15"/>
  <c r="C24" i="15"/>
  <c r="C27" i="15"/>
  <c r="C29" i="15"/>
  <c r="F36" i="15"/>
  <c r="C36" i="15"/>
  <c r="F13" i="15"/>
  <c r="C13" i="15"/>
  <c r="F37" i="15"/>
  <c r="C37" i="15"/>
  <c r="F38" i="15"/>
  <c r="C38" i="15"/>
  <c r="C30" i="15"/>
  <c r="C39" i="15"/>
  <c r="F42" i="15"/>
  <c r="F40" i="15"/>
  <c r="L48" i="15"/>
  <c r="M14" i="1"/>
  <c r="M16" i="1"/>
  <c r="N16" i="1"/>
  <c r="B21" i="1"/>
  <c r="B24" i="1"/>
  <c r="J53" i="15"/>
  <c r="F1" i="15"/>
  <c r="AE6" i="1"/>
  <c r="F41" i="15"/>
  <c r="C40" i="15"/>
  <c r="M6" i="15"/>
  <c r="M8" i="15"/>
  <c r="M7" i="15"/>
  <c r="M9" i="15"/>
  <c r="J6" i="15"/>
  <c r="M11" i="15"/>
  <c r="J10" i="15"/>
  <c r="J5" i="15"/>
  <c r="J26" i="15"/>
  <c r="J29" i="15"/>
  <c r="J60" i="15"/>
  <c r="L46" i="15"/>
  <c r="B2" i="15"/>
  <c r="C8" i="12"/>
  <c r="B3" i="15"/>
  <c r="C6" i="12"/>
  <c r="F19" i="6"/>
  <c r="AL27" i="3"/>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B43" i="1"/>
  <c r="D78" i="9"/>
  <c r="E19" i="6"/>
  <c r="E20" i="6"/>
  <c r="E21" i="6"/>
  <c r="K8" i="1"/>
  <c r="M8" i="1"/>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F27" i="11"/>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AE7" i="1"/>
  <c r="T16" i="1"/>
  <c r="AE8" i="1"/>
  <c r="AG6" i="1"/>
  <c r="H109" i="9"/>
  <c r="C20" i="68"/>
  <c r="F22" i="68"/>
  <c r="C23" i="68"/>
  <c r="C24"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C19" i="9"/>
  <c r="C12" i="12"/>
  <c r="C13" i="12"/>
  <c r="C14" i="12"/>
  <c r="C16" i="12"/>
  <c r="C18" i="12"/>
  <c r="C21" i="12"/>
  <c r="C22" i="12"/>
  <c r="F25" i="12"/>
  <c r="C27" i="12"/>
  <c r="C25" i="12"/>
  <c r="C30" i="12"/>
  <c r="C28" i="12"/>
  <c r="C26" i="12"/>
  <c r="D25"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B13" i="49"/>
  <c r="B9" i="49"/>
  <c r="C19" i="68"/>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H7" i="40"/>
  <c r="W7" i="40"/>
  <c r="AC7" i="40"/>
  <c r="I42" i="40"/>
  <c r="F7" i="39"/>
  <c r="J7" i="39"/>
  <c r="H7" i="39"/>
  <c r="E42" i="40"/>
  <c r="I47" i="40"/>
  <c r="J47" i="40"/>
  <c r="AB7" i="40"/>
  <c r="I46" i="40"/>
  <c r="J46" i="40"/>
  <c r="U7" i="40"/>
  <c r="G42" i="40"/>
  <c r="AB7" i="39"/>
  <c r="T47" i="39"/>
  <c r="G47" i="39"/>
  <c r="U7" i="39"/>
  <c r="AC7" i="39"/>
  <c r="V47" i="39"/>
  <c r="I47" i="39"/>
  <c r="W7" i="39"/>
  <c r="S7" i="39"/>
  <c r="AA7" i="39"/>
  <c r="R47" i="39"/>
  <c r="G47" i="40"/>
  <c r="H47" i="40"/>
  <c r="G46" i="40"/>
  <c r="H46"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M21" i="15"/>
  <c r="F5" i="73"/>
  <c r="D2" i="21"/>
  <c r="J57" i="15"/>
  <c r="J55" i="15"/>
  <c r="J58" i="15"/>
  <c r="J59" i="15"/>
  <c r="C76" i="15"/>
  <c r="L51" i="15"/>
  <c r="L57" i="15"/>
  <c r="L47" i="15"/>
  <c r="L58" i="15"/>
  <c r="M59" i="15"/>
  <c r="L59" i="15"/>
  <c r="L60" i="15"/>
  <c r="AO6" i="1"/>
  <c r="E11" i="76"/>
  <c r="F7" i="73"/>
  <c r="F36" i="67"/>
  <c r="M6" i="67"/>
  <c r="AO12" i="1"/>
  <c r="F6" i="67"/>
  <c r="D34" i="9"/>
  <c r="B3" i="12"/>
  <c r="D20"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B3" i="68"/>
  <c r="C20" i="9"/>
  <c r="F9" i="67"/>
  <c r="AO9" i="1"/>
  <c r="B11" i="76"/>
  <c r="F37" i="67"/>
  <c r="AO11" i="1"/>
  <c r="D7" i="73"/>
  <c r="D6" i="73"/>
  <c r="F8" i="67"/>
  <c r="E7" i="76"/>
  <c r="M24" i="15"/>
  <c r="E10" i="76"/>
  <c r="AO10" i="1"/>
  <c r="M23" i="67"/>
  <c r="E2" i="69"/>
  <c r="E12" i="76"/>
  <c r="M22" i="15"/>
  <c r="F38" i="67"/>
  <c r="E8" i="76"/>
  <c r="E13" i="76"/>
  <c r="D2" i="35"/>
  <c r="M28" i="15"/>
  <c r="E6" i="76"/>
  <c r="B6" i="76"/>
  <c r="F43" i="67"/>
  <c r="F41" i="67"/>
  <c r="B12" i="76"/>
  <c r="M26" i="67"/>
  <c r="M27" i="15"/>
  <c r="D35" i="9"/>
  <c r="D3" i="73"/>
  <c r="F31" i="67"/>
  <c r="F31" i="15"/>
  <c r="E9" i="49"/>
  <c r="E13" i="49"/>
  <c r="B11" i="49"/>
  <c r="E21" i="49"/>
  <c r="E8" i="49"/>
  <c r="B10" i="49"/>
  <c r="E11" i="49"/>
  <c r="E22" i="49"/>
  <c r="B4" i="49"/>
  <c r="C29" i="69"/>
  <c r="D27" i="69"/>
  <c r="B6" i="49"/>
  <c r="R16" i="1"/>
  <c r="C8" i="69"/>
  <c r="C5" i="69"/>
  <c r="F69" i="67"/>
  <c r="F71" i="67"/>
  <c r="B2" i="76"/>
  <c r="E2" i="76"/>
  <c r="E20" i="43"/>
  <c r="B2" i="35"/>
  <c r="B3" i="35"/>
  <c r="F66" i="67"/>
  <c r="B10" i="70"/>
  <c r="F51" i="67"/>
  <c r="F69" i="15"/>
  <c r="B11" i="70"/>
  <c r="F65" i="15"/>
  <c r="F65" i="67"/>
  <c r="B9" i="70"/>
  <c r="N59" i="15"/>
  <c r="C103" i="9"/>
  <c r="G20"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B2" i="34"/>
  <c r="B3" i="34"/>
  <c r="L56" i="15"/>
  <c r="Q50" i="15"/>
  <c r="I54" i="15"/>
  <c r="J53" i="67"/>
  <c r="J57" i="67"/>
  <c r="J55" i="67"/>
  <c r="J58" i="67"/>
  <c r="Q50" i="67"/>
  <c r="L56" i="67"/>
  <c r="I54" i="67"/>
  <c r="C38" i="69"/>
  <c r="C35" i="69"/>
  <c r="D19" i="69"/>
  <c r="C17" i="67"/>
  <c r="C16" i="67"/>
  <c r="F59" i="15"/>
  <c r="F59" i="67"/>
  <c r="C14" i="67"/>
  <c r="M17" i="15"/>
  <c r="M17" i="67"/>
  <c r="C15" i="67"/>
  <c r="C18" i="67"/>
  <c r="C19" i="67"/>
  <c r="C19" i="69"/>
  <c r="D37" i="69"/>
  <c r="C37" i="69"/>
  <c r="C33" i="69"/>
  <c r="G21" i="9"/>
  <c r="Q61" i="67"/>
  <c r="Q74" i="67"/>
  <c r="Q60" i="67"/>
  <c r="Q73" i="67"/>
  <c r="Q74" i="15"/>
  <c r="Q61" i="15"/>
  <c r="C49" i="67"/>
  <c r="F11" i="67"/>
  <c r="M11" i="67"/>
  <c r="J10" i="67"/>
  <c r="M28" i="43"/>
  <c r="O28" i="43"/>
  <c r="P28" i="43"/>
  <c r="N28" i="43"/>
  <c r="B3" i="76"/>
  <c r="Q52" i="67"/>
  <c r="F1" i="67"/>
  <c r="Q52" i="15"/>
  <c r="B2" i="70"/>
  <c r="B3" i="70"/>
  <c r="J18" i="67"/>
  <c r="J5" i="67"/>
  <c r="C32" i="67"/>
  <c r="Q60" i="15"/>
  <c r="Q73" i="15"/>
  <c r="C39" i="69"/>
  <c r="C46" i="69"/>
  <c r="C45" i="69"/>
  <c r="J18" i="15"/>
  <c r="J26" i="67"/>
  <c r="J29" i="67"/>
  <c r="J24" i="67"/>
  <c r="C53" i="15"/>
  <c r="C48" i="15"/>
  <c r="C10" i="67"/>
  <c r="C5" i="67"/>
  <c r="C53" i="67"/>
  <c r="C48" i="67"/>
  <c r="C35" i="9"/>
  <c r="F118" i="9"/>
  <c r="C20" i="69"/>
  <c r="C28" i="69"/>
  <c r="C27" i="69"/>
  <c r="F24" i="67"/>
  <c r="C24" i="67"/>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J24" i="15"/>
  <c r="C41" i="11"/>
  <c r="C49" i="11"/>
  <c r="C51" i="11"/>
  <c r="Q49" i="15"/>
  <c r="J14" i="15"/>
  <c r="C57" i="15"/>
  <c r="J19" i="15"/>
  <c r="J17"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C57" i="68"/>
  <c r="C56" i="68"/>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Y6" i="71"/>
  <c r="Z6" i="71"/>
  <c r="Y5" i="71"/>
  <c r="Z5" i="71"/>
  <c r="X6" i="71"/>
  <c r="X5" i="71"/>
  <c r="AA5" i="71"/>
  <c r="AA6" i="71"/>
  <c r="AB5" i="71"/>
  <c r="AB6" i="71"/>
  <c r="AB7"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<sst xmlns="http://schemas.openxmlformats.org/spreadsheetml/2006/main" count="7676" uniqueCount="3248">
  <si>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</si>
  <si>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</si>
  <si>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</si>
  <si>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</si>
  <si>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</si>
  <si>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</si>
  <si>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</si>
  <si>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</si>
  <si>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</si>
  <si>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</si>
  <si>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</si>
  <si>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</si>
  <si>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</si>
  <si>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</si>
  <si>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</si>
  <si>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</si>
  <si>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</si>
  <si>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</si>
  <si>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</si>
  <si>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</si>
  <si>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</si>
  <si>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</si>
  <si>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</si>
  <si>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</si>
  <si>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</si>
  <si>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</si>
  <si>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</si>
  <si>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</si>
  <si>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</si>
  <si>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</si>
  <si>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</si>
  <si>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</si>
  <si>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</si>
  <si>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</si>
  <si>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</si>
  <si>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</si>
  <si>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</si>
  <si>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</si>
  <si>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</si>
  <si>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</si>
  <si>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</si>
  <si>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</si>
  <si>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</si>
  <si>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</si>
  <si>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</si>
  <si>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</si>
  <si>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</si>
  <si>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</si>
  <si>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</si>
  <si>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</si>
  <si>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</si>
  <si>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</si>
  <si>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</si>
  <si>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</si>
  <si>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</si>
  <si>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</si>
  <si>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</si>
  <si>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</si>
  <si>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</si>
  <si>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</si>
  <si>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</si>
  <si>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</si>
  <si>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</si>
  <si>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</si>
  <si>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</si>
  <si>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</si>
  <si>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</si>
  <si>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</si>
  <si>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</si>
  <si>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</si>
  <si>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</si>
  <si>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</si>
  <si>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</si>
  <si>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</si>
  <si>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</si>
  <si>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</si>
  <si>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</si>
  <si>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</si>
  <si>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</si>
  <si>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</si>
  <si>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</si>
  <si>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</si>
  <si>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</si>
  <si>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</si>
  <si>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</si>
  <si>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</si>
  <si>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</si>
  <si>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</si>
  <si>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</si>
  <si>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</si>
  <si>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</si>
  <si>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</si>
  <si>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</si>
  <si>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</si>
  <si>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</si>
  <si>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</si>
  <si>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</si>
  <si>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</si>
  <si>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</si>
  <si>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</si>
  <si>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</si>
  <si>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</si>
  <si>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</si>
  <si>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</si>
  <si>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</si>
  <si>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</si>
  <si>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</si>
  <si>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</si>
  <si>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</si>
  <si>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</si>
  <si>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</si>
  <si>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</si>
  <si>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</si>
  <si>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</si>
  <si>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</si>
  <si>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</si>
  <si>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</si>
  <si>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</si>
  <si>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</si>
  <si>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</si>
  <si>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</si>
  <si>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</si>
  <si>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</si>
  <si>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</si>
  <si>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</si>
  <si>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</si>
  <si>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</si>
  <si>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</si>
  <si>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</si>
  <si>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</si>
  <si>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</si>
  <si>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</si>
  <si>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</si>
  <si>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</si>
  <si>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</si>
  <si>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</si>
  <si>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</si>
  <si>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</si>
  <si>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</si>
  <si>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</si>
  <si>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</si>
  <si>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</si>
  <si>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</si>
  <si>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</si>
  <si>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</si>
  <si>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</si>
  <si>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</si>
  <si>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</si>
  <si>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</si>
  <si>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</si>
  <si>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</si>
  <si>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</si>
  <si>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</si>
  <si>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</si>
  <si>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</si>
  <si>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</si>
  <si>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</si>
  <si>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</si>
  <si>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</si>
  <si>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</si>
  <si>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</si>
  <si>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</si>
  <si>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</si>
  <si>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</si>
  <si>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</si>
  <si>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</si>
  <si>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</si>
  <si>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</si>
  <si>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</si>
  <si>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</si>
  <si>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</si>
  <si>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</si>
  <si>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</si>
  <si>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</si>
  <si>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</si>
  <si>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</si>
  <si>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</si>
  <si>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</si>
  <si>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</si>
  <si>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</si>
  <si>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</si>
  <si>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</si>
  <si>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</si>
  <si>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</si>
  <si>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</si>
  <si>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</si>
  <si>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</si>
  <si>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</si>
  <si>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</si>
  <si>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</si>
  <si>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</si>
  <si>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</si>
  <si>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</si>
  <si>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</si>
  <si>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</si>
  <si>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</si>
  <si>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</si>
  <si>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</si>
  <si>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</si>
  <si>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</si>
  <si>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</si>
  <si>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</si>
  <si>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</si>
  <si>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</si>
  <si>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</si>
  <si>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</si>
  <si>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</si>
  <si>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</si>
  <si>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</si>
  <si>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</si>
  <si>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</si>
  <si>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</si>
  <si>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</si>
  <si>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</si>
  <si>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</si>
  <si>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</si>
  <si>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</si>
  <si>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</si>
  <si>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</si>
  <si>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</si>
  <si>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</si>
  <si>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</si>
  <si>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</si>
  <si>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</si>
  <si>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</si>
  <si>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</si>
  <si>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</si>
  <si>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</si>
  <si>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</si>
  <si>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</si>
  <si>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</si>
  <si>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</si>
  <si>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</si>
  <si>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</si>
  <si>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</si>
  <si>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</si>
  <si>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</si>
  <si>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</si>
  <si>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</si>
  <si>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</si>
  <si>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</si>
  <si>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</si>
  <si>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</si>
  <si>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</si>
  <si>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</si>
  <si>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</si>
  <si>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</si>
  <si>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</si>
  <si>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</si>
  <si>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</si>
  <si>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</si>
  <si>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</si>
  <si>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</si>
  <si>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</si>
  <si>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</si>
  <si>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</si>
  <si>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</si>
  <si>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</si>
  <si>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</si>
  <si>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</si>
  <si>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</si>
  <si>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</si>
  <si>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</si>
  <si>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</si>
  <si>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</si>
  <si>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</si>
  <si>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</si>
  <si>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</si>
  <si>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</si>
  <si>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</si>
  <si>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</si>
  <si>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</si>
  <si>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</si>
  <si>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</si>
  <si>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</si>
  <si>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</si>
  <si>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</si>
  <si>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</si>
  <si>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</si>
  <si>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</si>
  <si>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</si>
  <si>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</si>
  <si>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</si>
  <si>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</si>
  <si>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</si>
  <si>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</si>
  <si>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</si>
  <si>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</si>
  <si>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</si>
  <si>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</si>
  <si>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</si>
  <si>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</si>
  <si>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</si>
  <si>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</si>
  <si>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</si>
  <si>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</si>
  <si>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</si>
  <si>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</si>
  <si>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</si>
  <si>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</si>
  <si>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</si>
  <si>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</si>
  <si>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</si>
  <si>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</si>
  <si>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</si>
  <si>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</si>
  <si>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</si>
  <si>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</si>
  <si>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</si>
  <si>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</si>
  <si>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</si>
  <si>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</si>
  <si>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</si>
  <si>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</si>
  <si>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</si>
  <si>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</si>
  <si>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</si>
  <si>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</si>
  <si>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</si>
  <si>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</si>
  <si>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</si>
  <si>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</si>
  <si>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</si>
  <si>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</si>
  <si>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</si>
  <si>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</si>
  <si>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</si>
  <si>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</si>
  <si>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</si>
  <si>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</si>
  <si>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</si>
  <si>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</si>
  <si>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</si>
  <si>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</si>
  <si>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</si>
  <si>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</si>
  <si>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</si>
  <si>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</si>
  <si>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</si>
  <si>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</si>
  <si>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</si>
  <si>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</si>
  <si>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</si>
  <si>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</si>
  <si>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</si>
  <si>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</si>
  <si>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</si>
  <si>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</si>
  <si>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</si>
  <si>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</si>
  <si>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</si>
  <si>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</si>
  <si>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</si>
  <si>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</si>
  <si>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</si>
  <si>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</si>
  <si>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</si>
  <si>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</si>
  <si>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</si>
  <si>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</si>
  <si>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</si>
  <si>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</si>
  <si>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</si>
  <si>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</si>
  <si>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</si>
  <si>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</si>
  <si>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</si>
  <si>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</si>
  <si>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</si>
  <si>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</si>
  <si>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</si>
  <si>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</si>
  <si>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</si>
  <si>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</si>
  <si>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</si>
  <si>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</si>
  <si>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</si>
  <si>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</si>
  <si>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</si>
  <si>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</si>
  <si>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</si>
  <si>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</si>
  <si>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</si>
  <si>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</si>
  <si>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</si>
  <si>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</si>
  <si>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</si>
  <si>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</si>
  <si>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</si>
  <si>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</si>
  <si>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</si>
  <si>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</si>
  <si>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</si>
  <si>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</si>
  <si>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</si>
  <si>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</si>
  <si>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</si>
  <si>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</si>
  <si>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</si>
  <si>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</si>
  <si>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</si>
  <si>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</si>
  <si>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</si>
  <si>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</si>
  <si>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</si>
  <si>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</si>
  <si>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</si>
  <si>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</si>
  <si>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</si>
  <si>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</si>
  <si>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</si>
  <si>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</si>
  <si>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</si>
  <si>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</si>
  <si>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</si>
  <si>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</si>
  <si>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</si>
  <si>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</si>
  <si>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</si>
  <si>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</si>
  <si>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</si>
  <si>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</si>
  <si>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</si>
  <si>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</si>
  <si>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</si>
  <si>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</si>
  <si>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</si>
  <si>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</si>
  <si>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</si>
  <si>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</si>
  <si>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</si>
  <si>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</si>
  <si>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</si>
  <si>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</si>
  <si>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</si>
  <si>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</si>
  <si>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</si>
  <si>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</si>
  <si>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</si>
  <si>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</si>
  <si>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</si>
  <si>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</si>
  <si>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</si>
  <si>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</si>
  <si>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</si>
  <si>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</si>
  <si>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</si>
  <si>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</si>
  <si>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</si>
  <si>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</si>
  <si>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</si>
  <si>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</si>
  <si>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</si>
  <si>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</si>
  <si>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</si>
  <si>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</si>
  <si>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</si>
  <si>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</si>
  <si>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</si>
  <si>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</si>
  <si>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</si>
  <si>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</si>
  <si>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</si>
  <si>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</si>
  <si>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</si>
  <si>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</si>
  <si>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</si>
  <si>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</si>
  <si>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</si>
  <si>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</si>
  <si>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</si>
  <si>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</si>
  <si>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</si>
  <si>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</si>
  <si>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</si>
  <si>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</si>
  <si>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</si>
  <si>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</si>
  <si>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</si>
  <si>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</si>
  <si>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</si>
  <si>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</si>
  <si>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</si>
  <si>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</si>
  <si>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</si>
  <si>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</si>
  <si>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</si>
  <si>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</si>
  <si>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</si>
  <si>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</si>
  <si>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</si>
  <si>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</si>
  <si>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</si>
  <si>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</si>
  <si>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</si>
  <si>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</si>
  <si>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</si>
  <si>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</si>
  <si>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</si>
  <si>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</si>
  <si>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</si>
  <si>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</si>
  <si>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</si>
  <si>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</si>
  <si>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</si>
  <si>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</si>
  <si>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</si>
  <si>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</si>
  <si>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</si>
  <si>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</si>
  <si>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</si>
  <si>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</si>
  <si>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</si>
  <si>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</si>
  <si>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</si>
  <si>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</si>
  <si>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</si>
  <si>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</si>
  <si>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</si>
  <si>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</si>
  <si>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</si>
  <si>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</si>
  <si>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</si>
  <si>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</si>
  <si>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</si>
  <si>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</si>
  <si>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</si>
  <si>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</si>
  <si>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</si>
  <si>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</si>
  <si>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</si>
  <si>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</si>
  <si>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</si>
  <si>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</si>
  <si>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</si>
  <si>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</si>
  <si>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</si>
  <si>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</si>
  <si>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</si>
  <si>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</si>
  <si>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</si>
  <si>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</si>
  <si>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</si>
  <si>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</si>
  <si>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</si>
  <si>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</si>
  <si>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</si>
  <si>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</si>
  <si>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</si>
  <si>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</si>
  <si>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</si>
  <si>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</si>
  <si>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</si>
  <si>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</si>
  <si>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</si>
  <si>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</si>
  <si>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</si>
  <si>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</si>
  <si>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</si>
  <si>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</si>
  <si>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</si>
  <si>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</si>
  <si>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</si>
  <si>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</si>
  <si>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</si>
  <si>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</si>
  <si>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</si>
  <si>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</si>
  <si>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</si>
  <si>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</si>
  <si>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</si>
  <si>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</si>
  <si>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</si>
  <si>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</si>
  <si>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</si>
  <si>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</si>
  <si>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</si>
  <si>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</si>
  <si>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</si>
  <si>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</si>
  <si>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</si>
  <si>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</si>
  <si>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</si>
  <si>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</si>
  <si>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</si>
  <si>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</si>
  <si>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</si>
  <si>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</si>
  <si>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</si>
  <si>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</si>
  <si>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</si>
  <si>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</si>
  <si>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</si>
  <si>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</si>
  <si>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</si>
  <si>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</si>
  <si>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</si>
  <si>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</si>
  <si>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</si>
  <si>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</si>
  <si>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</si>
  <si>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</si>
  <si>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</si>
  <si>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</si>
  <si>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</si>
  <si>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</si>
  <si>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</si>
  <si>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</si>
  <si>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</si>
  <si>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</si>
  <si>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</si>
  <si>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</si>
  <si>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</si>
  <si>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</si>
  <si>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</si>
  <si>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</si>
  <si>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</si>
  <si>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</si>
  <si>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</si>
  <si>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</si>
  <si>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</si>
  <si>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</si>
  <si>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</si>
  <si>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</si>
  <si>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</si>
  <si>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</si>
  <si>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</si>
  <si>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</si>
  <si>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</si>
  <si>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</si>
  <si>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</si>
  <si>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</si>
  <si>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</si>
  <si>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</si>
  <si>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</si>
  <si>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</si>
  <si>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</si>
  <si>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</si>
  <si>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</si>
  <si>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</si>
  <si>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</si>
  <si>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</si>
  <si>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</si>
  <si>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</si>
  <si>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</si>
  <si>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</si>
  <si>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</si>
  <si>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</si>
  <si>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</si>
  <si>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</si>
  <si>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</si>
  <si>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</si>
  <si>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</si>
  <si>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</si>
  <si>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</si>
  <si>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</si>
  <si>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</si>
  <si>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</si>
  <si>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</si>
  <si>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</si>
  <si>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</si>
  <si>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</si>
  <si>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</si>
  <si>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</si>
  <si>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</si>
  <si>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</si>
  <si>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</si>
  <si>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</si>
  <si>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</si>
  <si>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</si>
  <si>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</si>
  <si>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</si>
  <si>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</si>
  <si>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</si>
  <si>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</si>
  <si>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</si>
  <si>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</si>
  <si>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</si>
  <si>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</si>
  <si>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</si>
  <si>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</si>
  <si>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</si>
  <si>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</si>
  <si>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</si>
  <si>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</si>
  <si>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</si>
  <si>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</si>
  <si>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</si>
  <si>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</si>
  <si>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</si>
  <si>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</si>
  <si>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</si>
  <si>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</si>
  <si>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</si>
  <si>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</si>
  <si>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</si>
  <si>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</si>
  <si>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</si>
  <si>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</si>
  <si>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</si>
  <si>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</si>
  <si>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</si>
  <si>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</si>
  <si>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</si>
  <si>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</si>
  <si>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</si>
  <si>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</si>
  <si>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</si>
  <si>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</si>
  <si>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</si>
  <si>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</si>
  <si>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</si>
  <si>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</si>
  <si>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</si>
  <si>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</si>
  <si>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</si>
  <si>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</si>
  <si>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</si>
  <si>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</si>
  <si>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</si>
  <si>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</si>
  <si>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</si>
  <si>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</si>
  <si>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</si>
  <si>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</si>
  <si>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</si>
  <si>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</si>
  <si>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</si>
  <si>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</si>
  <si>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</si>
  <si>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</si>
  <si>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</si>
  <si>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</si>
  <si>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</si>
  <si>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</si>
  <si>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</si>
  <si>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</si>
  <si>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</si>
  <si>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</si>
  <si>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</si>
  <si>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</si>
  <si>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</si>
  <si>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</si>
  <si>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</si>
  <si>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</si>
  <si>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</si>
  <si>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</si>
  <si>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</si>
  <si>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</si>
  <si>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</si>
  <si>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</si>
  <si>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</si>
  <si>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</si>
  <si>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</si>
  <si>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</si>
  <si>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</si>
  <si>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</si>
  <si>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</si>
  <si>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</si>
  <si>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</si>
  <si>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</si>
  <si>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</si>
  <si>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</si>
  <si>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</si>
  <si>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</si>
  <si>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</si>
  <si>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</si>
  <si>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</si>
  <si>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</si>
  <si>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</si>
  <si>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</si>
  <si>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</si>
  <si>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</si>
  <si>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</si>
  <si>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</si>
  <si>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</si>
  <si>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</si>
  <si>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</si>
  <si>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</si>
  <si>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</si>
  <si>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</si>
  <si>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</si>
  <si>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</si>
  <si>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</si>
  <si>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</si>
  <si>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</si>
  <si>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</si>
  <si>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</si>
  <si>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</si>
  <si>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</si>
  <si>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</si>
  <si>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</si>
  <si>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</si>
  <si>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</si>
  <si>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</si>
  <si>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</si>
  <si>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</si>
  <si>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</si>
  <si>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</si>
  <si>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</si>
  <si>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</si>
  <si>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</si>
  <si>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</si>
  <si>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</si>
  <si>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</si>
  <si>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</si>
  <si>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</si>
  <si>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</si>
  <si>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</si>
  <si>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</si>
  <si>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</si>
  <si>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</si>
  <si>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</si>
  <si>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</si>
  <si>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</si>
  <si>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</si>
  <si>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</si>
  <si>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</si>
  <si>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</si>
  <si>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</si>
  <si>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</si>
  <si>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</si>
  <si>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</si>
  <si>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</si>
  <si>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</si>
  <si>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</si>
  <si>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</si>
  <si>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</si>
  <si>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</si>
  <si>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</si>
  <si>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</si>
  <si>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</si>
  <si>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</si>
  <si>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</si>
  <si>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</si>
  <si>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</si>
  <si>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</si>
  <si>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</si>
  <si>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</si>
  <si>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</si>
  <si>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</si>
  <si>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</si>
  <si>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</si>
  <si>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</si>
  <si>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</si>
  <si>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</si>
  <si>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</si>
  <si>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</si>
  <si>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</si>
  <si>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</si>
  <si>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</si>
  <si>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</si>
  <si>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</si>
  <si>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</si>
  <si>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</si>
  <si>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</si>
  <si>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</si>
  <si>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</si>
  <si>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</si>
  <si>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</si>
  <si>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</si>
  <si>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</si>
  <si>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</si>
  <si>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</si>
  <si>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</si>
  <si>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</si>
  <si>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</si>
  <si>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</si>
  <si>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</si>
  <si>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</si>
  <si>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</si>
  <si>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</si>
  <si>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</si>
  <si>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</si>
  <si>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</si>
  <si>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</si>
  <si>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</si>
  <si>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</si>
  <si>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</si>
  <si>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</si>
  <si>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</si>
  <si>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</si>
  <si>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</si>
  <si>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</si>
  <si>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</si>
  <si>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</si>
  <si>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</si>
  <si>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</si>
  <si>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</si>
  <si>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</si>
  <si>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</si>
  <si>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</si>
  <si>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</si>
  <si>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</si>
  <si>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</si>
  <si>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</si>
  <si>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</si>
  <si>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</si>
  <si>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</si>
  <si>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</si>
  <si>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</si>
  <si>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</si>
  <si>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</si>
  <si>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</si>
  <si>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</si>
  <si>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</si>
  <si>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</si>
  <si>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</si>
  <si>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</si>
  <si>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</si>
  <si>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</si>
  <si>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</si>
  <si>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</si>
  <si>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</si>
  <si>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</si>
  <si>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</si>
  <si>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</si>
  <si>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</si>
  <si>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</si>
  <si>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</si>
  <si>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</si>
  <si>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</si>
  <si>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</si>
  <si>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</si>
  <si>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</si>
  <si>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</si>
  <si>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</si>
  <si>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</si>
  <si>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</si>
  <si>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</si>
  <si>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</si>
  <si>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</si>
  <si>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</si>
  <si>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</si>
  <si>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</si>
  <si>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</si>
  <si>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</si>
  <si>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</si>
  <si>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</si>
  <si>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</si>
  <si>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</si>
  <si>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</si>
  <si>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</si>
  <si>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</si>
  <si>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</si>
  <si>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</si>
  <si>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</si>
  <si>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</si>
  <si>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</si>
  <si>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</si>
  <si>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</si>
  <si>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</si>
  <si>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</si>
  <si>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</si>
  <si>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</si>
  <si>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</si>
  <si>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</si>
  <si>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</si>
  <si>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</si>
  <si>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</si>
  <si>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</si>
  <si>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</si>
  <si>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</si>
  <si>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</si>
  <si>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</si>
  <si>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</si>
  <si>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</si>
  <si>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</si>
  <si>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</si>
  <si>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</si>
  <si>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</si>
  <si>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</si>
  <si>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</si>
  <si>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</si>
  <si>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</si>
  <si>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</si>
  <si>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</si>
  <si>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</si>
  <si>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</si>
  <si>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</si>
  <si>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</si>
  <si>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</si>
  <si>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</si>
  <si>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</si>
  <si>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</si>
  <si>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</si>
  <si>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</si>
  <si>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</si>
  <si>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</si>
  <si>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</si>
  <si>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</si>
  <si>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</si>
  <si>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</si>
  <si>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</si>
  <si>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</si>
  <si>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</si>
  <si>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</si>
  <si>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</si>
  <si>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</si>
  <si>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</si>
  <si>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</si>
  <si>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</si>
  <si>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</si>
  <si>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</si>
  <si>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</si>
  <si>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</si>
  <si>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</si>
  <si>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</si>
  <si>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</si>
  <si>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</si>
  <si>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</si>
  <si>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</si>
  <si>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</si>
  <si>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</si>
  <si>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</si>
  <si>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</si>
  <si>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</si>
  <si>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</si>
  <si>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</si>
  <si>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</si>
  <si>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</si>
  <si>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</si>
  <si>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</si>
  <si>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</si>
  <si>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</si>
  <si>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</si>
  <si>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</si>
  <si>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</si>
  <si>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</si>
  <si>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</si>
  <si>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</si>
  <si>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</si>
  <si>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</si>
  <si>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</si>
  <si>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</si>
  <si>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</si>
  <si>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</si>
  <si>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</si>
  <si>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</si>
  <si>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</si>
  <si>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</si>
  <si>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</si>
  <si>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</si>
  <si>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</si>
  <si>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</si>
  <si>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</si>
  <si>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</si>
  <si>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</si>
  <si>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</si>
  <si>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</si>
  <si>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</si>
  <si>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</si>
  <si>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</si>
  <si>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</si>
  <si>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</si>
  <si>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</si>
  <si>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</si>
  <si>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</si>
  <si>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</si>
  <si>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</si>
  <si>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</si>
  <si>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</si>
  <si>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</si>
  <si>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</si>
  <si>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</si>
  <si>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</si>
  <si>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</si>
  <si>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</si>
  <si>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</si>
  <si>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</si>
  <si>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</si>
  <si>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</si>
  <si>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</si>
  <si>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</si>
  <si>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</si>
  <si>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</si>
  <si>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</si>
  <si>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</si>
  <si>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</si>
  <si>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</si>
  <si>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</si>
  <si>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</si>
  <si>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</si>
  <si>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</si>
  <si>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</si>
  <si>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</si>
  <si>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</si>
  <si>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</si>
  <si>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</si>
  <si>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</si>
  <si>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</si>
  <si>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</si>
  <si>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</si>
  <si>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</si>
  <si>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</si>
  <si>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</si>
  <si>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</si>
  <si>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</si>
  <si>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</si>
  <si>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</si>
  <si>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</si>
  <si>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</si>
  <si>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</si>
  <si>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</si>
  <si>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</si>
  <si>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</si>
  <si>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</si>
  <si>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</si>
  <si>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</si>
  <si>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</si>
  <si>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</si>
  <si>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</si>
  <si>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</si>
  <si>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</si>
  <si>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</si>
  <si>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</si>
  <si>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</si>
  <si>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</si>
  <si>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</si>
  <si>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</si>
  <si>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</si>
  <si>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</si>
  <si>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</si>
  <si>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</si>
  <si>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</si>
  <si>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</si>
  <si>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</si>
  <si>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</si>
  <si>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</si>
  <si>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</si>
  <si>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</si>
  <si>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</si>
  <si>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</si>
  <si>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</si>
  <si>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</si>
  <si>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</si>
  <si>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</si>
  <si>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</si>
  <si>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</si>
  <si>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</si>
  <si>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</si>
  <si>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</si>
  <si>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</si>
  <si>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</si>
  <si>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</si>
  <si>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</si>
  <si>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</si>
  <si>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</si>
  <si>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</si>
  <si>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</si>
  <si>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</si>
  <si>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</si>
  <si>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</si>
  <si>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</si>
  <si>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</si>
  <si>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</si>
  <si>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</si>
  <si>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</si>
  <si>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</si>
  <si>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</si>
  <si>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</si>
  <si>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</si>
  <si>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</si>
  <si>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</si>
  <si>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</si>
  <si>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</si>
  <si>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</si>
  <si>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</si>
  <si>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</si>
  <si>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</si>
  <si>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</si>
  <si>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</si>
  <si>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</si>
  <si>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</si>
  <si>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</si>
  <si>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</si>
  <si>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</si>
  <si>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</si>
  <si>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</si>
  <si>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</si>
  <si>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</si>
  <si>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</si>
  <si>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</si>
  <si>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</si>
  <si>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</si>
  <si>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</si>
  <si>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</si>
  <si>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</si>
  <si>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</si>
  <si>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</si>
  <si>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</si>
  <si>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</si>
  <si>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</si>
  <si>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</si>
  <si>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</si>
  <si>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</si>
  <si>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</si>
  <si>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</si>
  <si>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</si>
  <si>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</si>
  <si>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</si>
  <si>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</si>
  <si>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</si>
  <si>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</si>
  <si>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</si>
  <si>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</si>
  <si>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</si>
  <si>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</si>
  <si>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</si>
  <si>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</si>
  <si>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</si>
  <si>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</si>
  <si>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</si>
  <si>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</si>
  <si>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</si>
  <si>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</si>
  <si>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</si>
  <si>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</si>
  <si>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</si>
  <si>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</si>
  <si>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</si>
  <si>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</si>
  <si>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</si>
  <si>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</si>
  <si>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</si>
  <si>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</si>
  <si>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</si>
  <si>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</si>
  <si>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</si>
  <si>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</si>
  <si>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</si>
  <si>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</si>
  <si>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</si>
  <si>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</si>
  <si>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</si>
  <si>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</si>
  <si>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</si>
  <si>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</si>
  <si>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</si>
  <si>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</si>
  <si>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</si>
  <si>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</si>
  <si>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</si>
  <si>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</si>
  <si>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</si>
  <si>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</si>
  <si>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</si>
  <si>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</si>
  <si>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</si>
  <si>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</si>
  <si>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</si>
  <si>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</si>
  <si>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</si>
  <si>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</si>
  <si>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</si>
  <si>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</si>
  <si>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</si>
  <si>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</si>
  <si>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</si>
  <si>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</si>
  <si>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</si>
  <si>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</si>
  <si>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</si>
  <si>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</si>
  <si>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</si>
  <si>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</si>
  <si>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</si>
  <si>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</si>
  <si>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</si>
  <si>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</si>
  <si>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</si>
  <si>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</si>
  <si>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</si>
  <si>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</si>
  <si>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</si>
  <si>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</si>
  <si>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</si>
  <si>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</si>
  <si>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</si>
  <si>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</si>
  <si>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</si>
  <si>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</si>
  <si>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</si>
  <si>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</si>
  <si>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</si>
  <si>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</si>
  <si>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</si>
  <si>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</si>
  <si>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</si>
  <si>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</si>
  <si>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</si>
  <si>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</si>
  <si>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</si>
  <si>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</si>
  <si>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</si>
  <si>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</si>
  <si>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</si>
  <si>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</si>
  <si>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</si>
  <si>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</si>
  <si>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</si>
  <si>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</si>
  <si>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</si>
  <si>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</si>
  <si>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</si>
  <si>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</si>
  <si>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</si>
  <si>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</si>
  <si>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</si>
  <si>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</si>
  <si>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</si>
  <si>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</si>
  <si>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</si>
  <si>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</si>
  <si>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</si>
  <si>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</si>
  <si>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</si>
  <si>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</si>
  <si>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</si>
  <si>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</si>
  <si>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</si>
  <si>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</si>
  <si>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</si>
  <si>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</si>
  <si>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</si>
  <si>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</si>
  <si>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</si>
  <si>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</si>
  <si>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</si>
  <si>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</si>
  <si>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</si>
  <si>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</si>
  <si>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</si>
  <si>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</si>
  <si>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</si>
  <si>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</si>
  <si>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</si>
  <si>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</si>
  <si>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</si>
  <si>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</si>
  <si>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</si>
  <si>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</si>
  <si>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</si>
  <si>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</si>
  <si>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</si>
  <si>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</si>
  <si>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</si>
  <si>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</si>
  <si>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</si>
  <si>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</si>
  <si>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</si>
  <si>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</si>
  <si>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</si>
  <si>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</si>
  <si>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</si>
  <si>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</si>
  <si>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</si>
  <si>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</si>
  <si>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</si>
  <si>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</si>
  <si>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</si>
  <si>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</si>
  <si>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</si>
  <si>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</si>
  <si>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</si>
  <si>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</si>
  <si>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</si>
  <si>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</si>
  <si>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</si>
  <si>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</si>
  <si>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</si>
  <si>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</si>
  <si>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</si>
  <si>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</si>
  <si>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</si>
  <si>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</si>
  <si>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</si>
  <si>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</si>
  <si>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</si>
  <si>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</si>
  <si>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</si>
  <si>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</si>
  <si>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</si>
  <si>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</si>
  <si>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</si>
  <si>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</si>
  <si>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</si>
  <si>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</si>
  <si>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</si>
  <si>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</si>
  <si>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</si>
  <si>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</si>
  <si>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</si>
  <si>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</si>
  <si>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</si>
  <si>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</si>
  <si>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</si>
  <si>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</si>
  <si>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</si>
  <si>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</si>
  <si>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</si>
  <si>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</si>
  <si>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</si>
  <si>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</si>
  <si>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</si>
  <si>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</si>
  <si>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</si>
  <si>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</si>
  <si>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</si>
  <si>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</si>
  <si>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</si>
  <si>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</si>
  <si>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</si>
  <si>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</si>
  <si>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</si>
  <si>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</si>
  <si>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</si>
  <si>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</si>
  <si>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</si>
  <si>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</si>
  <si>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</si>
  <si>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</si>
  <si>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</si>
  <si>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</si>
  <si>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</si>
  <si>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</si>
  <si>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</si>
  <si>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</si>
  <si>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</si>
  <si>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</si>
  <si>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</si>
  <si>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</si>
  <si>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</si>
  <si>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</si>
  <si>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</si>
  <si>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</si>
  <si>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</si>
  <si>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</si>
  <si>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</si>
  <si>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</si>
  <si>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</si>
  <si>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</si>
  <si>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</si>
  <si>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</si>
  <si>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</si>
  <si>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</si>
  <si>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</si>
  <si>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</si>
  <si>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</si>
  <si>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</si>
  <si>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</si>
  <si>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</si>
  <si>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</si>
  <si>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</si>
  <si>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</si>
  <si>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</si>
  <si>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</si>
  <si>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</si>
  <si>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</si>
  <si>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</si>
  <si>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</si>
  <si>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</si>
  <si>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</si>
  <si>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</si>
  <si>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</si>
  <si>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</si>
  <si>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</si>
  <si>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</si>
  <si>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</si>
  <si>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</si>
  <si>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</si>
  <si>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</si>
  <si>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</si>
  <si>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</si>
  <si>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</si>
  <si>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</si>
  <si>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</si>
  <si>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</si>
  <si>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</si>
  <si>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</si>
  <si>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</si>
  <si>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</si>
  <si>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</si>
  <si>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</si>
  <si>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</si>
  <si>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</si>
  <si>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</si>
  <si>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</si>
  <si>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</si>
  <si>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</si>
  <si>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</si>
  <si>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</si>
  <si>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</si>
  <si>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</si>
  <si>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</si>
  <si>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</si>
  <si>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</si>
  <si>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</si>
  <si>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</si>
  <si>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</si>
  <si>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</si>
  <si>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</si>
  <si>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</si>
  <si>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</si>
  <si>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</si>
  <si>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</si>
  <si>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</si>
  <si>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</si>
  <si>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</si>
  <si>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</si>
  <si>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</si>
  <si>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</si>
  <si>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</si>
  <si>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</si>
  <si>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</si>
  <si>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</si>
  <si>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</si>
  <si>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</si>
  <si>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</si>
  <si>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</si>
  <si>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</si>
  <si>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</si>
  <si>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</si>
  <si>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</si>
  <si>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</si>
  <si>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</si>
  <si>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</si>
  <si>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</si>
  <si>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</si>
  <si>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</si>
  <si>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</si>
  <si>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</si>
  <si>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</si>
  <si>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</si>
  <si>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</si>
  <si>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</si>
  <si>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</si>
  <si>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</si>
  <si>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</si>
  <si>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</si>
  <si>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</si>
  <si>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</si>
  <si>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</si>
  <si>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</si>
  <si>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</si>
  <si>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</si>
  <si>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</si>
  <si>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</si>
  <si>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</si>
  <si>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</si>
  <si>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</si>
  <si>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</si>
  <si>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</si>
  <si>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</si>
  <si>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</si>
  <si>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</si>
  <si>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</si>
  <si>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</si>
  <si>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</si>
  <si>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</si>
  <si>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</si>
  <si>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</si>
  <si>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</si>
  <si>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</si>
  <si>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</si>
  <si>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</si>
  <si>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</si>
  <si>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</si>
  <si>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</si>
  <si>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</si>
  <si>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</si>
  <si>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</si>
  <si>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</si>
  <si>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</si>
  <si>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</si>
  <si>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</si>
  <si>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</si>
  <si>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</si>
  <si>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</si>
  <si>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</si>
  <si>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</si>
  <si>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</si>
  <si>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</si>
  <si>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</si>
  <si>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</si>
  <si>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</si>
  <si>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</si>
  <si>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</si>
  <si>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</si>
  <si>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</si>
  <si>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</si>
  <si>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</si>
  <si>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</si>
  <si>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</si>
  <si>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</si>
  <si>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</si>
  <si>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</si>
  <si>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</si>
  <si>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</si>
  <si>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</si>
  <si>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</si>
  <si>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</si>
  <si>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</si>
  <si>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</si>
  <si>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</si>
  <si>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</si>
  <si>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</si>
  <si>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</si>
  <si>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</si>
  <si>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</si>
  <si>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</si>
  <si>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</si>
  <si>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</si>
  <si>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</si>
  <si>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</si>
  <si>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</si>
  <si>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</si>
  <si>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</si>
  <si>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</si>
  <si>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</si>
  <si>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</si>
  <si>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</si>
  <si>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</si>
  <si>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</si>
  <si>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</si>
  <si>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</si>
  <si>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</si>
  <si>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</si>
  <si>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</si>
  <si>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</si>
  <si>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</si>
  <si>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</si>
  <si>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</si>
  <si>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</si>
  <si>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</si>
  <si>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</si>
  <si>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</si>
  <si>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</si>
  <si>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</si>
  <si>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</si>
  <si>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</si>
  <si>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</si>
  <si>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</si>
  <si>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</si>
  <si>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</si>
  <si>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</si>
  <si>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</si>
  <si>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</si>
  <si>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</si>
  <si>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</si>
  <si>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</si>
  <si>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</si>
  <si>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</si>
  <si>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</si>
  <si>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</si>
  <si>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</si>
  <si>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</si>
  <si>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</si>
  <si>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</si>
  <si>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</si>
  <si>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</si>
  <si>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</si>
  <si>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</si>
  <si>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</si>
  <si>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</si>
  <si>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</si>
  <si>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</si>
  <si>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</si>
  <si>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</si>
  <si>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</si>
  <si>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</si>
  <si>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</si>
  <si>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</si>
  <si>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</si>
  <si>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</si>
  <si>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</si>
  <si>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</si>
  <si>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</si>
  <si>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</si>
  <si>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</si>
  <si>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</si>
  <si>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</si>
  <si>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</si>
  <si>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</si>
  <si>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</si>
  <si>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</si>
  <si>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</si>
  <si>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</si>
  <si>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</si>
  <si>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</si>
  <si>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</si>
  <si>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</si>
  <si>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</si>
  <si>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</si>
  <si>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</si>
  <si>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</si>
  <si>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</si>
  <si>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</si>
  <si>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</si>
  <si>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</si>
  <si>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</si>
  <si>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</si>
  <si>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</si>
  <si>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</si>
  <si>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</si>
  <si>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</si>
  <si>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</si>
  <si>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</si>
  <si>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</si>
  <si>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</si>
  <si>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</si>
  <si>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</si>
  <si>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</si>
  <si>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</si>
  <si>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</si>
  <si>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</si>
  <si>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</si>
  <si>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</si>
  <si>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</si>
  <si>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</si>
  <si>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</si>
  <si>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</si>
  <si>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</si>
  <si>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</si>
  <si>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</si>
  <si>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</si>
  <si>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</si>
  <si>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</si>
  <si>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</si>
  <si>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</si>
  <si>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</si>
  <si>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</si>
  <si>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</si>
  <si>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</si>
  <si>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</si>
  <si>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</si>
  <si>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</si>
  <si>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</si>
  <si>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</si>
  <si>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</si>
  <si>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</si>
  <si>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</si>
  <si>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</si>
  <si>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</si>
  <si>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</si>
  <si>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</si>
  <si>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</si>
  <si>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</si>
  <si>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</si>
  <si>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</si>
  <si>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</si>
  <si>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</si>
  <si>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</si>
  <si>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</si>
  <si>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</si>
  <si>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</si>
  <si>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</si>
  <si>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</si>
  <si>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</si>
  <si>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</si>
  <si>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</si>
  <si>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</si>
  <si>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</si>
  <si>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</si>
  <si>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</si>
  <si>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</si>
  <si>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</si>
  <si>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</si>
  <si>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</si>
  <si>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</si>
  <si>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</si>
  <si>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</si>
  <si>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</si>
  <si>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</si>
  <si>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</si>
  <si>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</si>
  <si>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</si>
  <si>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</si>
  <si>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</si>
  <si>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</si>
  <si>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</si>
  <si>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</si>
  <si>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</si>
  <si>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</si>
  <si>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</si>
  <si>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</si>
  <si>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</si>
  <si>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</si>
  <si>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</si>
  <si>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</si>
  <si>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</si>
  <si>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</si>
  <si>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</si>
  <si>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</si>
  <si>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</si>
  <si>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</si>
  <si>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</si>
  <si>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</si>
  <si>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</si>
  <si>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</si>
  <si>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</si>
  <si>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</si>
  <si>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</si>
  <si>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</si>
  <si>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</si>
  <si>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</si>
  <si>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</si>
  <si>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</si>
  <si>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</si>
  <si>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</si>
  <si>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</si>
  <si>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</si>
  <si>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</si>
  <si>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</si>
  <si>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</si>
  <si>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</si>
  <si>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</si>
  <si>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</si>
  <si>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</si>
  <si>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</si>
  <si>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</si>
  <si>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</si>
  <si>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</si>
  <si>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</si>
  <si>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</si>
  <si>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</si>
  <si>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</si>
  <si>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</si>
  <si>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</si>
  <si>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</si>
  <si>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</si>
  <si>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</si>
  <si>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</si>
  <si>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</si>
  <si>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</si>
  <si>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</si>
  <si>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</si>
  <si>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</si>
  <si>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</si>
  <si>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</si>
  <si>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</si>
  <si>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</si>
  <si>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</si>
  <si>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</si>
  <si>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</si>
  <si>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</si>
  <si>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</si>
  <si>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</si>
  <si>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</si>
  <si>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</si>
  <si>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</si>
  <si>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</si>
  <si>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</si>
  <si>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</si>
  <si>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</si>
  <si>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</si>
  <si>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</si>
  <si>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</si>
  <si>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</si>
  <si>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</si>
  <si>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</si>
  <si>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</si>
  <si>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</si>
  <si>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</si>
  <si>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</si>
  <si>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</si>
  <si>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</si>
  <si>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</si>
  <si>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</si>
  <si>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</si>
  <si>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</si>
  <si>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</si>
  <si>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</si>
  <si>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</si>
  <si>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</si>
  <si>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</si>
  <si>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</si>
  <si>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</si>
  <si>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</si>
  <si>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</si>
  <si>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</si>
  <si>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</si>
  <si>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</si>
  <si>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</si>
  <si>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</si>
  <si>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</si>
  <si>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</si>
  <si>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</si>
  <si>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</si>
  <si>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</si>
  <si>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</si>
  <si>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</si>
  <si>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</si>
  <si>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</si>
  <si>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</si>
  <si>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</si>
  <si>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</si>
  <si>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</si>
  <si>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</si>
  <si>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</si>
  <si>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</si>
  <si>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</si>
  <si>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</si>
  <si>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</si>
  <si>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</si>
  <si>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</si>
  <si>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</si>
  <si>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</si>
  <si>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</si>
  <si>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</si>
  <si>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</si>
  <si>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</si>
  <si>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</si>
  <si>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</si>
  <si>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</si>
  <si>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</si>
  <si>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</si>
  <si>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</si>
  <si>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</si>
  <si>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</si>
  <si>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</si>
  <si>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</si>
  <si>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</si>
  <si>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</si>
  <si>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</si>
  <si>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</si>
  <si>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</si>
  <si>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</si>
  <si>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</si>
  <si>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</si>
  <si>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</si>
  <si>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</si>
  <si>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</si>
  <si>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</si>
  <si>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</si>
  <si>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</si>
  <si>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</si>
  <si>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</si>
  <si>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</si>
  <si>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</si>
  <si>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</si>
  <si>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</si>
  <si>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</si>
  <si>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</si>
  <si>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</si>
  <si>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</si>
  <si>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</si>
  <si>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</si>
  <si>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</si>
  <si>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</si>
  <si>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</si>
  <si>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</si>
  <si>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</si>
  <si>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</si>
  <si>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</si>
  <si>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</si>
  <si>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</si>
  <si>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</si>
  <si>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</si>
  <si>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</si>
  <si>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</si>
  <si>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</si>
  <si>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</si>
  <si>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</si>
  <si>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</si>
  <si>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</si>
  <si>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</si>
  <si>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</si>
  <si>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</si>
  <si>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</si>
  <si>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</si>
  <si>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</si>
  <si>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</si>
  <si>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</si>
  <si>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</si>
  <si>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</si>
  <si>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</si>
  <si>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</si>
  <si>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</si>
  <si>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</si>
  <si>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</si>
  <si>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</si>
  <si>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</si>
  <si>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</si>
  <si>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</si>
  <si>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</si>
  <si>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</si>
  <si>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</si>
  <si>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</si>
  <si>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</si>
  <si>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</si>
  <si>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</si>
  <si>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</si>
  <si>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</si>
  <si>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</si>
  <si>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</si>
  <si>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</si>
  <si>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</si>
  <si>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</si>
  <si>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</si>
  <si>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</si>
  <si>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</si>
  <si>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</si>
  <si>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</si>
  <si>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</si>
  <si>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</si>
  <si>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</si>
  <si>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</si>
  <si>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</si>
  <si>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</si>
  <si>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</si>
  <si>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</si>
  <si>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</si>
  <si>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</si>
  <si>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</si>
  <si>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</si>
  <si>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</si>
  <si>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</si>
  <si>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</si>
  <si>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</si>
  <si>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</si>
  <si>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</si>
  <si>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</si>
  <si>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</si>
  <si>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</si>
  <si>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</si>
  <si>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</si>
  <si>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</si>
  <si>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</si>
  <si>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</si>
  <si>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</si>
  <si>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</si>
  <si>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</si>
  <si>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</si>
  <si>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</si>
  <si>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</si>
  <si>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</si>
  <si>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</si>
  <si>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</si>
  <si>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</si>
  <si>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</si>
  <si>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</si>
  <si>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</si>
  <si>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</si>
  <si>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</si>
  <si>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</si>
  <si>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</si>
  <si>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</si>
  <si>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</si>
  <si>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</si>
  <si>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</si>
  <si>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</si>
  <si>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</si>
  <si>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</si>
  <si>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</si>
  <si>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</si>
  <si>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</si>
  <si>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</si>
  <si>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</si>
  <si>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</si>
  <si>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</si>
  <si>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</si>
  <si>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</si>
  <si>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</si>
  <si>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</si>
  <si>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</si>
  <si>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</si>
  <si>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</si>
  <si>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</si>
  <si>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</si>
  <si>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</si>
  <si>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</si>
  <si>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</si>
  <si>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</si>
  <si>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</si>
  <si>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</si>
  <si>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</si>
  <si>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</si>
  <si>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</si>
  <si>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</si>
  <si>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</si>
  <si>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</si>
  <si>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</si>
  <si>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</si>
  <si>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</si>
  <si>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</si>
  <si>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</si>
  <si>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</si>
  <si>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</si>
  <si>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</si>
  <si>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</si>
  <si>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</si>
  <si>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</si>
  <si>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</si>
  <si>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</si>
  <si>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</si>
  <si>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</si>
  <si>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</si>
  <si>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</si>
  <si>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</si>
  <si>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</si>
  <si>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</si>
  <si>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</si>
  <si>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</si>
  <si>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</si>
  <si>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</si>
  <si>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</si>
  <si>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</si>
  <si>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</si>
  <si>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</si>
  <si>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</si>
  <si>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</si>
  <si>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</si>
  <si>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</si>
  <si>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</si>
  <si>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</si>
  <si>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</si>
  <si>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</si>
  <si>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</si>
  <si>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</si>
  <si>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</si>
  <si>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</si>
  <si>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</si>
  <si>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</si>
  <si>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</si>
  <si>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</si>
  <si>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</si>
  <si>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</si>
  <si>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</si>
  <si>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</si>
  <si>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</si>
  <si>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</si>
  <si>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</si>
  <si>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</si>
  <si>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</si>
  <si>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</si>
  <si>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</si>
  <si>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</si>
  <si>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</si>
  <si>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</si>
  <si>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</si>
  <si>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</si>
  <si>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</si>
  <si>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</si>
  <si>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</si>
  <si>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</si>
  <si>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</si>
  <si>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</si>
  <si>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</si>
  <si>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</si>
  <si>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</si>
  <si>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</si>
  <si>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</si>
  <si>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</si>
  <si>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</si>
  <si>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</si>
  <si>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</si>
  <si>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</si>
  <si>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</si>
  <si>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</si>
  <si>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</si>
  <si>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</si>
  <si>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</si>
  <si>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</si>
  <si>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</si>
  <si>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</si>
  <si>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</si>
  <si>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</si>
  <si>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</si>
  <si>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</si>
  <si>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</si>
  <si>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</si>
  <si>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</si>
  <si>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</si>
  <si>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</si>
  <si>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</si>
  <si>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</si>
  <si>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</si>
  <si>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</si>
  <si>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</si>
  <si>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</si>
  <si>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</si>
  <si>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</si>
  <si>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</si>
  <si>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</si>
  <si>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</si>
  <si>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</si>
  <si>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</si>
  <si>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</si>
  <si>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</si>
  <si>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</si>
  <si>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</si>
  <si>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</si>
  <si>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</si>
  <si>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</si>
  <si>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</si>
  <si>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</si>
  <si>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</si>
  <si>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</si>
  <si>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</si>
  <si>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</si>
  <si>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</si>
  <si>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</si>
  <si>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</si>
  <si>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</si>
  <si>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</si>
  <si>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</si>
  <si>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</si>
  <si>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</si>
  <si>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</si>
  <si>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</si>
  <si>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</si>
  <si>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</si>
  <si>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</si>
  <si>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</si>
  <si>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</si>
  <si>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</si>
  <si>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</si>
  <si>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</si>
  <si>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</si>
  <si>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</si>
  <si>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</si>
  <si>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</si>
  <si>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</si>
  <si>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</si>
  <si>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</si>
  <si>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</si>
  <si>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</si>
  <si>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</si>
  <si>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</si>
  <si>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</si>
  <si>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</si>
  <si>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</si>
  <si>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</si>
  <si>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</si>
  <si>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</si>
  <si>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</si>
  <si>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</si>
  <si>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</si>
  <si>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</si>
  <si>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</si>
  <si>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</si>
  <si>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</si>
  <si>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</si>
  <si>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</si>
  <si>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</si>
  <si>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</si>
  <si>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</si>
  <si>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</si>
  <si>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</si>
  <si>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</si>
  <si>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</si>
  <si>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</si>
  <si>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</si>
  <si>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</si>
  <si>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</si>
  <si>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</si>
  <si>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</si>
  <si>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</si>
  <si>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</si>
  <si>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</si>
  <si>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</si>
  <si>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</si>
  <si>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</si>
  <si>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</si>
  <si>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</si>
  <si>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</si>
  <si>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</si>
  <si>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</si>
  <si>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</si>
  <si>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</si>
  <si>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</si>
  <si>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</si>
  <si>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</si>
  <si>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</si>
  <si>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</si>
  <si>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</si>
  <si>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</si>
  <si>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</si>
  <si>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</si>
  <si>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</si>
  <si>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</si>
  <si>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</si>
  <si>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</si>
  <si>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</si>
  <si>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</si>
  <si>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</si>
  <si>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</si>
  <si>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</si>
  <si>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</si>
  <si>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</si>
  <si>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</si>
  <si>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</si>
  <si>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</si>
  <si>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</si>
  <si>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</si>
  <si>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</si>
  <si>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</si>
  <si>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</si>
  <si>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</si>
  <si>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</si>
  <si>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</si>
  <si>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</si>
  <si>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</si>
  <si>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</si>
  <si>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</si>
  <si>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</si>
  <si>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</si>
  <si>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</si>
  <si>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</si>
  <si>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</si>
  <si>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</si>
  <si>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</si>
  <si>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</si>
  <si>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</si>
  <si>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</si>
  <si>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</si>
  <si>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</si>
  <si>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</si>
  <si>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</si>
  <si>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</si>
  <si>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</si>
  <si>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</si>
  <si>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</si>
  <si>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</si>
  <si>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</si>
  <si>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</si>
  <si>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</si>
  <si>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</si>
  <si>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</si>
  <si>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</si>
  <si>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</si>
  <si>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</si>
  <si>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</si>
  <si>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</si>
  <si>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</si>
  <si>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</si>
  <si>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</si>
  <si>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</si>
  <si>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</si>
  <si>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</si>
  <si>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</si>
  <si>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</si>
  <si>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</si>
  <si>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</si>
  <si>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</si>
  <si>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</si>
  <si>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</si>
  <si>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</si>
  <si>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</si>
  <si>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</si>
  <si>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</si>
  <si>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</si>
  <si>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</si>
  <si>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</si>
  <si>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</si>
  <si>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</si>
  <si>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</si>
  <si>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</si>
  <si>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</si>
  <si>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</si>
  <si>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</si>
  <si>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</si>
  <si>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</si>
  <si>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</si>
  <si>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</si>
  <si>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</si>
  <si>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</si>
  <si>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</si>
  <si>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</si>
  <si>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</si>
  <si>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</si>
  <si>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</si>
  <si>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</si>
  <si>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</si>
  <si>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</si>
  <si>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</si>
  <si>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</si>
  <si>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</si>
  <si>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</si>
  <si>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</si>
  <si>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</si>
  <si>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</si>
  <si>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</si>
  <si>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</si>
  <si>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</si>
  <si>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</si>
  <si>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</si>
  <si>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</si>
  <si>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</si>
  <si>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</si>
  <si>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</si>
  <si>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</si>
  <si>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</si>
  <si>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</si>
  <si>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</si>
  <si>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</si>
  <si>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</si>
  <si>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</si>
  <si>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</si>
  <si>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</si>
  <si>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</si>
  <si>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</si>
  <si>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</si>
  <si>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</si>
  <si>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</si>
  <si>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</si>
  <si>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</si>
  <si>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</si>
  <si>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</si>
  <si>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</si>
  <si>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</si>
  <si>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</si>
  <si>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</si>
  <si>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</si>
  <si>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</si>
  <si>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</si>
  <si>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</si>
  <si>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</si>
  <si>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</si>
  <si>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</si>
  <si>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</si>
  <si>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</si>
  <si>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</si>
  <si>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</si>
  <si>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</si>
  <si>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</si>
  <si>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</si>
  <si>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</si>
  <si>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</si>
  <si>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</si>
  <si>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</si>
  <si>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</si>
  <si>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</si>
  <si>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</si>
  <si>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</si>
  <si>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</si>
  <si>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</si>
  <si>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</si>
  <si>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</si>
  <si>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</si>
  <si>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</si>
  <si>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</si>
  <si>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</si>
  <si>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</si>
  <si>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</si>
  <si>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</si>
  <si>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</si>
  <si>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</si>
  <si>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</si>
  <si>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</si>
  <si>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</si>
  <si>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</si>
  <si>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</si>
  <si>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</si>
  <si>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</si>
  <si>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</si>
  <si>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</si>
  <si>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</si>
  <si>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</si>
  <si>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</si>
  <si>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</si>
  <si>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</si>
  <si>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</si>
  <si>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</si>
  <si>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</si>
  <si>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</si>
  <si>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</si>
  <si>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</si>
  <si>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</si>
  <si>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</si>
  <si>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</si>
  <si>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</si>
  <si>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</si>
  <si>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</si>
  <si>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</si>
  <si>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</si>
  <si>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</si>
  <si>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</si>
  <si>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</si>
  <si>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</si>
  <si>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</si>
  <si>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</si>
  <si>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</si>
  <si>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</si>
  <si>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</si>
  <si>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</si>
  <si>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</si>
  <si>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</si>
  <si>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</si>
  <si>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</si>
  <si>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</si>
  <si>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</si>
  <si>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</si>
  <si>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</si>
  <si>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</si>
  <si>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</si>
  <si>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</si>
  <si>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</si>
  <si>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</si>
  <si>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</si>
  <si>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</si>
  <si>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</si>
  <si>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</si>
  <si>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</si>
  <si>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</si>
  <si>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</si>
  <si>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</si>
  <si>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</si>
  <si>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</si>
  <si>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</si>
  <si>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</si>
  <si>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</si>
  <si>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</si>
  <si>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</si>
  <si>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</si>
  <si>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</si>
  <si>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</si>
  <si>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</si>
  <si>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</si>
  <si>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</si>
  <si>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</si>
  <si>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</si>
  <si>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</si>
  <si>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</si>
  <si>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</si>
  <si>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</si>
  <si>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</si>
  <si>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</si>
  <si>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</si>
  <si>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</si>
  <si>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</si>
  <si>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</si>
  <si>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</si>
  <si>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</si>
  <si>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</si>
  <si>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</si>
  <si>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</si>
  <si>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</si>
  <si>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</si>
  <si>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</si>
  <si>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</si>
  <si>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</si>
  <si>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</si>
  <si>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</si>
  <si>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</si>
  <si>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</si>
  <si>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</si>
  <si>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</si>
  <si>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</si>
  <si>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</si>
  <si>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</si>
  <si>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</si>
  <si>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</si>
  <si>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</si>
  <si>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</si>
  <si>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</si>
  <si>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</si>
  <si>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</si>
  <si>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</si>
  <si>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</si>
  <si>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</si>
  <si>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</si>
  <si>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</si>
  <si>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</si>
  <si>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</si>
  <si>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</si>
  <si>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</si>
  <si>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</si>
  <si>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</si>
  <si>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</si>
  <si>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</si>
  <si>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</si>
  <si>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</si>
  <si>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</si>
  <si>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</si>
  <si>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</si>
  <si>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</si>
  <si>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</si>
  <si>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</si>
  <si>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</si>
  <si>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</si>
  <si>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</si>
  <si>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</si>
  <si>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</si>
  <si>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</si>
  <si>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</si>
  <si>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</si>
  <si>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</si>
  <si>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</si>
  <si>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</si>
  <si>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</si>
  <si>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</si>
  <si>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</si>
  <si>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</si>
  <si>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</si>
  <si>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</si>
  <si>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</si>
  <si>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</si>
  <si>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</si>
  <si>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</si>
  <si>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</si>
  <si>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</si>
  <si>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</si>
  <si>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</si>
  <si>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</si>
  <si>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</si>
  <si>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</si>
  <si>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</si>
  <si>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</si>
  <si>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</si>
  <si>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</si>
  <si>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</si>
  <si>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</si>
  <si>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</si>
  <si>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</si>
  <si>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</si>
  <si>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</si>
  <si>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</si>
  <si>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</si>
  <si>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</si>
  <si>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</si>
  <si>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</si>
  <si>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</si>
  <si>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</si>
  <si>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</si>
  <si>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</si>
  <si>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</si>
  <si>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</si>
  <si>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</si>
  <si>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</si>
  <si>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</si>
  <si>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</si>
  <si>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</si>
  <si>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</si>
  <si>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</si>
  <si>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</si>
  <si>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</si>
  <si>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</si>
  <si>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</si>
  <si>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</si>
  <si>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</si>
  <si>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</si>
  <si>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</si>
  <si>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</si>
  <si>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</si>
  <si>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</si>
  <si>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</si>
  <si>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</si>
  <si>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</si>
  <si>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</si>
  <si>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</si>
  <si>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</si>
  <si>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</si>
  <si>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</si>
  <si>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</si>
  <si>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</si>
  <si>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</si>
  <si>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</si>
  <si>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</si>
  <si>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</si>
  <si>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</si>
  <si>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</si>
  <si>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</si>
  <si>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</si>
  <si>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</si>
  <si>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</si>
  <si>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</si>
  <si>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</si>
  <si>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</si>
  <si>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</si>
  <si>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</si>
  <si>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</si>
  <si>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</si>
  <si>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</si>
  <si>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</si>
  <si>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</si>
  <si>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</si>
  <si>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</si>
  <si>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</si>
  <si>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</si>
  <si>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</si>
  <si>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</si>
  <si>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</si>
  <si>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</si>
  <si>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</si>
  <si>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</si>
  <si>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</si>
  <si>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</si>
  <si>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</si>
  <si>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</si>
  <si>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</si>
  <si>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</si>
  <si>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</si>
  <si>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</si>
  <si>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</si>
  <si>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</si>
  <si>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</si>
  <si>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</si>
  <si>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</si>
  <si>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</si>
  <si>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</si>
  <si>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</si>
  <si>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</si>
  <si>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</si>
  <si>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</si>
  <si>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</si>
  <si>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</si>
  <si>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</si>
  <si>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</si>
  <si>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</si>
  <si>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</si>
  <si>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</si>
  <si>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</si>
  <si>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</si>
  <si>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</si>
  <si>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</si>
  <si>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</si>
  <si>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</si>
  <si>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</si>
  <si>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</si>
  <si>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</si>
  <si>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</si>
  <si>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</si>
  <si>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</si>
  <si>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</si>
  <si>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</si>
  <si>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</si>
  <si>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</si>
  <si>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</si>
  <si>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</si>
  <si>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</si>
  <si>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</si>
  <si>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</si>
  <si>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</si>
  <si>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</si>
  <si>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</si>
  <si>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</si>
  <si>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</si>
  <si>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</si>
  <si>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</si>
  <si>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</si>
  <si>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</si>
  <si>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</si>
  <si>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</si>
  <si>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</si>
  <si>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</si>
  <si>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</si>
  <si>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</si>
  <si>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</si>
  <si>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</si>
  <si>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</si>
  <si>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</si>
  <si>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</si>
  <si>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</si>
  <si>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</si>
  <si>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</si>
  <si>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</si>
  <si>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</si>
  <si>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</si>
  <si>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</si>
  <si>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</si>
  <si>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</si>
  <si>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</si>
  <si>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</si>
  <si>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</si>
  <si>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</si>
  <si>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</si>
  <si>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</si>
  <si>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</si>
  <si>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</si>
  <si>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</si>
  <si>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</si>
  <si>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</si>
  <si>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</si>
  <si>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</si>
  <si>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</si>
  <si>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</si>
  <si>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</si>
  <si>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</si>
  <si>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</si>
  <si>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</si>
  <si>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</si>
  <si>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</si>
  <si>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</si>
  <si>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</si>
  <si>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</si>
  <si>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</si>
  <si>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</si>
  <si>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</si>
  <si>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</si>
  <si>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</si>
  <si>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</si>
  <si>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</si>
  <si>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</si>
  <si>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</si>
  <si>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</si>
  <si>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</si>
  <si>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</si>
  <si>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</si>
  <si>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</si>
  <si>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</si>
  <si>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</si>
  <si>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</si>
  <si>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</si>
  <si>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</si>
  <si>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</si>
  <si>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</si>
  <si>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</si>
  <si>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</si>
  <si>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</si>
  <si>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</si>
  <si>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</si>
  <si>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</si>
  <si>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</si>
  <si>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</si>
  <si>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</si>
  <si>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</si>
  <si>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</si>
  <si>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</si>
  <si>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</si>
  <si>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</si>
  <si>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</si>
  <si>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</si>
  <si>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</si>
  <si>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</si>
  <si>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</si>
  <si>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</si>
  <si>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</si>
  <si>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</si>
  <si>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</si>
  <si>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</si>
  <si>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</si>
  <si>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</si>
  <si>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</si>
  <si>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</si>
  <si>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</si>
  <si>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</si>
  <si>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</si>
  <si>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</si>
  <si>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</si>
  <si>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</si>
  <si>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</si>
  <si>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</si>
  <si>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</si>
  <si>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</si>
  <si>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</si>
  <si>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</si>
  <si>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</si>
  <si>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</si>
  <si>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</si>
  <si>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</si>
  <si>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</si>
  <si>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</si>
  <si>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</si>
  <si>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</si>
  <si>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</si>
  <si>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</si>
  <si>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</si>
  <si>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</si>
  <si>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</si>
  <si>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</si>
  <si>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</si>
  <si>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</si>
  <si>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</si>
  <si>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</si>
  <si>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</si>
  <si>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</si>
  <si>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</si>
  <si>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</si>
  <si>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</si>
  <si>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</si>
  <si>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</si>
  <si>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</si>
  <si>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</si>
  <si>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</si>
  <si>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</si>
  <si>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</si>
  <si>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</si>
  <si>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</si>
  <si>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</si>
  <si>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</si>
  <si>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</si>
  <si>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</si>
  <si>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</si>
  <si>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</si>
  <si>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</si>
  <si>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</si>
  <si>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</si>
  <si>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</si>
  <si>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</si>
  <si>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</si>
  <si>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</si>
  <si>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</si>
  <si>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</si>
  <si>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</si>
  <si>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</si>
  <si>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</si>
  <si>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</si>
  <si>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</si>
  <si>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</si>
  <si>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</si>
  <si>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</si>
  <si>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</si>
  <si>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</si>
  <si>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</si>
  <si>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</si>
  <si>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</si>
  <si>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</si>
  <si>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</si>
  <si>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</si>
  <si>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</si>
  <si>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</si>
  <si>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</si>
  <si>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</si>
  <si>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</si>
  <si>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</si>
  <si>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</si>
  <si>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</si>
  <si>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</si>
  <si>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</si>
  <si>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</si>
  <si>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</si>
  <si>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</si>
  <si>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</si>
  <si>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</si>
  <si>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</si>
  <si>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</si>
  <si>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</si>
  <si>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</si>
  <si>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</si>
  <si>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</si>
  <si>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</si>
  <si>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</si>
  <si>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</si>
  <si>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</si>
  <si>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</si>
  <si>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</si>
  <si>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</si>
  <si>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</si>
  <si>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</si>
  <si>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</si>
  <si>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</si>
  <si>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</si>
  <si>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</si>
  <si>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</si>
  <si>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</si>
  <si>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</si>
  <si>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</si>
  <si>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</si>
  <si>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</si>
  <si>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</si>
  <si>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</si>
  <si>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</si>
  <si>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</si>
  <si>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</si>
  <si>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</si>
  <si>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</si>
  <si>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</si>
  <si>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</si>
  <si>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</si>
  <si>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</si>
  <si>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</si>
  <si>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</si>
  <si>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</si>
  <si>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</si>
  <si>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</si>
  <si>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</si>
  <si>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</si>
  <si>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</si>
  <si>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</si>
  <si>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</si>
  <si>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</si>
  <si>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</si>
  <si>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</si>
  <si>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</si>
  <si>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</si>
  <si>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</si>
  <si>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</si>
  <si>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</si>
  <si>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</si>
  <si>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</si>
  <si>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</si>
  <si>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</si>
  <si>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</si>
  <si>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</si>
  <si>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</si>
  <si>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</si>
  <si>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</si>
  <si>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</si>
  <si>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</si>
  <si>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</si>
  <si>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</si>
  <si>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</si>
  <si>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</si>
  <si>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</si>
  <si>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</si>
  <si>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</si>
  <si>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</si>
  <si>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</si>
  <si>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</si>
  <si>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</si>
  <si>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</si>
  <si>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</si>
  <si>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</si>
  <si>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</si>
  <si>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</si>
  <si>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</si>
  <si>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</si>
  <si>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</si>
  <si>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</si>
  <si>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</si>
  <si>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</si>
  <si>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</si>
  <si>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</si>
  <si>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</si>
  <si>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</si>
  <si>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</si>
  <si>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</si>
  <si>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</si>
  <si>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</si>
  <si>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</si>
  <si>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</si>
  <si>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</si>
  <si>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</si>
  <si>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</si>
  <si>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</si>
  <si>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</si>
  <si>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</si>
  <si>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</si>
  <si>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</si>
  <si>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</si>
  <si>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</si>
  <si>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</si>
  <si>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</si>
  <si>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</si>
  <si>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</si>
  <si>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</si>
  <si>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</si>
  <si>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</si>
  <si>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</si>
  <si>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</si>
  <si>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</si>
  <si>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</si>
  <si>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</si>
  <si>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</si>
  <si>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</si>
  <si>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</si>
  <si>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</si>
  <si>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</si>
  <si>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</si>
  <si>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</si>
  <si>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</si>
  <si>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</si>
  <si>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出让</t>
  </si>
  <si>
    <r>
      <t>9#</t>
    </r>
    <r>
      <rPr>
        <sz val="10"/>
        <color indexed="8"/>
        <rFont val="宋体"/>
        <family val="3"/>
        <charset val="134"/>
      </rPr>
      <t>厂房</t>
    </r>
    <phoneticPr fontId="4" type="noConversion"/>
  </si>
  <si>
    <r>
      <t>11#</t>
    </r>
    <r>
      <rPr>
        <sz val="10"/>
        <color indexed="8"/>
        <rFont val="宋体"/>
        <family val="3"/>
        <charset val="134"/>
      </rPr>
      <t>厂房</t>
    </r>
    <phoneticPr fontId="4" type="noConversion"/>
  </si>
  <si>
    <r>
      <t>17#</t>
    </r>
    <r>
      <rPr>
        <sz val="10"/>
        <color indexed="8"/>
        <rFont val="宋体"/>
        <family val="3"/>
        <charset val="134"/>
      </rPr>
      <t>厂房</t>
    </r>
    <phoneticPr fontId="4" type="noConversion"/>
  </si>
  <si>
    <r>
      <t>23#</t>
    </r>
    <r>
      <rPr>
        <sz val="10"/>
        <color indexed="8"/>
        <rFont val="宋体"/>
        <family val="3"/>
        <charset val="134"/>
      </rPr>
      <t>厂房</t>
    </r>
    <phoneticPr fontId="4" type="noConversion"/>
  </si>
  <si>
    <r>
      <t>22#</t>
    </r>
    <r>
      <rPr>
        <sz val="10"/>
        <color indexed="8"/>
        <rFont val="宋体"/>
        <family val="3"/>
        <charset val="134"/>
      </rPr>
      <t>厂房</t>
    </r>
    <phoneticPr fontId="4" type="noConversion"/>
  </si>
  <si>
    <r>
      <t>8#</t>
    </r>
    <r>
      <rPr>
        <sz val="11"/>
        <color indexed="8"/>
        <rFont val="宋体"/>
        <family val="3"/>
        <charset val="134"/>
      </rPr>
      <t>、</t>
    </r>
    <r>
      <rPr>
        <sz val="11"/>
        <color indexed="8"/>
        <rFont val="Arial"/>
        <family val="2"/>
      </rPr>
      <t>16#</t>
    </r>
    <r>
      <rPr>
        <sz val="11"/>
        <color indexed="8"/>
        <rFont val="宋体"/>
        <family val="3"/>
        <charset val="134"/>
      </rPr>
      <t>厂房</t>
    </r>
    <phoneticPr fontId="4" type="noConversion"/>
  </si>
  <si>
    <r>
      <t>10#</t>
    </r>
    <r>
      <rPr>
        <sz val="11"/>
        <color indexed="8"/>
        <rFont val="宋体"/>
        <family val="3"/>
        <charset val="134"/>
      </rPr>
      <t>厂房</t>
    </r>
    <phoneticPr fontId="4" type="noConversion"/>
  </si>
  <si>
    <r>
      <t>26#</t>
    </r>
    <r>
      <rPr>
        <sz val="11"/>
        <color indexed="8"/>
        <rFont val="宋体"/>
        <family val="3"/>
        <charset val="134"/>
      </rPr>
      <t>厂房</t>
    </r>
    <phoneticPr fontId="4" type="noConversion"/>
  </si>
  <si>
    <r>
      <t>3#</t>
    </r>
    <r>
      <rPr>
        <sz val="11"/>
        <color indexed="8"/>
        <rFont val="宋体"/>
        <family val="3"/>
        <charset val="134"/>
      </rPr>
      <t>企业服务中心</t>
    </r>
    <phoneticPr fontId="4" type="noConversion"/>
  </si>
  <si>
    <r>
      <t>6#</t>
    </r>
    <r>
      <rPr>
        <sz val="11"/>
        <color indexed="8"/>
        <rFont val="宋体"/>
        <family val="3"/>
        <charset val="134"/>
      </rPr>
      <t>、</t>
    </r>
    <r>
      <rPr>
        <sz val="11"/>
        <color indexed="8"/>
        <rFont val="Arial"/>
        <family val="2"/>
      </rPr>
      <t>7#</t>
    </r>
    <r>
      <rPr>
        <sz val="11"/>
        <color indexed="8"/>
        <rFont val="宋体"/>
        <family val="3"/>
        <charset val="134"/>
      </rPr>
      <t>、</t>
    </r>
    <r>
      <rPr>
        <sz val="11"/>
        <color indexed="8"/>
        <rFont val="Arial"/>
        <family val="2"/>
      </rPr>
      <t>14#</t>
    </r>
    <r>
      <rPr>
        <sz val="11"/>
        <color indexed="8"/>
        <rFont val="宋体"/>
        <family val="3"/>
        <charset val="134"/>
      </rPr>
      <t>、</t>
    </r>
    <r>
      <rPr>
        <sz val="11"/>
        <color indexed="8"/>
        <rFont val="Arial"/>
        <family val="2"/>
      </rPr>
      <t>15#</t>
    </r>
    <r>
      <rPr>
        <sz val="11"/>
        <color indexed="8"/>
        <rFont val="宋体"/>
        <family val="3"/>
        <charset val="134"/>
      </rPr>
      <t>、</t>
    </r>
    <r>
      <rPr>
        <sz val="11"/>
        <color indexed="8"/>
        <rFont val="Arial"/>
        <family val="2"/>
      </rPr>
      <t>18-21#</t>
    </r>
    <r>
      <rPr>
        <sz val="11"/>
        <color indexed="8"/>
        <rFont val="宋体"/>
        <family val="3"/>
        <charset val="134"/>
      </rPr>
      <t>、</t>
    </r>
    <r>
      <rPr>
        <sz val="11"/>
        <color indexed="8"/>
        <rFont val="Arial"/>
        <family val="2"/>
      </rPr>
      <t>24#</t>
    </r>
    <r>
      <rPr>
        <sz val="11"/>
        <color indexed="8"/>
        <rFont val="宋体"/>
        <family val="3"/>
        <charset val="134"/>
      </rPr>
      <t>、</t>
    </r>
    <r>
      <rPr>
        <sz val="11"/>
        <color indexed="8"/>
        <rFont val="Arial"/>
        <family val="2"/>
      </rPr>
      <t>25#</t>
    </r>
    <r>
      <rPr>
        <sz val="11"/>
        <color indexed="8"/>
        <rFont val="宋体"/>
        <family val="3"/>
        <charset val="134"/>
      </rPr>
      <t>、</t>
    </r>
    <r>
      <rPr>
        <sz val="11"/>
        <color indexed="8"/>
        <rFont val="Arial"/>
        <family val="2"/>
      </rPr>
      <t>29#</t>
    </r>
    <r>
      <rPr>
        <sz val="11"/>
        <color indexed="8"/>
        <rFont val="宋体"/>
        <family val="3"/>
        <charset val="134"/>
      </rPr>
      <t>、</t>
    </r>
    <r>
      <rPr>
        <sz val="11"/>
        <color indexed="8"/>
        <rFont val="Arial"/>
        <family val="2"/>
      </rPr>
      <t>30#</t>
    </r>
    <r>
      <rPr>
        <sz val="11"/>
        <color indexed="8"/>
        <rFont val="宋体"/>
        <family val="3"/>
        <charset val="134"/>
      </rPr>
      <t>厂房</t>
    </r>
    <phoneticPr fontId="4" type="noConversion"/>
  </si>
  <si>
    <r>
      <t>4#</t>
    </r>
    <r>
      <rPr>
        <sz val="11"/>
        <color indexed="8"/>
        <rFont val="宋体"/>
        <family val="3"/>
        <charset val="134"/>
      </rPr>
      <t>、</t>
    </r>
    <r>
      <rPr>
        <sz val="11"/>
        <color indexed="8"/>
        <rFont val="Arial"/>
        <family val="2"/>
      </rPr>
      <t>5#</t>
    </r>
    <r>
      <rPr>
        <sz val="11"/>
        <color indexed="8"/>
        <rFont val="宋体"/>
        <family val="3"/>
        <charset val="134"/>
      </rPr>
      <t>、</t>
    </r>
    <r>
      <rPr>
        <sz val="11"/>
        <color indexed="8"/>
        <rFont val="Arial"/>
        <family val="2"/>
      </rPr>
      <t>12#</t>
    </r>
    <r>
      <rPr>
        <sz val="11"/>
        <color indexed="8"/>
        <rFont val="宋体"/>
        <family val="3"/>
        <charset val="134"/>
      </rPr>
      <t>、</t>
    </r>
    <r>
      <rPr>
        <sz val="11"/>
        <color indexed="8"/>
        <rFont val="Arial"/>
        <family val="2"/>
      </rPr>
      <t>13#</t>
    </r>
    <r>
      <rPr>
        <sz val="11"/>
        <color indexed="8"/>
        <rFont val="宋体"/>
        <family val="3"/>
        <charset val="134"/>
      </rPr>
      <t>、</t>
    </r>
    <r>
      <rPr>
        <sz val="11"/>
        <color indexed="8"/>
        <rFont val="Arial"/>
        <family val="2"/>
      </rPr>
      <t>27#</t>
    </r>
    <r>
      <rPr>
        <sz val="11"/>
        <color indexed="8"/>
        <rFont val="宋体"/>
        <family val="3"/>
        <charset val="134"/>
      </rPr>
      <t>、</t>
    </r>
    <r>
      <rPr>
        <sz val="11"/>
        <color indexed="8"/>
        <rFont val="Arial"/>
        <family val="2"/>
      </rPr>
      <t>28#</t>
    </r>
    <r>
      <rPr>
        <sz val="11"/>
        <color indexed="8"/>
        <rFont val="宋体"/>
        <family val="3"/>
        <charset val="134"/>
      </rPr>
      <t>厂房</t>
    </r>
    <phoneticPr fontId="4" type="noConversion"/>
  </si>
  <si>
    <r>
      <t>1#</t>
    </r>
    <r>
      <rPr>
        <sz val="11"/>
        <color indexed="8"/>
        <rFont val="宋体"/>
        <family val="3"/>
        <charset val="134"/>
      </rPr>
      <t>厂房</t>
    </r>
    <phoneticPr fontId="4" type="noConversion"/>
  </si>
  <si>
    <r>
      <t>2#</t>
    </r>
    <r>
      <rPr>
        <sz val="11"/>
        <color indexed="8"/>
        <rFont val="宋体"/>
        <family val="3"/>
        <charset val="134"/>
      </rPr>
      <t>厂房</t>
    </r>
    <phoneticPr fontId="4" type="noConversion"/>
  </si>
  <si>
    <t>变配电室</t>
    <phoneticPr fontId="4" type="noConversion"/>
  </si>
  <si>
    <t>消防水泵房</t>
    <phoneticPr fontId="4" type="noConversion"/>
  </si>
  <si>
    <t>地上</t>
  </si>
  <si>
    <t>是</t>
  </si>
  <si>
    <t>工业</t>
    <phoneticPr fontId="8" type="noConversion"/>
  </si>
  <si>
    <t>收益法</t>
  </si>
  <si>
    <t>在建（套用方法）</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</si>
  <si>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</si>
  <si>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</si>
  <si>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</si>
  <si>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</si>
  <si>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</si>
  <si>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</si>
  <si>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</si>
  <si>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</si>
  <si>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</si>
  <si>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</si>
  <si>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</si>
  <si>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</si>
  <si>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</si>
  <si>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</si>
  <si>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</si>
  <si>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</si>
  <si>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</si>
  <si>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惠山区钱桥街道钱洛路西侧、钱胡路北侧</t>
  </si>
  <si>
    <t>无锡市</t>
  </si>
  <si>
    <t>工业用地</t>
  </si>
  <si>
    <t>＞1且＜2</t>
  </si>
  <si>
    <t>挂牌</t>
  </si>
  <si>
    <t>2019-12-23</t>
  </si>
  <si>
    <t>无锡江南高精度冷拔管有限公司</t>
  </si>
  <si>
    <t>惠山区堰联路北侧、堰盛路西侧</t>
  </si>
  <si>
    <t>＞1.0且＜2.0</t>
  </si>
  <si>
    <t>2019-12-20</t>
  </si>
  <si>
    <t>无锡高仕康新材料科技有限公司</t>
  </si>
  <si>
    <t>惠山区堰桥街道纵一路与堰联路交叉口西北侧</t>
  </si>
  <si>
    <t>≥1.0且≤2.0</t>
  </si>
  <si>
    <t>2019-11-11</t>
  </si>
  <si>
    <t>无锡江南奕帆电力传动科技股份有限公司</t>
  </si>
  <si>
    <t>惠山区惠山经济开发区友谊路南侧、大利精纺西侧</t>
  </si>
  <si>
    <t>≥1.6且≤2.0</t>
  </si>
  <si>
    <t>无锡恒电新能源科技发展有限公司</t>
  </si>
  <si>
    <t>惠山区堰裕路南侧、惠山大道西侧</t>
  </si>
  <si>
    <t>凯信远达医药(无锡)有限公司</t>
  </si>
  <si>
    <t>惠山区惠暨大道东侧、惠联热电西侧</t>
  </si>
  <si>
    <t>≥1且≤2</t>
  </si>
  <si>
    <t>2019-10-24</t>
  </si>
  <si>
    <t>无锡惠联垃圾热电有限公司</t>
  </si>
  <si>
    <t>惠山区站北路与惠洲大道交叉口西南侧</t>
  </si>
  <si>
    <t>≥2.2且≤2.5</t>
  </si>
  <si>
    <t>2019-08-19</t>
  </si>
  <si>
    <t>无锡量子感知产业发展有限公司</t>
  </si>
  <si>
    <t>惠山区惠山经济开发区惠成路与友谊路交叉口东南侧</t>
  </si>
  <si>
    <t>＞1.6并且＜2</t>
  </si>
  <si>
    <t>2019-06-06</t>
  </si>
  <si>
    <t>惠山区前洲街道祁胜路与纵九路交叉口东北侧</t>
  </si>
  <si>
    <t>2019-05-31</t>
  </si>
  <si>
    <t>无锡惠山工业转型聚集区建设发展有限公司</t>
  </si>
  <si>
    <t>惠山区惠畅路与金惠路交叉口东北侧</t>
  </si>
  <si>
    <t>2019-05-20</t>
  </si>
  <si>
    <t>无锡明恒混合动力技术有限公司</t>
  </si>
  <si>
    <t>惠山区阳山镇工业园陆西路与天力路交叉口东南侧</t>
  </si>
  <si>
    <t>＞1并且＜3</t>
  </si>
  <si>
    <t>2019-02-22</t>
  </si>
  <si>
    <t>傲毅高新材料(无锡)有限公司</t>
  </si>
  <si>
    <t>惠山区阳山镇工业园陆西路与天力路交叉口西南侧</t>
  </si>
  <si>
    <t>无锡创想分析仪器有限公司</t>
  </si>
  <si>
    <t>惠山区玉祁街道北工三路南侧、漕港河西侧</t>
  </si>
  <si>
    <t>＞1并且＜2</t>
  </si>
  <si>
    <t>2019-01-29</t>
  </si>
  <si>
    <t>无锡市左西电子商务科技有限公司</t>
  </si>
  <si>
    <t>奥波环境科技(无锡)有限公司</t>
  </si>
  <si>
    <t>惠山区玉祁街道永安路东侧、横洚河北侧</t>
  </si>
  <si>
    <t>无锡市恒翼通机械有限公司</t>
  </si>
  <si>
    <t>惠山区玉祁街道祁北路与常玉路交叉口西南侧</t>
  </si>
  <si>
    <t>江苏中机恒亚轻合金有限公司</t>
  </si>
  <si>
    <t>惠山区堰联路北侧、惠暨大道东侧</t>
  </si>
  <si>
    <t>≥0.6并且≤2</t>
  </si>
  <si>
    <t>2018-12-06</t>
  </si>
  <si>
    <t>无锡华光锅炉股份有限公司</t>
  </si>
  <si>
    <t>惠山区洛社镇丁家村</t>
  </si>
  <si>
    <t>＞0.8并且＜1.5</t>
  </si>
  <si>
    <t>2018-08-30</t>
  </si>
  <si>
    <t>无锡荣成环保科技有限公司</t>
  </si>
  <si>
    <t>惠山区华晶利达西侧、富士路北侧</t>
  </si>
  <si>
    <t>2018-08-27</t>
  </si>
  <si>
    <t>无锡博大永利电子有限公司</t>
  </si>
  <si>
    <t>惠山区洛社镇园中路南侧,美泽东侧</t>
  </si>
  <si>
    <t>无锡市宏顺达汽车附件有限公司</t>
  </si>
  <si>
    <t>惠山区前洲工业园区星火路西侧、新长铁路东侧</t>
  </si>
  <si>
    <t>2018-08-17</t>
  </si>
  <si>
    <t>无锡欧之源新材料科技有限公司</t>
  </si>
  <si>
    <t>惠山区前洲街道沪宁高速前洲道口西南侧</t>
  </si>
  <si>
    <t>＞1且＜1.5</t>
  </si>
  <si>
    <t>无锡东宝科技发展有限公司</t>
  </si>
  <si>
    <t>惠山区洛神路西侧、天奇路北侧</t>
  </si>
  <si>
    <t>无锡市二泉物流有限公司</t>
  </si>
  <si>
    <t>惠山区洛社镇园中路与规划道路交叉口西南侧</t>
  </si>
  <si>
    <t>无锡华光汽车部件集团有限公司</t>
  </si>
  <si>
    <t>惠山区玉祁街道祁北路与常玉路交叉口西北侧</t>
  </si>
  <si>
    <t>无锡惠山欧美智造产业园发展有限公司</t>
  </si>
  <si>
    <t>惠山区前洲街道钢铁支路东侧、徐渎河南侧</t>
  </si>
  <si>
    <t>迪瑞克斯座椅(江阴)有限公司</t>
  </si>
  <si>
    <t>惠山区堰畅路北侧、堰杰路西侧</t>
  </si>
  <si>
    <t>2018-07-26</t>
  </si>
  <si>
    <t>江苏弘诚特种纤维科技有限公司</t>
  </si>
  <si>
    <t>惠山区界泾河南侧、堰杰路西侧</t>
  </si>
  <si>
    <t>无锡市迪拓设备科技有限公司</t>
  </si>
  <si>
    <t>惠山区青杨路北侧、桥联数控西侧</t>
  </si>
  <si>
    <t>2018-07-16</t>
  </si>
  <si>
    <t>航天炬能(江苏)科技有限公司</t>
  </si>
  <si>
    <t>惠山区新三洲新材料东侧、锡澄运河西侧</t>
  </si>
  <si>
    <t>2018-05-28</t>
  </si>
  <si>
    <t>无锡合盛城市矿产有限公司</t>
  </si>
  <si>
    <t>惠山区玉祁街道中澜港东侧、中亚减震器南侧</t>
  </si>
  <si>
    <t>2018-05-18</t>
  </si>
  <si>
    <t>无锡市欧丰电梯配件有限公司</t>
  </si>
  <si>
    <t>惠山区洛社镇S342南侧、锡澄运河西侧</t>
  </si>
  <si>
    <t>1＜容积率＜2</t>
  </si>
  <si>
    <t>2018-05-10</t>
  </si>
  <si>
    <t>无锡市成达物流有限公司</t>
  </si>
  <si>
    <t>XDG(HS)-2017-39号地块</t>
  </si>
  <si>
    <t>2018-03-16</t>
  </si>
  <si>
    <t>无锡惠汕金属制品有限公司</t>
  </si>
  <si>
    <t>XDG(HS)-2017-32号地块</t>
  </si>
  <si>
    <t>2018-03-12</t>
  </si>
  <si>
    <t>无锡朗锐机电科技有限公司</t>
  </si>
  <si>
    <t>XDG(HS)-2017-18号地块</t>
  </si>
  <si>
    <t>2018-02-26</t>
  </si>
  <si>
    <t>江苏申华锦能源装备有限公司</t>
  </si>
  <si>
    <t>XDG(HS)-2017-36号地块</t>
  </si>
  <si>
    <t>2018-01-29</t>
  </si>
  <si>
    <t>XDG(HS)-2017-7号地块</t>
  </si>
  <si>
    <t>1＜容积率＜2.80</t>
  </si>
  <si>
    <t>2018-01-26</t>
  </si>
  <si>
    <t>无锡惠山新城生命科技产业发展有限公司</t>
  </si>
  <si>
    <t>XDG(HS)-2017-16号地块</t>
  </si>
  <si>
    <t>2018-01-05</t>
  </si>
  <si>
    <t>无锡市十六度智能科技有限公司</t>
  </si>
  <si>
    <t>XDG(HS)-2017-12号地块</t>
  </si>
  <si>
    <t>无锡市中亚减震器有限公司</t>
  </si>
  <si>
    <t>XDG(HS)-2017-15号地块</t>
  </si>
  <si>
    <t>无锡联拓增压技术有限公司</t>
  </si>
  <si>
    <t>XDG(HS)-2017-37号地块</t>
  </si>
  <si>
    <t>1.20＜容积率＜2</t>
  </si>
  <si>
    <t>2018-01-02</t>
  </si>
  <si>
    <t>无锡普惠仓储设施有限公司</t>
  </si>
  <si>
    <t>XDG(HS)-2015-21号地块</t>
  </si>
  <si>
    <t>无锡泓石高科发展有限公司</t>
  </si>
  <si>
    <t>XDG(HS)-2017-27号地块</t>
  </si>
  <si>
    <t>2017-12-22</t>
  </si>
  <si>
    <t>江苏志宏商贸市场管理有限公司</t>
  </si>
  <si>
    <t>XDG(HS)-2016-27号地块</t>
  </si>
  <si>
    <t>无锡市华翎电工机械设备有限公司</t>
  </si>
  <si>
    <t>XDG(HS)-2017-28号地块</t>
  </si>
  <si>
    <t>2017-12-18</t>
  </si>
  <si>
    <t>江苏奥天利新材料有限公司</t>
  </si>
  <si>
    <t>XDG(HS)-2017-17号地块</t>
  </si>
  <si>
    <t>无锡华顺民生食品有限公司</t>
  </si>
  <si>
    <t>XDG(HS)-2017-23号地块</t>
  </si>
  <si>
    <t>1＜容积率＜2.50</t>
  </si>
  <si>
    <t>无锡振特电子有限公司</t>
  </si>
  <si>
    <t>XDG(HS)-2017-34号地块</t>
  </si>
  <si>
    <t>江苏韦兰德特种装备科技有限公司</t>
  </si>
  <si>
    <t>XDG(HS)-2017-24号地块</t>
  </si>
  <si>
    <t>2017-12-01</t>
  </si>
  <si>
    <t>江苏普来得科技发展有限公司</t>
  </si>
  <si>
    <t>XDG(HS)-2017-29号地块</t>
  </si>
  <si>
    <t>上汽大通汽车有限公司</t>
  </si>
  <si>
    <t>单位面积地价</t>
  </si>
  <si>
    <t>正常</t>
  </si>
  <si>
    <t>工业</t>
    <phoneticPr fontId="34" type="noConversion"/>
  </si>
  <si>
    <t>未包含在土地购买价格中</t>
  </si>
  <si>
    <t>全部缴纳</t>
  </si>
  <si>
    <t>已包含在土地取得成本中</t>
  </si>
  <si>
    <t>成本法</t>
  </si>
  <si>
    <t>假设开发法</t>
  </si>
  <si>
    <t>项目全部</t>
  </si>
  <si>
    <t>抵押</t>
  </si>
  <si>
    <t>房地产抵押价值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</si>
</sst>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 fillId="0" borderId="0"/>
    <xf numFmtId="0" fontId="57" fillId="0" borderId="0"/>
  </cellStyleXfs>
  <cellXfs count="329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38"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99" fillId="0" borderId="9" xfId="0" applyNumberFormat="1" applyFont="1" applyFill="1" applyBorder="1" applyAlignment="1" applyProtection="1">
      <alignment horizontal="center" vertical="center" wrapText="1"/>
      <protection locked="0"/>
    </xf>
    <xf numFmtId="0" fontId="0" fillId="9" borderId="0" xfId="0" applyFill="1">
      <alignment vertical="center"/>
    </xf>
    <xf numFmtId="0" fontId="57" fillId="0" borderId="0" xfId="18"/>
    <xf numFmtId="0" fontId="57" fillId="9" borderId="0" xfId="18" applyFill="1"/>
    <xf numFmtId="0" fontId="0" fillId="5" borderId="0" xfId="0" applyFill="1">
      <alignment vertical="center"/>
    </xf>
    <xf numFmtId="0" fontId="57" fillId="5" borderId="0" xfId="18" applyFill="1"/>
    <xf numFmtId="0" fontId="48" fillId="0" borderId="24" xfId="10" applyFont="1" applyBorder="1" applyAlignment="1" applyProtection="1">
      <alignment horizontal="center" vertical="center"/>
      <protection locked="0"/>
    </xf>
    <xf numFmtId="183" fontId="255" fillId="0" borderId="1" xfId="0" applyNumberFormat="1" applyFont="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9">
    <cellStyle name="百分比 2" xfId="14" xr:uid="{00000000-0005-0000-0000-000000000000}"/>
    <cellStyle name="常规" xfId="0" builtinId="0"/>
    <cellStyle name="常规 10" xfId="18" xr:uid="{EAE5A883-AEAF-4468-BF07-3C2DCED15853}"/>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常规 9 2" xfId="17" xr:uid="{33B273A4-EB16-4E36-BB59-5637D6581984}"/>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488950</xdr:colOff>
      <xdr:row>17</xdr:row>
      <xdr:rowOff>76201</xdr:rowOff>
    </xdr:from>
    <xdr:to>
      <xdr:col>11</xdr:col>
      <xdr:colOff>0</xdr:colOff>
      <xdr:row>41</xdr:row>
      <xdr:rowOff>110996</xdr:rowOff>
    </xdr:to>
    <xdr:pic>
      <xdr:nvPicPr>
        <xdr:cNvPr id="3" name="图片 2">
          <a:extLst>
            <a:ext uri="{FF2B5EF4-FFF2-40B4-BE49-F238E27FC236}">
              <a16:creationId xmlns:a16="http://schemas.microsoft.com/office/drawing/2014/main" id="{79A083CA-5C2E-4163-805B-1D883A66DDDA}"/>
            </a:ext>
          </a:extLst>
        </xdr:cNvPr>
        <xdr:cNvPicPr>
          <a:picLocks noChangeAspect="1"/>
        </xdr:cNvPicPr>
      </xdr:nvPicPr>
      <xdr:blipFill>
        <a:blip xmlns:r="http://schemas.openxmlformats.org/officeDocument/2006/relationships" r:embed="rId1"/>
        <a:stretch>
          <a:fillRect/>
        </a:stretch>
      </xdr:blipFill>
      <xdr:spPr>
        <a:xfrm>
          <a:off x="488950" y="3098801"/>
          <a:ext cx="7270750" cy="43019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13</xdr:col>
      <xdr:colOff>414136</xdr:colOff>
      <xdr:row>15</xdr:row>
      <xdr:rowOff>135876</xdr:rowOff>
    </xdr:to>
    <xdr:pic>
      <xdr:nvPicPr>
        <xdr:cNvPr id="7" name="图片 6">
          <a:extLst>
            <a:ext uri="{FF2B5EF4-FFF2-40B4-BE49-F238E27FC236}">
              <a16:creationId xmlns:a16="http://schemas.microsoft.com/office/drawing/2014/main" id="{E17972A6-D92C-494D-B380-15547D22FA73}"/>
            </a:ext>
          </a:extLst>
        </xdr:cNvPr>
        <xdr:cNvPicPr>
          <a:picLocks noChangeAspect="1"/>
        </xdr:cNvPicPr>
      </xdr:nvPicPr>
      <xdr:blipFill>
        <a:blip xmlns:r="http://schemas.openxmlformats.org/officeDocument/2006/relationships" r:embed="rId1"/>
        <a:stretch>
          <a:fillRect/>
        </a:stretch>
      </xdr:blipFill>
      <xdr:spPr>
        <a:xfrm>
          <a:off x="127000" y="0"/>
          <a:ext cx="8211936" cy="2802876"/>
        </a:xfrm>
        <a:prstGeom prst="rect">
          <a:avLst/>
        </a:prstGeom>
      </xdr:spPr>
    </xdr:pic>
    <xdr:clientData/>
  </xdr:twoCellAnchor>
  <xdr:twoCellAnchor editAs="oneCell">
    <xdr:from>
      <xdr:col>0</xdr:col>
      <xdr:colOff>207864</xdr:colOff>
      <xdr:row>15</xdr:row>
      <xdr:rowOff>133351</xdr:rowOff>
    </xdr:from>
    <xdr:to>
      <xdr:col>12</xdr:col>
      <xdr:colOff>328469</xdr:colOff>
      <xdr:row>36</xdr:row>
      <xdr:rowOff>25401</xdr:rowOff>
    </xdr:to>
    <xdr:pic>
      <xdr:nvPicPr>
        <xdr:cNvPr id="8" name="图片 7">
          <a:extLst>
            <a:ext uri="{FF2B5EF4-FFF2-40B4-BE49-F238E27FC236}">
              <a16:creationId xmlns:a16="http://schemas.microsoft.com/office/drawing/2014/main" id="{EF210B09-A048-4516-84C4-5D6D63AFCBDF}"/>
            </a:ext>
          </a:extLst>
        </xdr:cNvPr>
        <xdr:cNvPicPr>
          <a:picLocks noChangeAspect="1"/>
        </xdr:cNvPicPr>
      </xdr:nvPicPr>
      <xdr:blipFill>
        <a:blip xmlns:r="http://schemas.openxmlformats.org/officeDocument/2006/relationships" r:embed="rId2"/>
        <a:stretch>
          <a:fillRect/>
        </a:stretch>
      </xdr:blipFill>
      <xdr:spPr>
        <a:xfrm>
          <a:off x="207864" y="2800351"/>
          <a:ext cx="7435805" cy="3625850"/>
        </a:xfrm>
        <a:prstGeom prst="rect">
          <a:avLst/>
        </a:prstGeom>
      </xdr:spPr>
    </xdr:pic>
    <xdr:clientData/>
  </xdr:twoCellAnchor>
  <xdr:twoCellAnchor editAs="oneCell">
    <xdr:from>
      <xdr:col>0</xdr:col>
      <xdr:colOff>158750</xdr:colOff>
      <xdr:row>36</xdr:row>
      <xdr:rowOff>44450</xdr:rowOff>
    </xdr:from>
    <xdr:to>
      <xdr:col>17</xdr:col>
      <xdr:colOff>398262</xdr:colOff>
      <xdr:row>56</xdr:row>
      <xdr:rowOff>109749</xdr:rowOff>
    </xdr:to>
    <xdr:pic>
      <xdr:nvPicPr>
        <xdr:cNvPr id="9" name="图片 8">
          <a:extLst>
            <a:ext uri="{FF2B5EF4-FFF2-40B4-BE49-F238E27FC236}">
              <a16:creationId xmlns:a16="http://schemas.microsoft.com/office/drawing/2014/main" id="{59738D4B-53EC-44BA-8AB5-379EFC12311F}"/>
            </a:ext>
          </a:extLst>
        </xdr:cNvPr>
        <xdr:cNvPicPr>
          <a:picLocks noChangeAspect="1"/>
        </xdr:cNvPicPr>
      </xdr:nvPicPr>
      <xdr:blipFill>
        <a:blip xmlns:r="http://schemas.openxmlformats.org/officeDocument/2006/relationships" r:embed="rId3"/>
        <a:stretch>
          <a:fillRect/>
        </a:stretch>
      </xdr:blipFill>
      <xdr:spPr>
        <a:xfrm>
          <a:off x="158750" y="6445250"/>
          <a:ext cx="10602712" cy="362129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84" customWidth="1"/>
    <col min="2" max="2" width="81" style="1601" customWidth="1"/>
    <col min="3" max="16384" width="9" style="1599"/>
  </cols>
  <sheetData>
    <row r="1" spans="1:2" s="1587" customFormat="1" ht="16" thickBot="1">
      <c r="A1" s="1586" t="s">
        <v>1214</v>
      </c>
      <c r="B1" s="1585" t="s">
        <v>1293</v>
      </c>
    </row>
    <row r="2" spans="1:2" s="1590" customFormat="1" ht="15.5" thickTop="1">
      <c r="A2" s="1588" t="s">
        <v>1215</v>
      </c>
      <c r="B2" s="1589" t="str">
        <f>'预评函-封皮'!B37:I37</f>
        <v>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5" thickBot="1">
      <c r="A5" s="1594" t="s">
        <v>1218</v>
      </c>
      <c r="B5" s="1595" t="str">
        <f>'预评函-封皮'!B49</f>
        <v>康正预评字号</v>
      </c>
    </row>
    <row r="6" spans="1:2" s="1590" customFormat="1" ht="15.5" thickTop="1">
      <c r="A6" s="1588" t="s">
        <v>1219</v>
      </c>
      <c r="B6" s="1589" t="str">
        <f>'预评函-1'!A4</f>
        <v>受贵公司委托，我公司对出让国有建设用地使用权及在建建筑物房地产抵押价值进行了预评估。</v>
      </c>
    </row>
    <row r="7" spans="1:2" s="1593" customFormat="1">
      <c r="A7" s="1591" t="s">
        <v>1259</v>
      </c>
      <c r="B7" s="1592" t="str">
        <f>'预评函-1'!A7</f>
        <v>估价对象为出让国有建设用地使用权及在建建筑物房地产，为所有。根据《国有土地使用证》[]，估价对象（分摊）出让国有建设用地使用权面积为62695.5平方米，建筑面积为70116平方米。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出让国有建设用地使用权及在建建筑物房地产,为开发建设的，该项目尚在开发建设中。根据《国有土地使用证》[]，估价对象（分摊）出让国有建设用地使用权面积为62695.5平方米，规划建筑面积为70116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2020年2月7日</v>
      </c>
    </row>
    <row r="13" spans="1:2" s="1593" customFormat="1">
      <c r="A13" s="1591" t="s">
        <v>1222</v>
      </c>
      <c r="B13" s="1592" t="str">
        <f>'预评函-1'!A18</f>
        <v>本次估价的“房地产价值”是指在正常市场情况下，在价值时点2020年2月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5" thickBot="1">
      <c r="A18" s="1594" t="s">
        <v>1227</v>
      </c>
      <c r="B18" s="1595" t="str">
        <f>'预评函-1'!A24</f>
        <v>本次评估采用的主估价方法为成本法和假设开发法。</v>
      </c>
    </row>
    <row r="19" spans="1:2" s="1590" customFormat="1" ht="15.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23438</v>
      </c>
    </row>
    <row r="21" spans="1:2" s="1593" customFormat="1">
      <c r="A21" s="1591" t="s">
        <v>1230</v>
      </c>
      <c r="B21" s="1592">
        <f ca="1">'预评函-2'!D7</f>
        <v>3343</v>
      </c>
    </row>
    <row r="22" spans="1:2" s="1593" customFormat="1">
      <c r="A22" s="1591" t="s">
        <v>1231</v>
      </c>
      <c r="B22" s="1592" t="str">
        <f ca="1">'预评函-2'!D6</f>
        <v>贰亿叁仟肆佰叁拾捌万元整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23438</v>
      </c>
    </row>
    <row r="31" spans="1:2" s="1593" customFormat="1">
      <c r="A31" s="1591" t="s">
        <v>1269</v>
      </c>
      <c r="B31" s="1592">
        <f ca="1">'预评函-2'!D15</f>
        <v>3343</v>
      </c>
    </row>
    <row r="32" spans="1:2" s="1593" customFormat="1">
      <c r="A32" s="1591" t="s">
        <v>1236</v>
      </c>
      <c r="B32" s="1592" t="str">
        <f ca="1">'预评函-2'!D14</f>
        <v>贰亿叁仟肆佰叁拾捌万元整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出让国有建设用地使用权及在建建筑物房地产</v>
      </c>
    </row>
    <row r="42" spans="1:2" s="1593" customFormat="1" ht="30">
      <c r="A42" s="1591" t="s">
        <v>1283</v>
      </c>
      <c r="B42" s="1592" t="str">
        <f>'预评函-3'!B2</f>
        <v>建筑面积</v>
      </c>
    </row>
    <row r="43" spans="1:2" s="1593" customFormat="1">
      <c r="A43" s="1591" t="s">
        <v>1284</v>
      </c>
      <c r="B43" s="1592">
        <f>'预评函-3'!B4</f>
        <v>70116</v>
      </c>
    </row>
    <row r="44" spans="1:2" s="1593" customFormat="1" ht="30">
      <c r="A44" s="1591" t="s">
        <v>1268</v>
      </c>
      <c r="B44" s="1592" t="str">
        <f>'预评函-3'!C2</f>
        <v>(分摊)土地面积</v>
      </c>
    </row>
    <row r="45" spans="1:2" s="1593" customFormat="1">
      <c r="A45" s="1591" t="s">
        <v>1240</v>
      </c>
      <c r="B45" s="1592">
        <f>'预评函-3'!C4</f>
        <v>62695.5</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5" thickBot="1">
      <c r="A57" s="1594" t="s">
        <v>1292</v>
      </c>
      <c r="B57" s="1595" t="str">
        <f>'预评函-3'!A6</f>
        <v>估价师知悉的法定优先受偿款</v>
      </c>
    </row>
    <row r="58" spans="1:2" s="1590" customFormat="1" ht="15.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5" thickBot="1">
      <c r="A69" s="1594" t="s">
        <v>1254</v>
      </c>
      <c r="B69" s="1596">
        <f>'预评函-4'!C31</f>
        <v>42551</v>
      </c>
    </row>
    <row r="70" spans="1:2" ht="15.5" thickTop="1">
      <c r="A70" s="1597" t="s">
        <v>1255</v>
      </c>
      <c r="B70" s="1598">
        <f>'预评函-4'!A4</f>
        <v>0</v>
      </c>
    </row>
    <row r="71" spans="1:2">
      <c r="A71" s="1591" t="s">
        <v>1256</v>
      </c>
      <c r="B71" s="1592">
        <f>'预评函-4'!B4</f>
        <v>0</v>
      </c>
    </row>
    <row r="72" spans="1:2">
      <c r="A72" s="1591" t="s">
        <v>1257</v>
      </c>
      <c r="B72" s="1600">
        <f>'预评函-4'!A5</f>
        <v>0</v>
      </c>
    </row>
    <row r="73" spans="1:2" s="1587" customFormat="1" ht="15.5" thickBot="1">
      <c r="A73" s="1594" t="s">
        <v>1258</v>
      </c>
      <c r="B73" s="1595">
        <f>'预评函-4'!B5</f>
        <v>0</v>
      </c>
    </row>
    <row r="74" spans="1:2" ht="15.5" thickTop="1">
      <c r="A74" s="1584" t="s">
        <v>1294</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3" sqref="D13"/>
    </sheetView>
  </sheetViews>
  <sheetFormatPr defaultColWidth="9" defaultRowHeight="14"/>
  <cols>
    <col min="1" max="1" width="13.453125" style="2023" customWidth="1"/>
    <col min="2" max="2" width="23.1796875" style="1974" customWidth="1"/>
    <col min="3" max="3" width="13" style="2018" customWidth="1"/>
    <col min="4" max="4" width="5.81640625" style="2015" customWidth="1"/>
    <col min="5" max="5" width="7.08984375" style="2015" customWidth="1"/>
    <col min="6" max="6" width="10.6328125" style="2015" customWidth="1"/>
    <col min="7" max="7" width="7.453125" style="2015" customWidth="1"/>
    <col min="8" max="8" width="9" style="2018" customWidth="1"/>
    <col min="9" max="9" width="11.6328125" style="2018" customWidth="1"/>
    <col min="10" max="10" width="9" style="2018" customWidth="1"/>
    <col min="11" max="19" width="9" style="2015" customWidth="1"/>
    <col min="20" max="23" width="9" style="2018" customWidth="1"/>
    <col min="24" max="24" width="21.08984375" style="1974" customWidth="1"/>
    <col min="25" max="16384" width="9" style="1974"/>
  </cols>
  <sheetData>
    <row r="1" spans="1:23" s="2012" customFormat="1" ht="2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1" t="s">
        <v>860</v>
      </c>
      <c r="C54" s="2018" t="s">
        <v>1276</v>
      </c>
    </row>
    <row r="55" spans="1:4">
      <c r="A55" s="3008"/>
      <c r="B55" s="2021" t="s">
        <v>861</v>
      </c>
      <c r="C55" s="2018" t="s">
        <v>1277</v>
      </c>
    </row>
    <row r="56" spans="1:4">
      <c r="A56" s="3008"/>
      <c r="B56" s="2021" t="s">
        <v>862</v>
      </c>
      <c r="C56" s="2018" t="s">
        <v>1281</v>
      </c>
    </row>
    <row r="57" spans="1:4">
      <c r="A57" s="3008"/>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7" zoomScaleNormal="100" zoomScaleSheetLayoutView="100" workbookViewId="0">
      <selection activeCell="C17" sqref="C17"/>
    </sheetView>
  </sheetViews>
  <sheetFormatPr defaultColWidth="10" defaultRowHeight="18" customHeight="1"/>
  <cols>
    <col min="1" max="1" width="14.90625" style="2031" customWidth="1"/>
    <col min="2" max="2" width="10" style="2031" customWidth="1"/>
    <col min="3" max="3" width="11.453125" style="2031" customWidth="1"/>
    <col min="4" max="6" width="10" style="2031" customWidth="1"/>
    <col min="7" max="7" width="10.81640625" style="2031" customWidth="1"/>
    <col min="8" max="8" width="10" style="2031" customWidth="1"/>
    <col min="9" max="9" width="11.08984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09" t="str">
        <f>IF(B10="北京市","北京市",C10)&amp;F10&amp;IF(结果表!G1="在建","出让国有建设用地使用权及在建建筑物",IF(结果表!G1="土地","出让国有建设用地使用权",))&amp;B9&amp;"预评估"</f>
        <v>出让国有建设用地使用权及在建建筑物房地产抵押价值预评估</v>
      </c>
      <c r="C1" s="3010"/>
      <c r="D1" s="3010"/>
      <c r="E1" s="3010"/>
      <c r="F1" s="3010"/>
      <c r="G1" s="3010"/>
      <c r="H1" s="3010"/>
      <c r="I1" s="301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1772</v>
      </c>
      <c r="B3" s="2035"/>
      <c r="C3" s="2036" t="s">
        <v>1773</v>
      </c>
      <c r="D3" s="2035">
        <v>43868</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3246</v>
      </c>
      <c r="C8" s="2055"/>
      <c r="D8" s="3012" t="s">
        <v>1779</v>
      </c>
      <c r="E8" s="2056" t="s">
        <v>3247</v>
      </c>
      <c r="F8" s="2057"/>
      <c r="G8" s="2025"/>
      <c r="H8" s="2025"/>
      <c r="I8" s="2025"/>
      <c r="J8" s="2041"/>
      <c r="K8" s="2042"/>
      <c r="L8" s="2027"/>
      <c r="M8" s="2027"/>
      <c r="N8" s="2028"/>
      <c r="O8" s="2029"/>
      <c r="P8" s="2028"/>
      <c r="Q8" s="2028"/>
      <c r="R8" s="2028"/>
    </row>
    <row r="9" spans="1:19" ht="18" customHeight="1" thickBot="1">
      <c r="A9" s="2039" t="s">
        <v>1780</v>
      </c>
      <c r="B9" s="2058" t="s">
        <v>3247</v>
      </c>
      <c r="C9" s="2059"/>
      <c r="D9" s="3013"/>
      <c r="E9" s="2058" t="s">
        <v>70</v>
      </c>
      <c r="F9" s="2060"/>
      <c r="G9" s="2061"/>
      <c r="H9" s="2061"/>
      <c r="I9" s="2061"/>
      <c r="J9" s="2041"/>
      <c r="K9" s="2053"/>
      <c r="L9" s="2027"/>
      <c r="M9" s="2027"/>
      <c r="N9" s="2028"/>
      <c r="O9" s="2029"/>
      <c r="P9" s="2028"/>
      <c r="Q9" s="2028"/>
      <c r="R9" s="2028"/>
    </row>
    <row r="10" spans="1:19" ht="18" customHeight="1" thickTop="1">
      <c r="A10" s="2062" t="s">
        <v>1781</v>
      </c>
      <c r="B10" s="2063"/>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3054</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c r="H13" s="2079"/>
      <c r="I13" s="1047">
        <v>61379</v>
      </c>
      <c r="J13" s="2041"/>
      <c r="K13" s="2053"/>
      <c r="L13" s="2027"/>
      <c r="M13" s="2027"/>
      <c r="N13" s="2028"/>
      <c r="O13" s="2029"/>
      <c r="P13" s="2028"/>
      <c r="Q13" s="2028"/>
      <c r="R13" s="2028"/>
    </row>
    <row r="14" spans="1:19" ht="18" customHeight="1">
      <c r="A14" s="2076"/>
      <c r="B14" s="2077"/>
      <c r="C14" s="2078" t="s">
        <v>1793</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47.97</v>
      </c>
      <c r="J15" s="2041"/>
      <c r="K15" s="2082"/>
      <c r="L15" s="2083"/>
      <c r="M15" s="2083"/>
      <c r="N15" s="2084"/>
      <c r="O15" s="2083"/>
      <c r="P15" s="2084"/>
      <c r="Q15" s="2028"/>
      <c r="R15" s="2028"/>
    </row>
    <row r="16" spans="1:19" ht="30.75" customHeight="1">
      <c r="A16" s="2065" t="s">
        <v>1795</v>
      </c>
      <c r="B16" s="3019"/>
      <c r="C16" s="3020"/>
      <c r="D16" s="3021"/>
      <c r="E16" s="2085" t="s">
        <v>1796</v>
      </c>
      <c r="F16" s="3022"/>
      <c r="G16" s="3023"/>
      <c r="H16" s="3023"/>
      <c r="I16" s="3024"/>
      <c r="J16" s="2028"/>
      <c r="K16" s="2082"/>
      <c r="L16" s="2083"/>
      <c r="M16" s="2083"/>
      <c r="N16" s="2084"/>
      <c r="O16" s="2083"/>
      <c r="P16" s="2084"/>
      <c r="Q16" s="2028"/>
      <c r="R16" s="2028"/>
    </row>
    <row r="17" spans="1:22" ht="18" customHeight="1">
      <c r="A17" s="2086" t="s">
        <v>1797</v>
      </c>
      <c r="B17" s="2034" t="s">
        <v>1798</v>
      </c>
      <c r="C17" s="1054">
        <f>'数据-汇总表'!E3</f>
        <v>70116</v>
      </c>
      <c r="D17" s="2087" t="s">
        <v>1799</v>
      </c>
      <c r="E17" s="3025" t="s">
        <v>1800</v>
      </c>
      <c r="F17" s="3026"/>
      <c r="G17" s="3026"/>
      <c r="H17" s="3026"/>
      <c r="I17" s="3027"/>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62695.5</v>
      </c>
      <c r="D18" s="2090" t="s">
        <v>1799</v>
      </c>
      <c r="E18" s="3028" t="s">
        <v>1803</v>
      </c>
      <c r="F18" s="3029"/>
      <c r="G18" s="3029"/>
      <c r="H18" s="3029"/>
      <c r="I18" s="3030"/>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15" t="s">
        <v>1808</v>
      </c>
      <c r="C20" s="3016"/>
      <c r="D20" s="3017" t="s">
        <v>1809</v>
      </c>
      <c r="E20" s="3018"/>
      <c r="F20" s="2097" t="s">
        <v>1810</v>
      </c>
      <c r="G20" s="2041"/>
      <c r="H20" s="2041"/>
      <c r="I20" s="2041"/>
      <c r="J20" s="2041"/>
      <c r="K20" s="301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2"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2"/>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2"/>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3"/>
      <c r="B30" s="2034" t="s">
        <v>1827</v>
      </c>
      <c r="C30" s="3034"/>
      <c r="D30" s="3035"/>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6"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7"/>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7"/>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31" t="s">
        <v>1837</v>
      </c>
      <c r="T34" s="2134" t="str">
        <f>NUMBERSTRING(7-K34,1)&amp;"通"</f>
        <v>七通</v>
      </c>
      <c r="U34" s="2028"/>
      <c r="V34" s="2028"/>
    </row>
    <row r="35" spans="1:22" ht="18" customHeight="1">
      <c r="A35" s="2135"/>
      <c r="B35" s="3038" t="s">
        <v>1838</v>
      </c>
      <c r="C35" s="3038"/>
      <c r="D35" s="3038"/>
      <c r="E35" s="3038"/>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1"/>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 sqref="E2"/>
    </sheetView>
  </sheetViews>
  <sheetFormatPr defaultColWidth="8.90625" defaultRowHeight="14"/>
  <cols>
    <col min="1" max="1" width="10.6328125" style="2159" customWidth="1"/>
    <col min="2" max="2" width="11" style="2159" customWidth="1"/>
    <col min="3" max="3" width="10.36328125" style="2159" customWidth="1"/>
    <col min="4" max="4" width="9.08984375" style="2159" customWidth="1"/>
    <col min="5" max="6" width="10" style="2222" customWidth="1"/>
    <col min="7" max="8" width="10" style="2159" customWidth="1"/>
    <col min="9" max="9" width="10.6328125" style="2159" customWidth="1"/>
    <col min="10" max="10" width="9.453125" style="2159" customWidth="1"/>
    <col min="11" max="11" width="11" style="2159" customWidth="1"/>
    <col min="12" max="14" width="9.453125" style="2159" customWidth="1"/>
    <col min="15" max="15" width="9.90625" style="2159" customWidth="1"/>
    <col min="16" max="16" width="9.81640625" style="2159" customWidth="1"/>
    <col min="17" max="17" width="9.36328125" style="2159" customWidth="1"/>
    <col min="18" max="18" width="9.1796875" style="2159" customWidth="1"/>
    <col min="19" max="19" width="10.90625" style="2159" customWidth="1"/>
    <col min="20" max="21" width="10.81640625" style="2159" customWidth="1"/>
    <col min="22" max="22" width="10.90625" style="2159" customWidth="1"/>
    <col min="23" max="27" width="10.81640625" style="2159" customWidth="1"/>
    <col min="28" max="28" width="10.90625" style="2159" customWidth="1"/>
    <col min="29" max="29" width="11" style="2159" bestFit="1" customWidth="1"/>
    <col min="30" max="30" width="10" style="2159" bestFit="1" customWidth="1"/>
    <col min="31" max="31" width="9.81640625" style="2159" customWidth="1"/>
    <col min="32" max="46" width="9.453125" style="2159" customWidth="1"/>
    <col min="47" max="47" width="18.08984375" style="2159" customWidth="1"/>
    <col min="48" max="50" width="9.81640625" style="2159" customWidth="1"/>
    <col min="51" max="55" width="10.453125" style="2159" bestFit="1" customWidth="1"/>
    <col min="56" max="56" width="9.453125" style="2159" bestFit="1" customWidth="1"/>
    <col min="57" max="63" width="9.08984375" style="2159" bestFit="1" customWidth="1"/>
    <col min="64" max="64" width="9.453125" style="2159" bestFit="1" customWidth="1"/>
    <col min="65" max="65" width="9.08984375" style="2159" bestFit="1" customWidth="1"/>
    <col min="66" max="66" width="9.453125" style="2159" bestFit="1" customWidth="1"/>
    <col min="67" max="69" width="9.08984375" style="2159" bestFit="1" customWidth="1"/>
    <col min="70" max="70" width="9.453125" style="2159" bestFit="1" customWidth="1"/>
    <col min="71" max="71" width="9" style="2159" customWidth="1"/>
    <col min="72" max="72" width="9.08984375" style="2159" bestFit="1" customWidth="1"/>
    <col min="73" max="16384" width="8.90625" style="2159"/>
  </cols>
  <sheetData>
    <row r="1" spans="1:72" ht="21">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6">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5">
      <c r="A3" s="13">
        <v>62695.5</v>
      </c>
      <c r="B3" s="14">
        <f>IF(C3="否",G5-AT5,G5)</f>
        <v>70116</v>
      </c>
      <c r="C3" s="2168" t="s">
        <v>3071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
      <c r="A5" s="15" t="s">
        <v>1873</v>
      </c>
      <c r="B5" s="1803"/>
      <c r="C5" s="1803"/>
      <c r="D5" s="1806"/>
      <c r="E5" s="16" t="s">
        <v>1</v>
      </c>
      <c r="F5" s="16">
        <f>SUM(F13:F587)</f>
        <v>0</v>
      </c>
      <c r="G5" s="16">
        <f>SUM(G13:G587)</f>
        <v>70116</v>
      </c>
      <c r="H5" s="16">
        <f t="shared" ref="H5:AT5" si="0">SUM(H13:H656)</f>
        <v>69600</v>
      </c>
      <c r="I5" s="16">
        <f t="shared" si="0"/>
        <v>69600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437</v>
      </c>
      <c r="AM5" s="16">
        <f t="shared" si="0"/>
        <v>0</v>
      </c>
      <c r="AN5" s="16">
        <f t="shared" si="0"/>
        <v>79</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70116</v>
      </c>
      <c r="BA5" s="18">
        <f t="shared" si="1"/>
        <v>69600</v>
      </c>
      <c r="BB5" s="18">
        <f t="shared" si="1"/>
        <v>69600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516</v>
      </c>
      <c r="BM5" s="18">
        <f t="shared" si="1"/>
        <v>0</v>
      </c>
      <c r="BN5" s="18">
        <f t="shared" si="1"/>
        <v>0</v>
      </c>
      <c r="BO5" s="18">
        <f t="shared" si="1"/>
        <v>0</v>
      </c>
      <c r="BP5" s="18">
        <f t="shared" si="1"/>
        <v>0</v>
      </c>
      <c r="BQ5" s="18">
        <f t="shared" si="1"/>
        <v>437</v>
      </c>
      <c r="BR5" s="18">
        <f t="shared" si="1"/>
        <v>79</v>
      </c>
      <c r="BS5" s="18">
        <f t="shared" si="1"/>
        <v>0</v>
      </c>
      <c r="BT5" s="19">
        <f t="shared" si="1"/>
        <v>0</v>
      </c>
    </row>
    <row r="6" spans="1:72" s="2177" customFormat="1" ht="13">
      <c r="A6" s="15" t="s">
        <v>1874</v>
      </c>
      <c r="B6" s="2174"/>
      <c r="C6" s="2174"/>
      <c r="D6" s="2175"/>
      <c r="E6" s="16">
        <f>H6+AC6+AT6</f>
        <v>62695.5</v>
      </c>
      <c r="F6" s="16" t="s">
        <v>1</v>
      </c>
      <c r="G6" s="16" t="s">
        <v>2</v>
      </c>
      <c r="H6" s="20">
        <f>SUMIF(I$12:AB$12,"总值",I6:AB6)</f>
        <v>62234.11</v>
      </c>
      <c r="I6" s="16">
        <f t="shared" ref="I6:AB6" si="2">ROUND($A$3*I5/$B$3,2)</f>
        <v>62234.11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461.39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390.75</v>
      </c>
      <c r="AM6" s="16">
        <f t="shared" si="3"/>
        <v>0</v>
      </c>
      <c r="AN6" s="16">
        <f t="shared" si="3"/>
        <v>70.64</v>
      </c>
      <c r="AO6" s="16">
        <f t="shared" si="3"/>
        <v>0</v>
      </c>
      <c r="AP6" s="16">
        <f t="shared" si="3"/>
        <v>0</v>
      </c>
      <c r="AQ6" s="16">
        <f t="shared" si="3"/>
        <v>0</v>
      </c>
      <c r="AR6" s="16">
        <f t="shared" si="3"/>
        <v>0</v>
      </c>
      <c r="AS6" s="16">
        <f t="shared" si="3"/>
        <v>0</v>
      </c>
      <c r="AT6" s="20">
        <f>IF(C3="是",ROUND($A$3*AT5/$B$3,2),0)</f>
        <v>0</v>
      </c>
      <c r="AU6" s="2176"/>
      <c r="AV6" s="15" t="s">
        <v>1874</v>
      </c>
      <c r="AW6" s="2174"/>
      <c r="AX6" s="2174"/>
      <c r="AY6" s="21">
        <f>IF(AY3&gt;0,AY3,ROUND($A$3*AZ5/$B$3,2))</f>
        <v>62695.5</v>
      </c>
      <c r="AZ6" s="16" t="s">
        <v>3</v>
      </c>
      <c r="BA6" s="16">
        <f>ROUND($AY$6*BA5/$AZ$5,2)</f>
        <v>62234.11</v>
      </c>
      <c r="BB6" s="16">
        <f>ROUND($AY$6*BB5/$AZ$5,2)</f>
        <v>62234.11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461.39</v>
      </c>
      <c r="BM6" s="16">
        <f t="shared" si="5"/>
        <v>0</v>
      </c>
      <c r="BN6" s="16">
        <f t="shared" si="5"/>
        <v>0</v>
      </c>
      <c r="BO6" s="16">
        <f t="shared" si="5"/>
        <v>0</v>
      </c>
      <c r="BP6" s="16">
        <f t="shared" si="5"/>
        <v>0</v>
      </c>
      <c r="BQ6" s="16">
        <f t="shared" si="5"/>
        <v>390.75</v>
      </c>
      <c r="BR6" s="16">
        <f t="shared" si="5"/>
        <v>70.64</v>
      </c>
      <c r="BS6" s="16">
        <f t="shared" si="5"/>
        <v>0</v>
      </c>
      <c r="BT6" s="22">
        <f t="shared" si="5"/>
        <v>0</v>
      </c>
    </row>
    <row r="7" spans="1:72" s="2167" customFormat="1" ht="26">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1882</v>
      </c>
      <c r="AV7" s="23" t="s">
        <v>1883</v>
      </c>
      <c r="AW7" s="2166" t="s">
        <v>1884</v>
      </c>
      <c r="AX7" s="23" t="s">
        <v>1877</v>
      </c>
      <c r="AY7" s="1803"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6">
      <c r="A8" s="2182"/>
      <c r="B8" s="2182"/>
      <c r="C8" s="2182"/>
      <c r="D8" s="2182"/>
      <c r="E8" s="2182"/>
      <c r="F8" s="2182"/>
      <c r="G8" s="2183" t="s">
        <v>1886</v>
      </c>
      <c r="H8" s="2184" t="s">
        <v>1887</v>
      </c>
      <c r="I8" s="2185"/>
      <c r="J8" s="1818"/>
      <c r="K8" s="1818"/>
      <c r="L8" s="1818"/>
      <c r="M8" s="1818"/>
      <c r="N8" s="1818"/>
      <c r="O8" s="1818"/>
      <c r="P8" s="1818"/>
      <c r="Q8" s="1818"/>
      <c r="R8" s="1818"/>
      <c r="S8" s="1818"/>
      <c r="T8" s="1818"/>
      <c r="U8" s="1818"/>
      <c r="V8" s="2186"/>
      <c r="W8" s="1818"/>
      <c r="X8" s="1818"/>
      <c r="Y8" s="1818"/>
      <c r="Z8" s="1818"/>
      <c r="AA8" s="2186"/>
      <c r="AB8" s="2187"/>
      <c r="AC8" s="981" t="s">
        <v>1888</v>
      </c>
      <c r="AD8" s="2188"/>
      <c r="AE8" s="2180"/>
      <c r="AF8" s="1818"/>
      <c r="AG8" s="1818"/>
      <c r="AH8" s="1818"/>
      <c r="AI8" s="1818"/>
      <c r="AJ8" s="1818"/>
      <c r="AK8" s="1818"/>
      <c r="AL8" s="1818"/>
      <c r="AM8" s="1818"/>
      <c r="AN8" s="1818"/>
      <c r="AO8" s="1818"/>
      <c r="AP8" s="1818"/>
      <c r="AQ8" s="1818"/>
      <c r="AR8" s="1818"/>
      <c r="AS8" s="1818"/>
      <c r="AT8" s="1292" t="s">
        <v>1889</v>
      </c>
      <c r="AU8" s="2182" t="s">
        <v>1890</v>
      </c>
      <c r="AV8" s="1292"/>
      <c r="AW8" s="2165"/>
      <c r="AX8" s="1292"/>
      <c r="AY8" s="2166"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
      <c r="A9" s="2182"/>
      <c r="B9" s="2182"/>
      <c r="C9" s="2182"/>
      <c r="D9" s="2182"/>
      <c r="E9" s="2182"/>
      <c r="F9" s="2182"/>
      <c r="G9" s="1292"/>
      <c r="H9" s="2190" t="s">
        <v>1893</v>
      </c>
      <c r="I9" s="2191" t="s">
        <v>3070</v>
      </c>
      <c r="J9" s="981"/>
      <c r="K9" s="2191"/>
      <c r="L9" s="981"/>
      <c r="M9" s="2191"/>
      <c r="N9" s="981"/>
      <c r="O9" s="2191"/>
      <c r="P9" s="981"/>
      <c r="Q9" s="2191"/>
      <c r="R9" s="981"/>
      <c r="S9" s="2191"/>
      <c r="T9" s="981"/>
      <c r="U9" s="2191"/>
      <c r="V9" s="981"/>
      <c r="W9" s="2191"/>
      <c r="X9" s="2192"/>
      <c r="Y9" s="2191"/>
      <c r="Z9" s="981"/>
      <c r="AA9" s="2191"/>
      <c r="AB9" s="981"/>
      <c r="AC9" s="2183"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3"/>
      <c r="AT9" s="2182"/>
      <c r="AU9" s="2182" t="s">
        <v>1896</v>
      </c>
      <c r="AV9" s="1292"/>
      <c r="AW9" s="2165"/>
      <c r="AX9" s="1292"/>
      <c r="AY9" s="28"/>
      <c r="AZ9" s="28" t="s">
        <v>1886</v>
      </c>
      <c r="BA9" s="2194" t="s">
        <v>1897</v>
      </c>
      <c r="BB9" s="2195"/>
      <c r="BC9" s="1338"/>
      <c r="BD9" s="1338"/>
      <c r="BE9" s="1338"/>
      <c r="BF9" s="1338"/>
      <c r="BG9" s="1338"/>
      <c r="BH9" s="1338"/>
      <c r="BI9" s="1338"/>
      <c r="BJ9" s="1338"/>
      <c r="BK9" s="2196"/>
      <c r="BL9" s="15" t="s">
        <v>1898</v>
      </c>
      <c r="BM9" s="1818"/>
      <c r="BN9" s="2185"/>
      <c r="BO9" s="1818"/>
      <c r="BP9" s="1818"/>
      <c r="BQ9" s="1818"/>
      <c r="BR9" s="1818"/>
      <c r="BS9" s="1818"/>
      <c r="BT9" s="26"/>
    </row>
    <row r="10" spans="1:72" s="2189" customFormat="1" ht="13">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1899</v>
      </c>
      <c r="AE10" s="2198"/>
      <c r="AF10" s="15" t="s">
        <v>1899</v>
      </c>
      <c r="AG10" s="2198"/>
      <c r="AH10" s="15" t="s">
        <v>1900</v>
      </c>
      <c r="AI10" s="2198"/>
      <c r="AJ10" s="15" t="s">
        <v>1900</v>
      </c>
      <c r="AK10" s="2198"/>
      <c r="AL10" s="15" t="s">
        <v>1901</v>
      </c>
      <c r="AM10" s="1298"/>
      <c r="AN10" s="15" t="s">
        <v>1901</v>
      </c>
      <c r="AO10" s="1298"/>
      <c r="AP10" s="15" t="s">
        <v>1902</v>
      </c>
      <c r="AQ10" s="1298"/>
      <c r="AR10" s="15" t="s">
        <v>1902</v>
      </c>
      <c r="AS10" s="1298"/>
      <c r="AT10" s="2182"/>
      <c r="AU10" s="2182"/>
      <c r="AV10" s="1292"/>
      <c r="AW10" s="2165"/>
      <c r="AX10" s="1292"/>
      <c r="AY10" s="28"/>
      <c r="AZ10" s="28"/>
      <c r="BA10" s="2199" t="s">
        <v>1893</v>
      </c>
      <c r="BB10" s="2200"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1903</v>
      </c>
      <c r="AE11" s="1819"/>
      <c r="AF11" s="2204" t="s">
        <v>1903</v>
      </c>
      <c r="AG11" s="1819"/>
      <c r="AH11" s="2204" t="s">
        <v>1904</v>
      </c>
      <c r="AI11" s="2205"/>
      <c r="AJ11" s="2204" t="s">
        <v>1904</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
      <c r="A12" s="2207"/>
      <c r="B12" s="2207"/>
      <c r="C12" s="2207"/>
      <c r="D12" s="2207"/>
      <c r="E12" s="2207"/>
      <c r="F12" s="2207"/>
      <c r="G12" s="30"/>
      <c r="H12" s="2208"/>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9"/>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7" t="s">
        <v>1906</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
      <c r="A13" s="1272"/>
      <c r="B13" s="1272"/>
      <c r="C13" s="1272" t="s">
        <v>3055</v>
      </c>
      <c r="D13" s="2213" t="s">
        <v>3071</v>
      </c>
      <c r="E13" s="16">
        <f>IF($C$3="是",ROUND($A$3*G13/$B$3,2),ROUND($A$3*(G13-AT13)/$B$3,2))</f>
        <v>2181.77</v>
      </c>
      <c r="F13" s="32"/>
      <c r="G13" s="33">
        <f>H13+AC13+AT13</f>
        <v>2440</v>
      </c>
      <c r="H13" s="20">
        <f>SUMIF(I$12:AB$12,"总值",I13:AB13)</f>
        <v>2440</v>
      </c>
      <c r="I13" s="2214">
        <v>2440</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9#厂房</v>
      </c>
      <c r="AY13" s="1806">
        <f>ROUND($AY$6*AZ13/$AZ$5,2)</f>
        <v>2181.77</v>
      </c>
      <c r="AZ13" s="16">
        <f>BA13+BL13</f>
        <v>2440</v>
      </c>
      <c r="BA13" s="16">
        <f>SUM(BB13:BK13)</f>
        <v>2440</v>
      </c>
      <c r="BB13" s="16">
        <f>IF($D13="是",I13-J13,0)</f>
        <v>2440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
      <c r="A14" s="1272"/>
      <c r="B14" s="1272"/>
      <c r="C14" s="2153" t="s">
        <v>3056</v>
      </c>
      <c r="D14" s="2213" t="s">
        <v>3071</v>
      </c>
      <c r="E14" s="16">
        <f>IF($C$3="是",ROUND($A$3*G14/$B$3,2),ROUND($A$3*(G14-AT14)/$B$3,2))</f>
        <v>2182.66</v>
      </c>
      <c r="F14" s="32"/>
      <c r="G14" s="33">
        <f>H14+AC14+AT14</f>
        <v>2441</v>
      </c>
      <c r="H14" s="20">
        <f>SUMIF(I$12:AB$12,"总值",I14:AB14)</f>
        <v>2441</v>
      </c>
      <c r="I14" s="2214">
        <v>2441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11#厂房</v>
      </c>
      <c r="AY14" s="1806">
        <f>ROUND($AY$6*AZ14/$AZ$5,2)</f>
        <v>2182.66</v>
      </c>
      <c r="AZ14" s="16">
        <f>BA14+BL14</f>
        <v>2441</v>
      </c>
      <c r="BA14" s="16">
        <f>SUM(BB14:BK14)</f>
        <v>2441</v>
      </c>
      <c r="BB14" s="16">
        <f>IF($D14="是",I14-J14,0)</f>
        <v>2441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
      <c r="A15" s="1272"/>
      <c r="B15" s="1272"/>
      <c r="C15" s="2153" t="s">
        <v>3057</v>
      </c>
      <c r="D15" s="2213" t="s">
        <v>3071</v>
      </c>
      <c r="E15" s="16">
        <f>IF($C$3="是",ROUND($A$3*G15/$B$3,2),ROUND($A$3*(G15-AT15)/$B$3,2))</f>
        <v>1488.79</v>
      </c>
      <c r="F15" s="32"/>
      <c r="G15" s="33">
        <f>H15+AC15+AT15</f>
        <v>1665</v>
      </c>
      <c r="H15" s="20">
        <f>SUMIF(I$12:AB$12,"总值",I15:AB15)</f>
        <v>1665</v>
      </c>
      <c r="I15" s="2214">
        <v>1665</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17#厂房</v>
      </c>
      <c r="AY15" s="1806">
        <f>ROUND($AY$6*AZ15/$AZ$5,2)</f>
        <v>1488.79</v>
      </c>
      <c r="AZ15" s="16">
        <f>BA15+BL15</f>
        <v>1665</v>
      </c>
      <c r="BA15" s="16">
        <f>SUM(BB15:BK15)</f>
        <v>1665</v>
      </c>
      <c r="BB15" s="16">
        <f>IF($D15="是",I15-J15,0)</f>
        <v>1665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
      <c r="A16" s="1272"/>
      <c r="B16" s="1272"/>
      <c r="C16" s="2153" t="s">
        <v>3058</v>
      </c>
      <c r="D16" s="2213" t="s">
        <v>3071</v>
      </c>
      <c r="E16" s="16">
        <f>IF($C$3="是",ROUND($A$3*G16/$B$3,2),ROUND($A$3*(G16-AT16)/$B$3,2))</f>
        <v>1478.06</v>
      </c>
      <c r="F16" s="32"/>
      <c r="G16" s="33">
        <f>H16+AC16+AT16</f>
        <v>1653</v>
      </c>
      <c r="H16" s="20">
        <f>SUMIF(I$12:AB$12,"总值",I16:AB16)</f>
        <v>1653</v>
      </c>
      <c r="I16" s="2214">
        <v>1653</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23#厂房</v>
      </c>
      <c r="AY16" s="1806">
        <f>ROUND($AY$6*AZ16/$AZ$5,2)</f>
        <v>1478.06</v>
      </c>
      <c r="AZ16" s="16">
        <f>BA16+BL16</f>
        <v>1653</v>
      </c>
      <c r="BA16" s="16">
        <f>SUM(BB16:BK16)</f>
        <v>1653</v>
      </c>
      <c r="BB16" s="16">
        <f>IF($D16="是",I16-J16,0)</f>
        <v>1653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
      <c r="A17" s="1272"/>
      <c r="B17" s="1272"/>
      <c r="C17" s="2153" t="s">
        <v>3059</v>
      </c>
      <c r="D17" s="2213" t="s">
        <v>3071</v>
      </c>
      <c r="E17" s="16">
        <f>IF($C$3="是",ROUND($A$3*G17/$B$3,2),ROUND($A$3*(G17-AT17)/$B$3,2))</f>
        <v>1830.36</v>
      </c>
      <c r="F17" s="32"/>
      <c r="G17" s="33">
        <f>H17+AC17+AT17</f>
        <v>2047</v>
      </c>
      <c r="H17" s="20">
        <f>SUMIF(I$12:AB$12,"总值",I17:AB17)</f>
        <v>2047</v>
      </c>
      <c r="I17" s="2214">
        <v>2047</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22#厂房</v>
      </c>
      <c r="AY17" s="1806">
        <f>ROUND($AY$6*AZ17/$AZ$5,2)</f>
        <v>1830.36</v>
      </c>
      <c r="AZ17" s="16">
        <f>BA17+BL17</f>
        <v>2047</v>
      </c>
      <c r="BA17" s="16">
        <f>SUM(BB17:BK17)</f>
        <v>2047</v>
      </c>
      <c r="BB17" s="16">
        <f>IF($D17="是",I17-J17,0)</f>
        <v>2047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3060</v>
      </c>
      <c r="D18" s="2213" t="s">
        <v>3071</v>
      </c>
      <c r="E18" s="35">
        <f t="shared" ref="E18:E112" si="7">IF($C$3="是",ROUND($A$3*G18/$B$3,2),ROUND($A$3*(G18-AT18)/$B$3,2))</f>
        <v>3660.72</v>
      </c>
      <c r="F18" s="36"/>
      <c r="G18" s="37">
        <f t="shared" ref="G18:G109" si="8">H18+AC18+AT18</f>
        <v>4094</v>
      </c>
      <c r="H18" s="38">
        <f t="shared" ref="H18:H109" si="9">SUMIF(I$12:AB$12,"总值",I18:AB18)</f>
        <v>4094</v>
      </c>
      <c r="I18" s="39">
        <v>4094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t="str">
        <f t="shared" ref="AX18:AX112" si="13">C18</f>
        <v>8#、16#厂房</v>
      </c>
      <c r="AY18" s="42">
        <f t="shared" ref="AY18:AY109" si="14">ROUND($AY$6*AZ18/$AZ$5,2)</f>
        <v>3660.72</v>
      </c>
      <c r="AZ18" s="35">
        <f t="shared" ref="AZ18:AZ109" si="15">BA18+BL18</f>
        <v>4094</v>
      </c>
      <c r="BA18" s="35">
        <f t="shared" ref="BA18:BA109" si="16">SUM(BB18:BK18)</f>
        <v>4094</v>
      </c>
      <c r="BB18" s="35">
        <f t="shared" ref="BB18:BB109" si="17">IF($D18="是",I18-J18,0)</f>
        <v>4094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5">
      <c r="A19" s="9"/>
      <c r="B19" s="34"/>
      <c r="C19" s="34" t="s">
        <v>3061</v>
      </c>
      <c r="D19" s="2213" t="s">
        <v>3071</v>
      </c>
      <c r="E19" s="35">
        <f t="shared" si="7"/>
        <v>1830.36</v>
      </c>
      <c r="F19" s="36"/>
      <c r="G19" s="37">
        <f t="shared" si="8"/>
        <v>2047</v>
      </c>
      <c r="H19" s="38">
        <f t="shared" si="9"/>
        <v>2047</v>
      </c>
      <c r="I19" s="39">
        <v>2047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t="str">
        <f t="shared" si="13"/>
        <v>10#厂房</v>
      </c>
      <c r="AY19" s="42">
        <f t="shared" si="14"/>
        <v>1830.36</v>
      </c>
      <c r="AZ19" s="35">
        <f t="shared" si="15"/>
        <v>2047</v>
      </c>
      <c r="BA19" s="35">
        <f t="shared" si="16"/>
        <v>2047</v>
      </c>
      <c r="BB19" s="35">
        <f t="shared" si="17"/>
        <v>2047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5">
      <c r="A20" s="9"/>
      <c r="B20" s="34"/>
      <c r="C20" s="34" t="s">
        <v>3062</v>
      </c>
      <c r="D20" s="2213" t="s">
        <v>3071</v>
      </c>
      <c r="E20" s="35">
        <f t="shared" si="7"/>
        <v>2920.35</v>
      </c>
      <c r="F20" s="36"/>
      <c r="G20" s="37">
        <f t="shared" si="8"/>
        <v>3266</v>
      </c>
      <c r="H20" s="38">
        <f t="shared" si="9"/>
        <v>3266</v>
      </c>
      <c r="I20" s="39">
        <v>3266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t="str">
        <f t="shared" si="13"/>
        <v>26#厂房</v>
      </c>
      <c r="AY20" s="42">
        <f t="shared" si="14"/>
        <v>2920.35</v>
      </c>
      <c r="AZ20" s="35">
        <f t="shared" si="15"/>
        <v>3266</v>
      </c>
      <c r="BA20" s="35">
        <f t="shared" si="16"/>
        <v>3266</v>
      </c>
      <c r="BB20" s="35">
        <f t="shared" si="17"/>
        <v>3266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34"/>
      <c r="C21" s="34" t="s">
        <v>3063</v>
      </c>
      <c r="D21" s="2213" t="s">
        <v>3071</v>
      </c>
      <c r="E21" s="35">
        <f t="shared" si="7"/>
        <v>3236.89</v>
      </c>
      <c r="F21" s="36"/>
      <c r="G21" s="37">
        <f t="shared" si="8"/>
        <v>3620</v>
      </c>
      <c r="H21" s="38">
        <f t="shared" si="9"/>
        <v>3620</v>
      </c>
      <c r="I21" s="39">
        <v>3620</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t="str">
        <f t="shared" si="13"/>
        <v>3#企业服务中心</v>
      </c>
      <c r="AY21" s="42">
        <f t="shared" si="14"/>
        <v>3236.89</v>
      </c>
      <c r="AZ21" s="35">
        <f t="shared" si="15"/>
        <v>3620</v>
      </c>
      <c r="BA21" s="35">
        <f t="shared" si="16"/>
        <v>3620</v>
      </c>
      <c r="BB21" s="35">
        <f t="shared" si="17"/>
        <v>3620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98">
      <c r="A22" s="9"/>
      <c r="B22" s="34"/>
      <c r="C22" s="34" t="s">
        <v>3064</v>
      </c>
      <c r="D22" s="2213" t="s">
        <v>3071</v>
      </c>
      <c r="E22" s="35">
        <f t="shared" si="7"/>
        <v>20024.900000000001</v>
      </c>
      <c r="F22" s="36"/>
      <c r="G22" s="37">
        <f t="shared" si="8"/>
        <v>22395</v>
      </c>
      <c r="H22" s="38">
        <f t="shared" si="9"/>
        <v>22395</v>
      </c>
      <c r="I22" s="39">
        <v>22395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t="str">
        <f t="shared" si="13"/>
        <v>6#、7#、14#、15#、18-21#、24#、25#、29#、30#厂房</v>
      </c>
      <c r="AY22" s="42">
        <f t="shared" si="14"/>
        <v>20024.900000000001</v>
      </c>
      <c r="AZ22" s="35">
        <f t="shared" si="15"/>
        <v>22395</v>
      </c>
      <c r="BA22" s="35">
        <f t="shared" si="16"/>
        <v>22395</v>
      </c>
      <c r="BB22" s="35">
        <f t="shared" si="17"/>
        <v>22395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58">
      <c r="A23" s="9"/>
      <c r="B23" s="34"/>
      <c r="C23" s="34" t="s">
        <v>3065</v>
      </c>
      <c r="D23" s="2213" t="s">
        <v>3071</v>
      </c>
      <c r="E23" s="35">
        <f t="shared" si="7"/>
        <v>13171.1</v>
      </c>
      <c r="F23" s="36"/>
      <c r="G23" s="37">
        <f t="shared" si="8"/>
        <v>14730</v>
      </c>
      <c r="H23" s="38">
        <f t="shared" si="9"/>
        <v>14730</v>
      </c>
      <c r="I23" s="39">
        <v>14730</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t="str">
        <f t="shared" si="13"/>
        <v>4#、5#、12#、13#、27#、28#厂房</v>
      </c>
      <c r="AY23" s="42">
        <f t="shared" si="14"/>
        <v>13171.1</v>
      </c>
      <c r="AZ23" s="35">
        <f t="shared" si="15"/>
        <v>14730</v>
      </c>
      <c r="BA23" s="35">
        <f t="shared" si="16"/>
        <v>14730</v>
      </c>
      <c r="BB23" s="35">
        <f t="shared" si="17"/>
        <v>14730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4.5">
      <c r="A24" s="9"/>
      <c r="B24" s="34"/>
      <c r="C24" s="34" t="s">
        <v>3066</v>
      </c>
      <c r="D24" s="2213" t="s">
        <v>3071</v>
      </c>
      <c r="E24" s="35">
        <f t="shared" si="7"/>
        <v>3640.16</v>
      </c>
      <c r="F24" s="36"/>
      <c r="G24" s="37">
        <f t="shared" si="8"/>
        <v>4071</v>
      </c>
      <c r="H24" s="38">
        <f t="shared" si="9"/>
        <v>4071</v>
      </c>
      <c r="I24" s="39">
        <v>4071</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t="str">
        <f t="shared" si="13"/>
        <v>1#厂房</v>
      </c>
      <c r="AY24" s="42">
        <f t="shared" si="14"/>
        <v>3640.16</v>
      </c>
      <c r="AZ24" s="35">
        <f t="shared" si="15"/>
        <v>4071</v>
      </c>
      <c r="BA24" s="35">
        <f t="shared" si="16"/>
        <v>4071</v>
      </c>
      <c r="BB24" s="35">
        <f t="shared" si="17"/>
        <v>4071</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4.5">
      <c r="A25" s="9"/>
      <c r="B25" s="34"/>
      <c r="C25" s="34" t="s">
        <v>3067</v>
      </c>
      <c r="D25" s="2213" t="s">
        <v>3071</v>
      </c>
      <c r="E25" s="35">
        <f t="shared" si="7"/>
        <v>4587.9799999999996</v>
      </c>
      <c r="F25" s="36"/>
      <c r="G25" s="37">
        <f t="shared" si="8"/>
        <v>5131</v>
      </c>
      <c r="H25" s="38">
        <f t="shared" si="9"/>
        <v>5131</v>
      </c>
      <c r="I25" s="39">
        <v>5131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t="str">
        <f t="shared" si="13"/>
        <v>2#厂房</v>
      </c>
      <c r="AY25" s="42">
        <f t="shared" si="14"/>
        <v>4587.9799999999996</v>
      </c>
      <c r="AZ25" s="35">
        <f t="shared" si="15"/>
        <v>5131</v>
      </c>
      <c r="BA25" s="35">
        <f t="shared" si="16"/>
        <v>5131</v>
      </c>
      <c r="BB25" s="35">
        <f t="shared" si="17"/>
        <v>5131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5" t="s">
        <v>3068</v>
      </c>
      <c r="D26" s="2213" t="s">
        <v>3071</v>
      </c>
      <c r="E26" s="35">
        <f t="shared" si="7"/>
        <v>373.76</v>
      </c>
      <c r="F26" s="36"/>
      <c r="G26" s="37">
        <f t="shared" si="8"/>
        <v>418</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418</v>
      </c>
      <c r="AD26" s="40"/>
      <c r="AE26" s="40"/>
      <c r="AF26" s="40"/>
      <c r="AG26" s="40"/>
      <c r="AH26" s="40"/>
      <c r="AI26" s="40"/>
      <c r="AJ26" s="40"/>
      <c r="AK26" s="40"/>
      <c r="AL26" s="40">
        <v>418</v>
      </c>
      <c r="AM26" s="40"/>
      <c r="AN26" s="40"/>
      <c r="AO26" s="40"/>
      <c r="AP26" s="40"/>
      <c r="AQ26" s="40"/>
      <c r="AR26" s="40"/>
      <c r="AS26" s="40"/>
      <c r="AT26" s="41"/>
      <c r="AU26" s="2219"/>
      <c r="AV26" s="1795">
        <f t="shared" si="11"/>
        <v>0</v>
      </c>
      <c r="AW26" s="1795">
        <f t="shared" si="12"/>
        <v>0</v>
      </c>
      <c r="AX26" s="1795" t="str">
        <f t="shared" si="13"/>
        <v>变配电室</v>
      </c>
      <c r="AY26" s="42">
        <f t="shared" si="14"/>
        <v>373.76</v>
      </c>
      <c r="AZ26" s="35">
        <f t="shared" si="15"/>
        <v>418</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418</v>
      </c>
      <c r="BM26" s="35">
        <f t="shared" si="28"/>
        <v>0</v>
      </c>
      <c r="BN26" s="35">
        <f t="shared" si="29"/>
        <v>0</v>
      </c>
      <c r="BO26" s="35">
        <f t="shared" si="30"/>
        <v>0</v>
      </c>
      <c r="BP26" s="35">
        <f t="shared" si="31"/>
        <v>0</v>
      </c>
      <c r="BQ26" s="35">
        <f t="shared" si="32"/>
        <v>418</v>
      </c>
      <c r="BR26" s="35">
        <f t="shared" si="33"/>
        <v>0</v>
      </c>
      <c r="BS26" s="35">
        <f t="shared" si="34"/>
        <v>0</v>
      </c>
      <c r="BT26" s="43">
        <f t="shared" si="35"/>
        <v>0</v>
      </c>
    </row>
    <row r="27" spans="1:72" ht="28">
      <c r="A27" s="9"/>
      <c r="B27" s="34"/>
      <c r="C27" s="2955" t="s">
        <v>3069</v>
      </c>
      <c r="D27" s="2213" t="s">
        <v>3071</v>
      </c>
      <c r="E27" s="35">
        <f t="shared" si="7"/>
        <v>87.63</v>
      </c>
      <c r="F27" s="36"/>
      <c r="G27" s="37">
        <f t="shared" si="8"/>
        <v>98</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98</v>
      </c>
      <c r="AD27" s="40"/>
      <c r="AE27" s="40"/>
      <c r="AF27" s="40"/>
      <c r="AG27" s="40"/>
      <c r="AH27" s="40"/>
      <c r="AI27" s="40"/>
      <c r="AJ27" s="40"/>
      <c r="AK27" s="40"/>
      <c r="AL27" s="40">
        <f>98-AN27</f>
        <v>19</v>
      </c>
      <c r="AM27" s="40"/>
      <c r="AN27" s="40">
        <v>79</v>
      </c>
      <c r="AO27" s="40"/>
      <c r="AP27" s="40"/>
      <c r="AQ27" s="40"/>
      <c r="AR27" s="40"/>
      <c r="AS27" s="40"/>
      <c r="AT27" s="41"/>
      <c r="AU27" s="2219"/>
      <c r="AV27" s="1795">
        <f t="shared" si="11"/>
        <v>0</v>
      </c>
      <c r="AW27" s="1795">
        <f t="shared" si="12"/>
        <v>0</v>
      </c>
      <c r="AX27" s="1795" t="str">
        <f t="shared" si="13"/>
        <v>消防水泵房</v>
      </c>
      <c r="AY27" s="42">
        <f t="shared" si="14"/>
        <v>87.63</v>
      </c>
      <c r="AZ27" s="35">
        <f t="shared" si="15"/>
        <v>98</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98</v>
      </c>
      <c r="BM27" s="35">
        <f t="shared" si="28"/>
        <v>0</v>
      </c>
      <c r="BN27" s="35">
        <f t="shared" si="29"/>
        <v>0</v>
      </c>
      <c r="BO27" s="35">
        <f t="shared" si="30"/>
        <v>0</v>
      </c>
      <c r="BP27" s="35">
        <f t="shared" si="31"/>
        <v>0</v>
      </c>
      <c r="BQ27" s="35">
        <f t="shared" si="32"/>
        <v>19</v>
      </c>
      <c r="BR27" s="35">
        <f t="shared" si="33"/>
        <v>79</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45">
      <c r="A3" s="3039"/>
      <c r="B3" s="3039"/>
      <c r="C3" s="3039"/>
      <c r="D3" s="3040"/>
      <c r="E3" s="3040"/>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1796875" defaultRowHeight="14"/>
  <cols>
    <col min="1" max="1" width="12.08984375" style="2226" customWidth="1"/>
    <col min="2" max="2" width="10.1796875" style="2226" customWidth="1"/>
    <col min="3" max="3" width="18.453125" style="2226" customWidth="1"/>
    <col min="4" max="4" width="11.6328125" style="2226" customWidth="1"/>
    <col min="5" max="5" width="13.36328125" style="2226" customWidth="1"/>
    <col min="6" max="8" width="11.453125" style="2226" customWidth="1"/>
    <col min="9" max="9" width="11.08984375" style="2226" customWidth="1"/>
    <col min="10" max="10" width="3.08984375" style="2226" customWidth="1"/>
    <col min="11" max="16" width="10" style="2226" customWidth="1"/>
    <col min="17" max="17" width="2.6328125" style="2226" customWidth="1"/>
    <col min="18" max="18" width="9.36328125" style="2226" bestFit="1" customWidth="1"/>
    <col min="19" max="19" width="10.453125" style="2226" bestFit="1" customWidth="1"/>
    <col min="20" max="16384" width="9.1796875" style="2226"/>
  </cols>
  <sheetData>
    <row r="1" spans="1:16" ht="18">
      <c r="A1" s="2225" t="s">
        <v>1932</v>
      </c>
      <c r="B1" s="1392"/>
      <c r="C1" s="1392"/>
      <c r="D1" s="1392"/>
      <c r="E1" s="1392"/>
      <c r="F1" s="1392"/>
      <c r="G1" s="1392"/>
      <c r="H1" s="1392"/>
      <c r="I1" s="1392"/>
      <c r="J1" s="1392"/>
      <c r="K1" s="1392"/>
      <c r="L1" s="1392"/>
      <c r="M1" s="1392"/>
      <c r="N1" s="1392"/>
      <c r="O1" s="1392"/>
      <c r="P1" s="1392"/>
    </row>
    <row r="2" spans="1:16">
      <c r="A2" s="3050" t="s">
        <v>1933</v>
      </c>
      <c r="B2" s="3050"/>
      <c r="C2" s="3050"/>
      <c r="D2" s="967" t="s">
        <v>1909</v>
      </c>
      <c r="E2" s="2227" t="s">
        <v>1910</v>
      </c>
      <c r="F2" s="1392"/>
      <c r="G2" s="2228"/>
      <c r="H2" s="2229"/>
      <c r="I2" s="2230" t="s">
        <v>1934</v>
      </c>
      <c r="J2" s="1392"/>
      <c r="K2" s="1392"/>
      <c r="L2" s="1392"/>
      <c r="M2" s="1392"/>
      <c r="N2" s="1427"/>
      <c r="O2" s="1392"/>
      <c r="P2" s="1392"/>
    </row>
    <row r="3" spans="1:16" ht="14.5" thickBot="1">
      <c r="A3" s="3051" t="s">
        <v>1907</v>
      </c>
      <c r="B3" s="3051"/>
      <c r="C3" s="3051"/>
      <c r="D3" s="46">
        <f>'数据-基础表'!AY6</f>
        <v>62695.5</v>
      </c>
      <c r="E3" s="46">
        <f>'数据-基础表'!AZ5</f>
        <v>70116</v>
      </c>
      <c r="F3" s="1392"/>
      <c r="G3" s="1399"/>
      <c r="H3" s="1247" t="s">
        <v>1908</v>
      </c>
      <c r="I3" s="55">
        <f>ROUND('数据-基础表'!B3/'数据-基础表'!A3,2)</f>
        <v>1.1200000000000001</v>
      </c>
      <c r="J3" s="1392"/>
      <c r="K3" s="1392"/>
      <c r="L3" s="1392"/>
      <c r="M3" s="1392"/>
      <c r="N3" s="1427"/>
      <c r="O3" s="1392"/>
      <c r="P3" s="1392"/>
    </row>
    <row r="4" spans="1:16">
      <c r="A4" s="3052"/>
      <c r="B4" s="3053"/>
      <c r="C4" s="3054"/>
      <c r="D4" s="2231" t="s">
        <v>1909</v>
      </c>
      <c r="E4" s="2232" t="s">
        <v>1910</v>
      </c>
      <c r="F4" s="1392"/>
      <c r="G4" s="2233" t="s">
        <v>1935</v>
      </c>
      <c r="H4" s="1247" t="s">
        <v>1915</v>
      </c>
      <c r="I4" s="55">
        <f>ROUND(SUMIF('数据-基础表'!I9:AS9,"地上",'数据-基础表'!I5:AS5)/'数据-基础表'!A3,2)</f>
        <v>1.1200000000000001</v>
      </c>
      <c r="J4" s="1392"/>
      <c r="K4" s="1392"/>
      <c r="L4" s="1392"/>
      <c r="M4" s="1392"/>
      <c r="N4" s="1427"/>
      <c r="O4" s="1392"/>
      <c r="P4" s="1392"/>
    </row>
    <row r="5" spans="1:16">
      <c r="A5" s="47" t="s">
        <v>1911</v>
      </c>
      <c r="B5" s="3055" t="s">
        <v>1912</v>
      </c>
      <c r="C5" s="3055"/>
      <c r="D5" s="48">
        <f>ROUND($D$3*E5/$E$3,2)</f>
        <v>0</v>
      </c>
      <c r="E5" s="49">
        <f>SUMIF('数据-基础表'!$11:$11,"住宅",'数据-基础表'!$5:$5)</f>
        <v>0</v>
      </c>
      <c r="F5" s="1392"/>
      <c r="G5" s="1399"/>
      <c r="H5" s="1247" t="s">
        <v>1908</v>
      </c>
      <c r="I5" s="55">
        <f>ROUND(E31/D31,2)</f>
        <v>1.1200000000000001</v>
      </c>
      <c r="J5" s="1392"/>
      <c r="K5" s="1392"/>
      <c r="L5" s="1392"/>
      <c r="M5" s="1392"/>
      <c r="N5" s="1392"/>
      <c r="O5" s="1392"/>
      <c r="P5" s="1392"/>
    </row>
    <row r="6" spans="1:16" ht="14.5" thickBot="1">
      <c r="A6" s="2234"/>
      <c r="B6" s="3055" t="s">
        <v>1913</v>
      </c>
      <c r="C6" s="3055"/>
      <c r="D6" s="48">
        <f>ROUND($D$3*E6/$E$3,2)</f>
        <v>62695.5</v>
      </c>
      <c r="E6" s="49">
        <f>E3-E5</f>
        <v>70116</v>
      </c>
      <c r="F6" s="1392"/>
      <c r="G6" s="2235" t="s">
        <v>1914</v>
      </c>
      <c r="H6" s="1399" t="s">
        <v>1915</v>
      </c>
      <c r="I6" s="939">
        <f>ROUND(F31/D31,2)</f>
        <v>1.1200000000000001</v>
      </c>
      <c r="J6" s="1392"/>
      <c r="K6" s="1392"/>
      <c r="L6" s="1392"/>
      <c r="M6" s="1392"/>
      <c r="N6" s="1392"/>
      <c r="O6" s="1392"/>
      <c r="P6" s="1392"/>
    </row>
    <row r="7" spans="1:16">
      <c r="A7" s="3047"/>
      <c r="B7" s="3048"/>
      <c r="C7" s="3049"/>
      <c r="D7" s="2231" t="s">
        <v>1909</v>
      </c>
      <c r="E7" s="2236" t="s">
        <v>1916</v>
      </c>
      <c r="F7" s="1392"/>
      <c r="G7" s="2228" t="s">
        <v>1917</v>
      </c>
      <c r="H7" s="64"/>
      <c r="I7" s="420"/>
      <c r="J7" s="1392"/>
      <c r="K7" s="1392"/>
      <c r="L7" s="1392"/>
      <c r="M7" s="1392"/>
      <c r="N7" s="1392"/>
      <c r="O7" s="1392"/>
      <c r="P7" s="1392"/>
    </row>
    <row r="8" spans="1:16">
      <c r="A8" s="47" t="s">
        <v>1918</v>
      </c>
      <c r="B8" s="50" t="s">
        <v>1919</v>
      </c>
      <c r="C8" s="48" t="s">
        <v>1920</v>
      </c>
      <c r="D8" s="48">
        <f t="shared" ref="D8:D15" si="0">ROUND($D$3*E8/$E$3,2)</f>
        <v>62234.11</v>
      </c>
      <c r="E8" s="51">
        <f>SUMIF('数据-基础表'!BB10:BK10,"地上",'数据-基础表'!BB5:BK5)</f>
        <v>69600</v>
      </c>
      <c r="F8" s="1392"/>
      <c r="G8" s="2237"/>
      <c r="H8" s="2237"/>
      <c r="I8" s="1392"/>
      <c r="J8" s="1392"/>
      <c r="K8" s="1392"/>
      <c r="L8" s="1392"/>
      <c r="M8" s="1392"/>
      <c r="N8" s="1392"/>
      <c r="O8" s="1392"/>
      <c r="P8" s="1392"/>
    </row>
    <row r="9" spans="1:16">
      <c r="A9" s="2238"/>
      <c r="B9" s="2239"/>
      <c r="C9" s="48" t="s">
        <v>1921</v>
      </c>
      <c r="D9" s="48">
        <f t="shared" si="0"/>
        <v>0</v>
      </c>
      <c r="E9" s="52">
        <v>0</v>
      </c>
      <c r="F9" s="1392"/>
      <c r="G9" s="2237"/>
      <c r="H9" s="2237"/>
      <c r="I9" s="1392"/>
      <c r="J9" s="1392"/>
      <c r="K9" s="1392"/>
      <c r="L9" s="1392"/>
      <c r="M9" s="1392"/>
      <c r="N9" s="1392"/>
      <c r="O9" s="1392"/>
      <c r="P9" s="1392"/>
    </row>
    <row r="10" spans="1:16">
      <c r="A10" s="2238"/>
      <c r="B10" s="2239"/>
      <c r="C10" s="48" t="s">
        <v>1930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1924</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4.5" thickBot="1">
      <c r="A15" s="2238"/>
      <c r="B15" s="2239"/>
      <c r="C15" s="48" t="s">
        <v>1931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4.5" thickBot="1">
      <c r="A16" s="2234"/>
      <c r="B16" s="2239"/>
      <c r="C16" s="50" t="s">
        <v>1925</v>
      </c>
      <c r="D16" s="50">
        <f>SUM(D8:D15)</f>
        <v>62234.11</v>
      </c>
      <c r="E16" s="53">
        <f>SUM(E8:E15)</f>
        <v>69600</v>
      </c>
      <c r="F16" s="1392"/>
      <c r="G16" s="2237"/>
      <c r="H16" s="2240" t="s">
        <v>1937</v>
      </c>
      <c r="I16" s="2241"/>
      <c r="J16" s="1392"/>
      <c r="K16" s="3044" t="s">
        <v>1937</v>
      </c>
      <c r="L16" s="3045"/>
      <c r="M16" s="3045"/>
      <c r="N16" s="3045"/>
      <c r="O16" s="3045"/>
      <c r="P16" s="3046"/>
    </row>
    <row r="17" spans="1:19">
      <c r="A17" s="2242" t="s">
        <v>1938</v>
      </c>
      <c r="B17" s="2243" t="s">
        <v>1939</v>
      </c>
      <c r="C17" s="2244" t="s">
        <v>1940</v>
      </c>
      <c r="D17" s="2245" t="s">
        <v>1928</v>
      </c>
      <c r="E17" s="2246" t="s">
        <v>1929</v>
      </c>
      <c r="F17" s="2247"/>
      <c r="G17" s="2248"/>
      <c r="H17" s="2249" t="s">
        <v>1941</v>
      </c>
      <c r="I17" s="2250" t="s">
        <v>1926</v>
      </c>
      <c r="J17" s="1392"/>
      <c r="K17" s="3041" t="s">
        <v>1942</v>
      </c>
      <c r="L17" s="3042"/>
      <c r="M17" s="3043"/>
      <c r="N17" s="3041" t="s">
        <v>1943</v>
      </c>
      <c r="O17" s="3042"/>
      <c r="P17" s="3043"/>
      <c r="R17" s="2228" t="s">
        <v>1944</v>
      </c>
      <c r="S17" s="64"/>
    </row>
    <row r="18" spans="1:19">
      <c r="A18" s="2238"/>
      <c r="B18" s="2251"/>
      <c r="C18" s="2252"/>
      <c r="D18" s="2253"/>
      <c r="E18" s="2254" t="s">
        <v>1945</v>
      </c>
      <c r="F18" s="2255" t="s">
        <v>1946</v>
      </c>
      <c r="G18" s="2256" t="s">
        <v>1947</v>
      </c>
      <c r="H18" s="1262" t="s">
        <v>1948</v>
      </c>
      <c r="I18" s="2257" t="s">
        <v>1949</v>
      </c>
      <c r="J18" s="1392"/>
      <c r="K18" s="1262" t="s">
        <v>1950</v>
      </c>
      <c r="L18" s="2258" t="s">
        <v>1951</v>
      </c>
      <c r="M18" s="1046" t="s">
        <v>1952</v>
      </c>
      <c r="N18" s="1262" t="s">
        <v>1950</v>
      </c>
      <c r="O18" s="2258" t="s">
        <v>1951</v>
      </c>
      <c r="P18" s="1046" t="s">
        <v>1952</v>
      </c>
      <c r="R18" s="1247" t="s">
        <v>1953</v>
      </c>
      <c r="S18" s="1247" t="s">
        <v>1954</v>
      </c>
    </row>
    <row r="19" spans="1:19">
      <c r="A19" s="2259"/>
      <c r="B19" s="50" t="s">
        <v>1927</v>
      </c>
      <c r="C19" s="2956" t="s">
        <v>3072</v>
      </c>
      <c r="D19" s="48">
        <f>ROUND($D$3*E19/$E$3,2)</f>
        <v>62234.11</v>
      </c>
      <c r="E19" s="56">
        <f t="shared" ref="E19:E26" si="1">SUM(F19:G19)</f>
        <v>69600</v>
      </c>
      <c r="F19" s="57">
        <f>'数据-基础表'!I5</f>
        <v>69600</v>
      </c>
      <c r="G19" s="58"/>
      <c r="H19" s="723">
        <f>ROUND($D$3*I19/$E$3,2)</f>
        <v>461.39</v>
      </c>
      <c r="I19" s="51">
        <f t="shared" ref="I19:I26" si="2">IF($I$17="自定义",P19,M19)</f>
        <v>516</v>
      </c>
      <c r="J19" s="1392"/>
      <c r="K19" s="1391">
        <f t="shared" ref="K19:K26" si="3">ROUND(E$28*E19/E$27,2)</f>
        <v>516</v>
      </c>
      <c r="L19" s="1247">
        <f t="shared" ref="L19:L26" si="4">ROUND(IF(COUNTIF(C19,"*住宅*")&gt;0,E$29*E19/E$32,0),2)</f>
        <v>0</v>
      </c>
      <c r="M19" s="1403">
        <f>K19+L19</f>
        <v>516</v>
      </c>
      <c r="N19" s="2261"/>
      <c r="O19" s="2262"/>
      <c r="P19" s="1403">
        <f>N19+O19</f>
        <v>0</v>
      </c>
      <c r="R19" s="1247">
        <f t="shared" ref="R19:S26" si="5">D19+H19</f>
        <v>62695.5</v>
      </c>
      <c r="S19" s="1248">
        <f t="shared" si="5"/>
        <v>70116</v>
      </c>
    </row>
    <row r="20" spans="1:19">
      <c r="A20" s="2263"/>
      <c r="B20" s="50" t="s">
        <v>1955</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1955</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4.5" thickBot="1">
      <c r="A27" s="2263"/>
      <c r="B27" s="48"/>
      <c r="C27" s="2266" t="s">
        <v>1956</v>
      </c>
      <c r="D27" s="1393">
        <f>SUM(D19:D26)</f>
        <v>62234.11</v>
      </c>
      <c r="E27" s="1394">
        <f>IF(SUM(E19:E26)='数据-基础表'!BA5,SUM(E19:E26),IF(F27="地上面积有误","面积有误","地下面积有误"))</f>
        <v>69600</v>
      </c>
      <c r="F27" s="1393">
        <f>IF(SUM(F19:F26)=E8,SUM(F19:F26),"地上面积有误")</f>
        <v>69600</v>
      </c>
      <c r="G27" s="1395">
        <f>SUM(G19:G26)</f>
        <v>0</v>
      </c>
      <c r="H27" s="1396">
        <f>SUM(H19:H26)</f>
        <v>461.39</v>
      </c>
      <c r="I27" s="1397">
        <f>SUM(I19:I26)</f>
        <v>516</v>
      </c>
      <c r="J27" s="1392"/>
      <c r="K27" s="1400">
        <f>SUM(K19:K26)</f>
        <v>516</v>
      </c>
      <c r="L27" s="1401">
        <f>SUM(L19:L26)</f>
        <v>0</v>
      </c>
      <c r="M27" s="1404">
        <f>SUM(M19:M26)</f>
        <v>516</v>
      </c>
      <c r="N27" s="1400">
        <f t="shared" ref="N27:O27" si="10">SUM(N19:N26)</f>
        <v>0</v>
      </c>
      <c r="O27" s="1401">
        <f t="shared" si="10"/>
        <v>0</v>
      </c>
      <c r="P27" s="1402">
        <f>SUM(P19:P26)</f>
        <v>0</v>
      </c>
      <c r="R27" s="1249">
        <f>IF(SUM(R19:R26)=$D$3,SUM(R19:R26),SUM(R19:R26)&amp;"误差"&amp;ROUND(SUM(R19:R26)-$D$3,2))</f>
        <v>62695.5</v>
      </c>
      <c r="S27" s="1247">
        <f>IF(SUM(S19:S26)=$E$3,SUM(S19:S26),SUM(S19:S26)&amp;"误差"&amp;ROUND(SUM(S19:S26)-E3,2))</f>
        <v>70116</v>
      </c>
    </row>
    <row r="28" spans="1:19">
      <c r="A28" s="2263"/>
      <c r="B28" s="50" t="s">
        <v>1957</v>
      </c>
      <c r="C28" s="1259" t="s">
        <v>1958</v>
      </c>
      <c r="D28" s="48">
        <f>ROUND($D$3*E28/$E$3,2)</f>
        <v>461.39</v>
      </c>
      <c r="E28" s="56">
        <f>SUM(F28:G28)</f>
        <v>516</v>
      </c>
      <c r="F28" s="64">
        <f>'数据-基础表'!BQ5+'数据-基础表'!BS5</f>
        <v>437</v>
      </c>
      <c r="G28" s="65">
        <f>'数据-基础表'!BR5+'数据-基础表'!BT5</f>
        <v>79</v>
      </c>
      <c r="H28" s="1392"/>
      <c r="I28" s="1392"/>
      <c r="J28" s="1392"/>
      <c r="K28" s="1392"/>
      <c r="L28" s="1392"/>
      <c r="M28" s="1392"/>
      <c r="N28" s="1392"/>
      <c r="O28" s="1392"/>
      <c r="P28" s="1392"/>
    </row>
    <row r="29" spans="1:19">
      <c r="A29" s="2263"/>
      <c r="B29" s="50" t="s">
        <v>1957</v>
      </c>
      <c r="C29" s="2267"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63"/>
      <c r="B30" s="50"/>
      <c r="C30" s="2268" t="s">
        <v>1956</v>
      </c>
      <c r="D30" s="1393">
        <f>SUM(D28:D29)</f>
        <v>461.39</v>
      </c>
      <c r="E30" s="1393">
        <f>SUM(E28:E29)</f>
        <v>516</v>
      </c>
      <c r="F30" s="1393">
        <f>SUM(F28:F29)</f>
        <v>437</v>
      </c>
      <c r="G30" s="1395">
        <f>SUM(G28:G29)</f>
        <v>79</v>
      </c>
      <c r="H30" s="1392"/>
      <c r="I30" s="1392"/>
      <c r="J30" s="1392"/>
      <c r="K30" s="1392"/>
      <c r="L30" s="1392"/>
      <c r="M30" s="1392"/>
      <c r="N30" s="1392"/>
      <c r="O30" s="1392"/>
      <c r="P30" s="1392"/>
    </row>
    <row r="31" spans="1:19" ht="14.5" thickBot="1">
      <c r="A31" s="2269"/>
      <c r="B31" s="2270"/>
      <c r="C31" s="1007" t="s">
        <v>1960</v>
      </c>
      <c r="D31" s="729">
        <f>D27+D30</f>
        <v>62695.5</v>
      </c>
      <c r="E31" s="729">
        <f>E27+E30</f>
        <v>70116</v>
      </c>
      <c r="F31" s="730">
        <f>F27+F30</f>
        <v>70037</v>
      </c>
      <c r="G31" s="731">
        <f>G27+G30</f>
        <v>79</v>
      </c>
      <c r="H31" s="1392"/>
      <c r="I31" s="1392"/>
      <c r="J31" s="1392"/>
      <c r="K31" s="1392"/>
      <c r="L31" s="1392"/>
      <c r="M31" s="1392"/>
      <c r="N31" s="1392"/>
      <c r="O31" s="1392"/>
      <c r="P31" s="1392"/>
    </row>
    <row r="32" spans="1:19">
      <c r="A32" s="2233"/>
      <c r="B32" s="2233" t="s">
        <v>1961</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10" sqref="N10"/>
    </sheetView>
  </sheetViews>
  <sheetFormatPr defaultColWidth="13.81640625" defaultRowHeight="12.5"/>
  <cols>
    <col min="1" max="1" width="20.90625" style="2345" customWidth="1"/>
    <col min="2" max="2" width="12" style="2275" customWidth="1"/>
    <col min="3" max="3" width="10.81640625" style="2275" customWidth="1"/>
    <col min="4" max="4" width="9.08984375" style="2346" customWidth="1"/>
    <col min="5" max="5" width="15" style="2275" bestFit="1" customWidth="1"/>
    <col min="6" max="10" width="8.90625" style="2275" customWidth="1"/>
    <col min="11" max="12" width="12.36328125" style="2189" customWidth="1"/>
    <col min="13" max="13" width="8.6328125" style="2275" customWidth="1"/>
    <col min="14" max="14" width="11.90625" style="2275" customWidth="1"/>
    <col min="15" max="15" width="8.453125" style="2275" customWidth="1"/>
    <col min="16" max="17" width="10.90625" style="2275" customWidth="1"/>
    <col min="18" max="19" width="12.453125" style="2275" customWidth="1"/>
    <col min="20" max="20" width="12.08984375" style="2275" customWidth="1"/>
    <col min="21" max="21" width="7.453125" style="2275" customWidth="1"/>
    <col min="22" max="22" width="6.36328125" style="2275" customWidth="1"/>
    <col min="23" max="24" width="6.81640625" style="2275" customWidth="1"/>
    <col min="25" max="25" width="8.90625" style="2275" customWidth="1"/>
    <col min="26" max="30" width="6.81640625" style="2275" customWidth="1"/>
    <col min="31" max="31" width="8" style="2275" customWidth="1"/>
    <col min="32" max="34" width="7.1796875" style="2275" customWidth="1"/>
    <col min="35" max="39" width="8" style="2275" customWidth="1"/>
    <col min="40" max="40" width="13.81640625" style="2274"/>
    <col min="41" max="41" width="11.6328125" style="2274" customWidth="1"/>
    <col min="42" max="42" width="9.81640625" style="2274" customWidth="1"/>
    <col min="43" max="67" width="13.81640625" style="2274"/>
    <col min="68" max="16384" width="13.81640625" style="2275"/>
  </cols>
  <sheetData>
    <row r="1" spans="1:67" ht="18" thickBot="1">
      <c r="A1" s="2272" t="s">
        <v>1962</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6" t="s">
        <v>1963</v>
      </c>
      <c r="B2" s="1266">
        <f>项目基本情况!D3</f>
        <v>43868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4.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4.5" thickBot="1">
      <c r="A4" s="68" t="s">
        <v>1964</v>
      </c>
      <c r="B4" s="2281"/>
      <c r="C4" s="2282"/>
      <c r="D4" s="2283"/>
      <c r="E4" s="2282" t="s">
        <v>1965</v>
      </c>
      <c r="F4" s="2282"/>
      <c r="G4" s="2282"/>
      <c r="H4" s="2282"/>
      <c r="I4" s="2282"/>
      <c r="J4" s="2284"/>
      <c r="K4" s="2285"/>
      <c r="L4" s="2286"/>
      <c r="M4" s="2282"/>
      <c r="N4" s="2282" t="s">
        <v>1966</v>
      </c>
      <c r="O4" s="2282"/>
      <c r="P4" s="2282"/>
      <c r="Q4" s="2282"/>
      <c r="R4" s="2282"/>
      <c r="S4" s="2284"/>
      <c r="T4" s="2287" t="str">
        <f>'数据-汇总表'!I17</f>
        <v>按面积比例</v>
      </c>
      <c r="U4" s="2281" t="s">
        <v>1967</v>
      </c>
      <c r="V4" s="2282"/>
      <c r="W4" s="2282"/>
      <c r="X4" s="2282"/>
      <c r="Y4" s="2284"/>
      <c r="Z4" s="2244" t="s">
        <v>1968</v>
      </c>
      <c r="AA4" s="2244"/>
      <c r="AB4" s="2244"/>
      <c r="AC4" s="2244"/>
      <c r="AD4" s="2244"/>
      <c r="AE4" s="2242" t="s">
        <v>1969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3">
      <c r="A5" s="2289" t="s">
        <v>1970</v>
      </c>
      <c r="B5" s="2290" t="s">
        <v>1971</v>
      </c>
      <c r="C5" s="2291" t="s">
        <v>1972</v>
      </c>
      <c r="D5" s="2292" t="s">
        <v>1973</v>
      </c>
      <c r="E5" s="1268" t="s">
        <v>1974</v>
      </c>
      <c r="F5" s="2293" t="s">
        <v>1975</v>
      </c>
      <c r="G5" s="1268" t="s">
        <v>1976</v>
      </c>
      <c r="H5" s="1268" t="s">
        <v>1977</v>
      </c>
      <c r="I5" s="1268" t="s">
        <v>1978</v>
      </c>
      <c r="J5" s="2294" t="s">
        <v>1979</v>
      </c>
      <c r="K5" s="2295" t="s">
        <v>1980</v>
      </c>
      <c r="L5" s="2296" t="s">
        <v>1981</v>
      </c>
      <c r="M5" s="2297" t="s">
        <v>1982</v>
      </c>
      <c r="N5" s="2298" t="s">
        <v>1983</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
      <c r="A6" s="2306" t="str">
        <f>'数据-汇总表'!C19</f>
        <v>工业</v>
      </c>
      <c r="B6" s="2307" t="str">
        <f>IF(A6=0,"","经营性")</f>
        <v>经营性</v>
      </c>
      <c r="C6" s="2308" t="s">
        <v>6</v>
      </c>
      <c r="D6" s="1051">
        <f>SUMIF(项目基本情况!D$12:I$12,C6,项目基本情况!D$14:I$14)</f>
        <v>50</v>
      </c>
      <c r="E6" s="1048">
        <f>IF(B6="","",SUMIF(项目基本情况!D$12:I$12,C6,项目基本情况!D$13:I$13))</f>
        <v>61379</v>
      </c>
      <c r="F6" s="72">
        <f>SUMIF(项目基本情况!D$12:I$12,C6,项目基本情况!D$15:I$15)</f>
        <v>47.97</v>
      </c>
      <c r="G6" s="73">
        <f>IF(ISERROR(ROUND(POWER(1+H6,D6-F6)*(POWER(1+H6,F6)-1)/(POWER(1+H6,D6)-1),3)),0,ROUND(POWER(1+H6,D6-F6)*(POWER(1+H6,F6)-1)/(POWER(1+H6,D6)-1),3))</f>
        <v>0.98799999999999999</v>
      </c>
      <c r="H6" s="802">
        <v>4.4999999999999998E-2</v>
      </c>
      <c r="I6" s="802">
        <v>0.05</v>
      </c>
      <c r="J6" s="74">
        <v>8.5000000000000006E-2</v>
      </c>
      <c r="K6" s="1251">
        <f>SUMIF('数据-汇总表'!C$19:C$33,A6,'数据-汇总表'!E$19:E$33)</f>
        <v>69600</v>
      </c>
      <c r="L6" s="803">
        <v>2000</v>
      </c>
      <c r="M6" s="75">
        <f t="shared" ref="M6:M14" si="0">ROUND(K6*L6/10000,0)</f>
        <v>13920</v>
      </c>
      <c r="N6" s="801">
        <v>0.99</v>
      </c>
      <c r="O6" s="75">
        <f>IF($N$5="成新度","——",ROUND(M6*N6,0))</f>
        <v>13781</v>
      </c>
      <c r="P6" s="76">
        <f>IF($N$5="成新度","——",M6-O6)</f>
        <v>139</v>
      </c>
      <c r="Q6" s="804">
        <v>0.1</v>
      </c>
      <c r="R6" s="77">
        <f ca="1">SUMIF('数据-汇总表'!C$19:C$33,A6,'数据-汇总表'!R$19:R$27)</f>
        <v>62695.5</v>
      </c>
      <c r="S6" s="54">
        <f>IF('数据-汇总表'!$I$17="按面积比例",SUMIF('数据-汇总表'!C$19:C$33,A6,'数据-汇总表'!K$19:K$33),SUMIF('数据-汇总表'!C$19:C$33,A6,'数据-汇总表'!N$19:N$33))</f>
        <v>516</v>
      </c>
      <c r="T6" s="1443">
        <f>ROUND($L$14*S6/10000,0)</f>
        <v>103</v>
      </c>
      <c r="U6" s="78">
        <v>0.7</v>
      </c>
      <c r="V6" s="79">
        <v>2.5000000000000001E-2</v>
      </c>
      <c r="W6" s="79">
        <v>0.15</v>
      </c>
      <c r="X6" s="1261"/>
      <c r="Y6" s="80">
        <v>1</v>
      </c>
      <c r="Z6" s="81"/>
      <c r="AA6" s="74"/>
      <c r="AB6" s="74"/>
      <c r="AC6" s="1261"/>
      <c r="AD6" s="82"/>
      <c r="AE6" s="1262">
        <f ca="1">IF(AN6="",0,SUMIF(INDIRECT("'"&amp;AN6&amp;"'"&amp;"!E:E"),$AE$5,INDIRECT("'"&amp;AN6&amp;"'"&amp;"!F:F")))</f>
        <v>47.954999999999998</v>
      </c>
      <c r="AF6" s="1804"/>
      <c r="AG6" s="147">
        <f>IF(AF6="",0,AE6-AF6)</f>
        <v>0</v>
      </c>
      <c r="AH6" s="83"/>
      <c r="AI6" s="85">
        <v>365</v>
      </c>
      <c r="AJ6" s="86"/>
      <c r="AK6" s="87">
        <v>1.4999999999999999E-2</v>
      </c>
      <c r="AL6" s="2964">
        <v>1.5E-3</v>
      </c>
      <c r="AM6" s="89">
        <v>1.4999999999999999E-2</v>
      </c>
      <c r="AN6" s="2309" t="s">
        <v>3073</v>
      </c>
      <c r="AO6" s="55">
        <f ca="1">SUMIF(INDIRECT("'"&amp;AN6&amp;"'"&amp;"!A:A"),"总价",INDIRECT("'"&amp;AN6&amp;"'"&amp;"!B:B"))</f>
        <v>24171</v>
      </c>
      <c r="AP6" s="2310">
        <f>IF(C6="住宅",K6*L6,0)</f>
        <v>0</v>
      </c>
      <c r="AQ6" s="55">
        <f>ROUND($L$14*$N$14*S6/10000,0)</f>
        <v>102</v>
      </c>
      <c r="AR6" s="55">
        <f>ROUND($L$14*(1-$N$14)*S6/10000,0)</f>
        <v>1</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
      <c r="A14" s="2311" t="s">
        <v>2008</v>
      </c>
      <c r="B14" s="2307" t="s">
        <v>2009</v>
      </c>
      <c r="C14" s="2312" t="s">
        <v>2008</v>
      </c>
      <c r="D14" s="1051"/>
      <c r="E14" s="1048"/>
      <c r="F14" s="72"/>
      <c r="G14" s="73"/>
      <c r="H14" s="1250"/>
      <c r="I14" s="1250"/>
      <c r="J14" s="1250"/>
      <c r="K14" s="1251">
        <f>SUMIF('数据-汇总表'!C$19:C$33,A14,'数据-汇总表'!E$19:E$33)</f>
        <v>516</v>
      </c>
      <c r="L14" s="91">
        <f>L6</f>
        <v>2000</v>
      </c>
      <c r="M14" s="75">
        <f t="shared" si="0"/>
        <v>103</v>
      </c>
      <c r="N14" s="92">
        <f>N6</f>
        <v>0.99</v>
      </c>
      <c r="O14" s="75">
        <f t="shared" si="3"/>
        <v>102</v>
      </c>
      <c r="P14" s="76">
        <f t="shared" si="4"/>
        <v>1</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8">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4.5" thickBot="1">
      <c r="A16" s="2313" t="s">
        <v>2012</v>
      </c>
      <c r="B16" s="97"/>
      <c r="C16" s="1005"/>
      <c r="D16" s="2314"/>
      <c r="E16" s="97"/>
      <c r="F16" s="97"/>
      <c r="G16" s="98">
        <f>ROUND(SUMPRODUCT(G6:G13,K6:K13)/SUMPRODUCT((G6:G13&gt;0)*(K6:K13)),3)</f>
        <v>0.98799999999999999</v>
      </c>
      <c r="H16" s="99">
        <f>ROUND(SUMPRODUCT(H6:H13,K6:K13)/SUMPRODUCT((H6:H13&gt;0)*(K6:K13)),3)</f>
        <v>4.4999999999999998E-2</v>
      </c>
      <c r="I16" s="100"/>
      <c r="J16" s="100"/>
      <c r="K16" s="101">
        <f>SUM(K6:K15)</f>
        <v>70116</v>
      </c>
      <c r="L16" s="102">
        <f>ROUND(M16*10000/SUM(K6:K14),0)</f>
        <v>2000</v>
      </c>
      <c r="M16" s="102">
        <f>SUM(M6:M14)</f>
        <v>14023</v>
      </c>
      <c r="N16" s="103">
        <f>ROUND(SUMPRODUCT(M6:M14,N6:N14)/M16,3)</f>
        <v>0.99</v>
      </c>
      <c r="O16" s="102">
        <f>SUM(O6:O14)</f>
        <v>13883</v>
      </c>
      <c r="P16" s="102">
        <f>SUM(P6:P14)</f>
        <v>140</v>
      </c>
      <c r="Q16" s="104">
        <f>ROUND(SUMPRODUCT(Q6:Q13,K6:K13)/SUMPRODUCT((Q6:Q13&gt;0)*(K6:K13)),2)</f>
        <v>0.1</v>
      </c>
      <c r="R16" s="1255">
        <f ca="1">SUM(R6:R13)</f>
        <v>62695.5</v>
      </c>
      <c r="S16" s="105">
        <f>SUM(S6:S13)</f>
        <v>516</v>
      </c>
      <c r="T16" s="106">
        <f>IF(SUMIF(T6:T13,"&lt;9E307")=M14,SUMIF(T6:T13,"&lt;9E307"),"有误，请检查")</f>
        <v>103</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4.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
      <c r="A20" s="2317" t="s">
        <v>2016</v>
      </c>
      <c r="B20" s="113">
        <v>1.5</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
      <c r="A21" s="2318" t="s">
        <v>2018</v>
      </c>
      <c r="B21" s="113">
        <f>B20*N16</f>
        <v>1.4849999999999999</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
      <c r="A22" s="2317" t="s">
        <v>2019</v>
      </c>
      <c r="B22" s="114">
        <f>B19+B20</f>
        <v>1.5</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
      <c r="A23" s="2318" t="s">
        <v>2020</v>
      </c>
      <c r="B23" s="114">
        <f>B19+B21</f>
        <v>1.4849999999999999</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4.5" thickBot="1">
      <c r="A24" s="2319" t="s">
        <v>2021</v>
      </c>
      <c r="B24" s="115">
        <f>B20-B21</f>
        <v>1.5000000000000124E-2</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4.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8.5">
      <c r="A27" s="2322" t="s">
        <v>2025</v>
      </c>
      <c r="B27" s="116">
        <v>105</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5">
      <c r="A28" s="2325" t="s">
        <v>2027</v>
      </c>
      <c r="B28" s="119">
        <v>105</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 thickBot="1">
      <c r="A29" s="2327" t="s">
        <v>2028</v>
      </c>
      <c r="B29" s="121">
        <f ca="1">成本法!C10</f>
        <v>736</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8.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4.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4.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5">
      <c r="A41" s="2322" t="s">
        <v>2048</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
      <c r="A43" s="2330" t="s">
        <v>2050</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
      <c r="A44" s="2332" t="s">
        <v>2051</v>
      </c>
      <c r="B44" s="128">
        <v>0.05</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4.5" thickBot="1">
      <c r="A47" s="2333" t="s">
        <v>2057</v>
      </c>
      <c r="B47" s="129">
        <v>0</v>
      </c>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
      <c r="A48" s="2334" t="s">
        <v>2059</v>
      </c>
      <c r="B48" s="130">
        <v>0.04</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4.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
      <c r="A52" s="2335" t="s">
        <v>2065</v>
      </c>
      <c r="B52" s="133">
        <f>SUMIF(A54:A63,B53,B54:B63)</f>
        <v>4</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
      <c r="A53" s="2325" t="s">
        <v>2066</v>
      </c>
      <c r="B53" s="2336" t="s">
        <v>523</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
      <c r="A54" s="2338" t="s">
        <v>2069</v>
      </c>
      <c r="B54" s="2963">
        <v>18</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
      <c r="A55" s="2338" t="s">
        <v>2070</v>
      </c>
      <c r="B55" s="2963">
        <v>14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
      <c r="A56" s="2338" t="s">
        <v>2071</v>
      </c>
      <c r="B56" s="2963">
        <v>9</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
      <c r="A57" s="2338" t="s">
        <v>2072</v>
      </c>
      <c r="B57" s="2963">
        <v>6</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
      <c r="A58" s="2338" t="s">
        <v>2073</v>
      </c>
      <c r="B58" s="2963">
        <v>4</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4.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8" customWidth="1"/>
    <col min="2" max="2" width="24.453125" style="2416" customWidth="1"/>
    <col min="3" max="3" width="24.453125" style="2415" customWidth="1"/>
    <col min="4" max="4" width="2.6328125" style="2415" customWidth="1"/>
    <col min="5" max="5" width="5.90625" style="2415" customWidth="1"/>
    <col min="6" max="6" width="27" style="2416" customWidth="1"/>
    <col min="7" max="7" width="27" style="2417" customWidth="1"/>
    <col min="8" max="8" width="11.90625" style="2395" customWidth="1"/>
    <col min="9" max="9" width="16.81640625" style="2396" customWidth="1"/>
    <col min="10" max="10" width="2.6328125" style="2395" customWidth="1"/>
    <col min="11" max="11" width="11.90625" style="2395" customWidth="1"/>
    <col min="12" max="12" width="16.81640625" style="2396" customWidth="1"/>
    <col min="13" max="13" width="2.6328125" style="2395" customWidth="1"/>
    <col min="14" max="14" width="11.90625" style="2395" customWidth="1"/>
    <col min="15" max="15" width="16.81640625" style="2396" customWidth="1"/>
    <col min="16" max="16" width="2.6328125" style="2395" customWidth="1"/>
    <col min="17" max="17" width="11.90625" style="2395" customWidth="1"/>
    <col min="18" max="18" width="16.81640625" style="2397" customWidth="1"/>
    <col min="19" max="29" width="9" style="2367"/>
    <col min="30" max="16384" width="9" style="2368"/>
  </cols>
  <sheetData>
    <row r="1" spans="1:29" s="2361" customFormat="1" ht="18.5" thickBot="1">
      <c r="A1" s="3056" t="s">
        <v>2079</v>
      </c>
      <c r="B1" s="3057"/>
      <c r="C1" s="3057"/>
      <c r="D1" s="3057"/>
      <c r="E1" s="3057"/>
      <c r="F1" s="3057"/>
      <c r="G1" s="305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4.5" thickBot="1">
      <c r="A2" s="2362"/>
      <c r="B2" s="2363"/>
      <c r="C2" s="2364" t="s">
        <v>2080</v>
      </c>
      <c r="D2" s="2365"/>
      <c r="E2" s="2366"/>
      <c r="F2" s="2286"/>
      <c r="G2" s="2364" t="s">
        <v>2081</v>
      </c>
      <c r="H2" s="2367"/>
      <c r="I2" s="2367"/>
      <c r="J2" s="2367"/>
      <c r="K2" s="2367"/>
      <c r="L2" s="2367"/>
      <c r="M2" s="2367"/>
      <c r="N2" s="2367"/>
      <c r="O2" s="2367"/>
      <c r="P2" s="2367"/>
      <c r="Q2" s="2367"/>
      <c r="R2" s="2367"/>
    </row>
    <row r="3" spans="1:29" ht="56">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6">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8">
      <c r="A8" s="431"/>
      <c r="B8" s="1795" t="s">
        <v>2096</v>
      </c>
      <c r="C8" s="2375" t="s">
        <v>2097</v>
      </c>
      <c r="D8" s="2376"/>
      <c r="E8" s="2376"/>
      <c r="F8" s="1133"/>
      <c r="G8" s="1133"/>
      <c r="H8" s="2367"/>
      <c r="I8" s="2367"/>
      <c r="J8" s="2367"/>
      <c r="K8" s="2367"/>
      <c r="L8" s="2367"/>
      <c r="M8" s="2367"/>
      <c r="N8" s="2367"/>
      <c r="O8" s="2367"/>
      <c r="P8" s="2367"/>
      <c r="Q8" s="2367"/>
      <c r="R8" s="2367"/>
    </row>
    <row r="9" spans="1:29" ht="42">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4.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5" thickBot="1">
      <c r="A13" s="2393" t="s">
        <v>2103</v>
      </c>
      <c r="B13" s="2387"/>
      <c r="C13" s="2387"/>
      <c r="D13" s="2394"/>
      <c r="E13" s="2387"/>
      <c r="F13" s="2387"/>
      <c r="G13" s="2387"/>
    </row>
    <row r="14" spans="1:29" ht="14.5" thickBot="1">
      <c r="A14" s="2398"/>
      <c r="B14" s="2399"/>
      <c r="C14" s="2400" t="s">
        <v>2104</v>
      </c>
      <c r="D14" s="2370"/>
      <c r="E14" s="2401"/>
      <c r="F14" s="2401"/>
      <c r="G14" s="2364" t="s">
        <v>2105</v>
      </c>
    </row>
    <row r="15" spans="1:29" ht="56">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
      <c r="A17" s="645"/>
      <c r="B17" s="2404" t="s">
        <v>2091</v>
      </c>
      <c r="C17" s="2405" t="str">
        <f>C5</f>
        <v>估价对象位于XX商圈，周边办公楼项目较多，入驻率高，办公集聚程度较好</v>
      </c>
      <c r="D17" s="2376"/>
      <c r="E17" s="2406"/>
      <c r="F17" s="2407" t="s">
        <v>2109</v>
      </c>
      <c r="G17" s="1569"/>
    </row>
    <row r="18" spans="1:18" ht="56">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
      <c r="A19" s="645"/>
      <c r="B19" s="2407" t="s">
        <v>2110</v>
      </c>
      <c r="C19" s="1569"/>
      <c r="D19" s="2370"/>
      <c r="E19" s="2406"/>
      <c r="F19" s="1795" t="s">
        <v>2093</v>
      </c>
      <c r="G19" s="136" t="str">
        <f>G5</f>
        <v>估价对象所在区域公共配套设施齐备情况</v>
      </c>
    </row>
    <row r="20" spans="1:18" ht="42">
      <c r="A20" s="645"/>
      <c r="B20" s="2407" t="s">
        <v>2111</v>
      </c>
      <c r="C20" s="2405" t="str">
        <f>C9</f>
        <v>区域自然环境：；人文环境；综合评价环境状况一般</v>
      </c>
      <c r="D20" s="2376"/>
      <c r="E20" s="2406"/>
      <c r="F20" s="1795" t="s">
        <v>2112</v>
      </c>
      <c r="G20" s="136" t="str">
        <f>G6</f>
        <v>估价对象所在区域基础设施水平</v>
      </c>
    </row>
    <row r="21" spans="1:18" ht="28">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4.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4.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tabSelected="1" workbookViewId="0">
      <selection activeCell="E9" sqref="E9"/>
    </sheetView>
  </sheetViews>
  <sheetFormatPr defaultColWidth="9" defaultRowHeight="14"/>
  <cols>
    <col min="1" max="1" width="23.36328125" style="1738" customWidth="1"/>
    <col min="2" max="9" width="15.81640625" style="1738" customWidth="1"/>
    <col min="10" max="16384" width="9" style="1738"/>
  </cols>
  <sheetData>
    <row r="1" spans="1:10" ht="16.5">
      <c r="A1" s="1743" t="s">
        <v>1360</v>
      </c>
      <c r="B1" s="1743">
        <f>SUM(B14:B23)</f>
        <v>70116</v>
      </c>
      <c r="C1" s="1742"/>
      <c r="D1" s="1742"/>
      <c r="E1" s="1742"/>
      <c r="F1" s="1742"/>
      <c r="G1" s="1740"/>
    </row>
    <row r="2" spans="1:10" ht="16.5">
      <c r="A2" s="1743" t="s">
        <v>1348</v>
      </c>
      <c r="B2" s="1743">
        <f>SUM(C14:C23)</f>
        <v>62695.5</v>
      </c>
      <c r="C2" s="1742"/>
      <c r="D2" s="1742"/>
      <c r="E2" s="1742"/>
      <c r="F2" s="1742"/>
      <c r="G2" s="1740"/>
    </row>
    <row r="3" spans="1:10" ht="16.5">
      <c r="A3" s="1743" t="s">
        <v>1357</v>
      </c>
      <c r="B3" s="1744">
        <f>项目基本情况!D3</f>
        <v>43868</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23438</v>
      </c>
      <c r="C5" s="1743">
        <f ca="1">ROUND(B5*10000/$B$1,0)</f>
        <v>3343</v>
      </c>
      <c r="D5" s="1743">
        <f ca="1">ROUND(B5*10000/$B$2,0)</f>
        <v>3738</v>
      </c>
      <c r="E5" s="1742"/>
      <c r="F5" s="1740"/>
      <c r="G5" s="1740"/>
    </row>
    <row r="6" spans="1:10" ht="16.5">
      <c r="A6" s="1743" t="s">
        <v>1351</v>
      </c>
      <c r="B6" s="1743">
        <f ca="1">SUM(G14:G23)</f>
        <v>23438</v>
      </c>
      <c r="C6" s="1743">
        <f ca="1">ROUND(B6*10000/$B$1,0)</f>
        <v>3343</v>
      </c>
      <c r="D6" s="1743">
        <f ca="1">ROUND(B6*10000/$B$2,0)</f>
        <v>3738</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70116</v>
      </c>
      <c r="C14" s="1741">
        <f>结果表!C118</f>
        <v>62695.5</v>
      </c>
      <c r="D14" s="1741">
        <f ca="1">结果表!H118</f>
        <v>23438</v>
      </c>
      <c r="E14" s="1741">
        <f ca="1">ROUND(D14*10000/B14,0)</f>
        <v>3343</v>
      </c>
      <c r="F14" s="1741">
        <f ca="1">ROUND(D14*10000/C14,0)</f>
        <v>3738</v>
      </c>
      <c r="G14" s="1741">
        <f ca="1">结果表!D122</f>
        <v>23438</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7" zoomScaleNormal="100" zoomScaleSheetLayoutView="100" zoomScalePageLayoutView="80" workbookViewId="0">
      <selection activeCell="J5" sqref="J5"/>
    </sheetView>
  </sheetViews>
  <sheetFormatPr defaultColWidth="12.6328125" defaultRowHeight="21.75" customHeight="1"/>
  <cols>
    <col min="1" max="2" width="12.6328125" style="2424"/>
    <col min="3" max="4" width="12.6328125" style="2424" customWidth="1"/>
    <col min="5" max="9" width="12.6328125" style="2424"/>
    <col min="10" max="11" width="12.6328125" style="795" customWidth="1"/>
    <col min="12" max="12" width="12.6328125" style="795"/>
    <col min="13" max="13" width="14.08984375" style="795" bestFit="1" customWidth="1"/>
    <col min="14" max="26" width="12.6328125" style="795"/>
    <col min="27" max="35" width="12.6328125" style="2423"/>
    <col min="36" max="16384" width="12.6328125" style="2424"/>
  </cols>
  <sheetData>
    <row r="1" spans="1:12" ht="21.75" customHeight="1" thickBot="1">
      <c r="A1" s="2225" t="s">
        <v>2116</v>
      </c>
      <c r="B1" s="2418"/>
      <c r="C1" s="2419"/>
      <c r="D1" s="2418"/>
      <c r="E1" s="2418"/>
      <c r="F1" s="2420" t="s">
        <v>2117</v>
      </c>
      <c r="G1" s="2070" t="s">
        <v>2118</v>
      </c>
      <c r="H1" s="2421" t="str">
        <f>IF(G1="现房","——","估价对象范围")</f>
        <v>估价对象范围</v>
      </c>
      <c r="I1" s="2422" t="s">
        <v>3245</v>
      </c>
    </row>
    <row r="2" spans="1:12" ht="21.75" customHeight="1" thickBot="1">
      <c r="A2" s="3130" t="str">
        <f>项目基本情况!S2</f>
        <v>出让国有建设用地使用权及在建建筑物房地产</v>
      </c>
      <c r="B2" s="3131"/>
      <c r="C2" s="3131"/>
      <c r="D2" s="3131"/>
      <c r="E2" s="3131"/>
      <c r="F2" s="3131"/>
      <c r="G2" s="3131"/>
      <c r="H2" s="3131"/>
      <c r="I2" s="3132"/>
    </row>
    <row r="3" spans="1:12" ht="13">
      <c r="A3" s="3133" t="s">
        <v>2119</v>
      </c>
      <c r="B3" s="3134"/>
      <c r="C3" s="3134"/>
      <c r="D3" s="3134"/>
      <c r="E3" s="3134"/>
      <c r="F3" s="3134"/>
      <c r="G3" s="3134"/>
      <c r="H3" s="3134"/>
      <c r="I3" s="3134"/>
    </row>
    <row r="4" spans="1:12" ht="14">
      <c r="A4" s="2425" t="s">
        <v>2120</v>
      </c>
      <c r="B4" s="2426" t="s">
        <v>2121</v>
      </c>
      <c r="C4" s="2427" t="s">
        <v>3243</v>
      </c>
      <c r="D4" s="2427" t="s">
        <v>3244</v>
      </c>
      <c r="E4" s="3114" t="s">
        <v>2122</v>
      </c>
      <c r="F4" s="3127"/>
      <c r="G4" s="3127"/>
      <c r="H4" s="3127"/>
      <c r="I4" s="311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3">
      <c r="A5" s="3105" t="s">
        <v>2123</v>
      </c>
      <c r="B5" s="3031">
        <v>25</v>
      </c>
      <c r="C5" s="3135"/>
      <c r="D5" s="3123"/>
      <c r="E5" s="140" t="s">
        <v>2124</v>
      </c>
      <c r="F5" s="2429"/>
      <c r="G5" s="2429"/>
      <c r="H5" s="2429"/>
      <c r="I5" s="1831"/>
    </row>
    <row r="6" spans="1:12" ht="13">
      <c r="A6" s="3105"/>
      <c r="B6" s="3031"/>
      <c r="C6" s="3137"/>
      <c r="D6" s="3123"/>
      <c r="E6" s="140" t="s">
        <v>2125</v>
      </c>
      <c r="F6" s="2429"/>
      <c r="G6" s="2429"/>
      <c r="H6" s="2429"/>
      <c r="I6" s="1831"/>
    </row>
    <row r="7" spans="1:12" ht="13">
      <c r="A7" s="3105"/>
      <c r="B7" s="3031"/>
      <c r="C7" s="3136"/>
      <c r="D7" s="3123"/>
      <c r="E7" s="140" t="s">
        <v>2126</v>
      </c>
      <c r="F7" s="2429"/>
      <c r="G7" s="2429"/>
      <c r="H7" s="2429"/>
      <c r="I7" s="1831"/>
    </row>
    <row r="8" spans="1:12" ht="13">
      <c r="A8" s="3105" t="s">
        <v>2127</v>
      </c>
      <c r="B8" s="3031">
        <v>15</v>
      </c>
      <c r="C8" s="3135"/>
      <c r="D8" s="3123"/>
      <c r="E8" s="140" t="s">
        <v>2128</v>
      </c>
      <c r="F8" s="2429"/>
      <c r="G8" s="2429"/>
      <c r="H8" s="2429"/>
      <c r="I8" s="1831"/>
    </row>
    <row r="9" spans="1:12" ht="13">
      <c r="A9" s="3105"/>
      <c r="B9" s="3031"/>
      <c r="C9" s="3136"/>
      <c r="D9" s="3123"/>
      <c r="E9" s="140" t="s">
        <v>2129</v>
      </c>
      <c r="F9" s="2429"/>
      <c r="G9" s="2429"/>
      <c r="H9" s="2429"/>
      <c r="I9" s="1831"/>
    </row>
    <row r="10" spans="1:12" ht="13">
      <c r="A10" s="3105" t="s">
        <v>2130</v>
      </c>
      <c r="B10" s="3031">
        <v>15</v>
      </c>
      <c r="C10" s="3135"/>
      <c r="D10" s="3123"/>
      <c r="E10" s="140" t="s">
        <v>2131</v>
      </c>
      <c r="F10" s="2429"/>
      <c r="G10" s="2429"/>
      <c r="H10" s="2429"/>
      <c r="I10" s="1831"/>
    </row>
    <row r="11" spans="1:12" ht="13">
      <c r="A11" s="3105"/>
      <c r="B11" s="3031"/>
      <c r="C11" s="3136"/>
      <c r="D11" s="3123"/>
      <c r="E11" s="140" t="s">
        <v>2132</v>
      </c>
      <c r="F11" s="2429"/>
      <c r="G11" s="2429"/>
      <c r="H11" s="2429"/>
      <c r="I11" s="1831"/>
    </row>
    <row r="12" spans="1:12" ht="13">
      <c r="A12" s="3105" t="s">
        <v>2133</v>
      </c>
      <c r="B12" s="3031">
        <v>15</v>
      </c>
      <c r="C12" s="3135"/>
      <c r="D12" s="3123"/>
      <c r="E12" s="140" t="s">
        <v>2134</v>
      </c>
      <c r="F12" s="2429"/>
      <c r="G12" s="2429"/>
      <c r="H12" s="2429"/>
      <c r="I12" s="1831"/>
    </row>
    <row r="13" spans="1:12" ht="13">
      <c r="A13" s="3105"/>
      <c r="B13" s="3031"/>
      <c r="C13" s="3136"/>
      <c r="D13" s="3123"/>
      <c r="E13" s="140" t="s">
        <v>2135</v>
      </c>
      <c r="F13" s="2429"/>
      <c r="G13" s="2429"/>
      <c r="H13" s="2429"/>
      <c r="I13" s="1831"/>
    </row>
    <row r="14" spans="1:12" ht="13">
      <c r="A14" s="3105" t="s">
        <v>2136</v>
      </c>
      <c r="B14" s="3031">
        <v>30</v>
      </c>
      <c r="C14" s="3135">
        <v>5</v>
      </c>
      <c r="D14" s="3123">
        <v>5</v>
      </c>
      <c r="E14" s="140" t="s">
        <v>2137</v>
      </c>
      <c r="F14" s="2429"/>
      <c r="G14" s="2429"/>
      <c r="H14" s="2429"/>
      <c r="I14" s="1831"/>
    </row>
    <row r="15" spans="1:12" ht="13">
      <c r="A15" s="3105"/>
      <c r="B15" s="3031"/>
      <c r="C15" s="3137"/>
      <c r="D15" s="3123"/>
      <c r="E15" s="140" t="s">
        <v>2138</v>
      </c>
      <c r="F15" s="2429"/>
      <c r="G15" s="2429"/>
      <c r="H15" s="2429"/>
      <c r="I15" s="1831"/>
    </row>
    <row r="16" spans="1:12" ht="13">
      <c r="A16" s="3105"/>
      <c r="B16" s="3031"/>
      <c r="C16" s="3136"/>
      <c r="D16" s="3123"/>
      <c r="E16" s="140" t="s">
        <v>2139</v>
      </c>
      <c r="F16" s="2429"/>
      <c r="G16" s="2429"/>
      <c r="H16" s="2429"/>
      <c r="I16" s="1831"/>
    </row>
    <row r="17" spans="1:35" ht="14">
      <c r="A17" s="2430" t="s">
        <v>2140</v>
      </c>
      <c r="B17" s="64"/>
      <c r="C17" s="141">
        <f>SUM(C5:C16)</f>
        <v>5</v>
      </c>
      <c r="D17" s="141">
        <f>SUM(D5:D16)</f>
        <v>5</v>
      </c>
      <c r="E17" s="138"/>
      <c r="F17" s="138"/>
      <c r="G17" s="138"/>
      <c r="H17" s="138"/>
      <c r="I17" s="138"/>
      <c r="K17" s="2428"/>
      <c r="L17" s="2431" t="s">
        <v>2141</v>
      </c>
      <c r="M17" s="2431" t="s">
        <v>2142</v>
      </c>
    </row>
    <row r="18" spans="1:35" ht="14.5" thickBot="1">
      <c r="A18" s="2432" t="s">
        <v>2143</v>
      </c>
      <c r="B18" s="2433"/>
      <c r="C18" s="142">
        <f>ROUND(C17/SUM(C17:D17),2)</f>
        <v>0.5</v>
      </c>
      <c r="D18" s="142">
        <f>1-C18</f>
        <v>0.5</v>
      </c>
      <c r="E18" s="138"/>
      <c r="F18" s="138"/>
      <c r="G18" s="138"/>
      <c r="H18" s="138"/>
      <c r="I18" s="138"/>
      <c r="K18" s="2428" t="s">
        <v>2144</v>
      </c>
      <c r="L18" s="2428">
        <f>IF(C1="",'数据-汇总表'!E3,SUMIF(项目类型,C1,'数据-汇总表'!E17:E26)+SUMIF(项目类型,C1,'数据-汇总表'!I17:I26))</f>
        <v>70116</v>
      </c>
      <c r="M18" s="2428">
        <f>IF(C1="",'数据-汇总表'!E3,SUMIF(项目类型,C1,'数据-汇总表'!E17:E26))</f>
        <v>70116</v>
      </c>
    </row>
    <row r="19" spans="1:35" ht="14">
      <c r="A19" s="2434" t="s">
        <v>2145</v>
      </c>
      <c r="B19" s="2435" t="s">
        <v>2146</v>
      </c>
      <c r="C19" s="143">
        <f ca="1">SUMIF(INDIRECT("'"&amp;C4&amp;"'"&amp;"!A:A"),结果表!B19,INDIRECT("'"&amp;C4&amp;"'"&amp;"!B:B"))</f>
        <v>25035</v>
      </c>
      <c r="D19" s="144">
        <f ca="1">SUMIF(INDIRECT("'"&amp;D4&amp;"'"&amp;"!A:A"),结果表!B19,INDIRECT("'"&amp;D4&amp;"'"&amp;"!B:B"))</f>
        <v>21840</v>
      </c>
      <c r="E19" s="2434" t="s">
        <v>2147</v>
      </c>
      <c r="F19" s="2435" t="s">
        <v>2146</v>
      </c>
      <c r="G19" s="145">
        <f ca="1">ROUND(C19*$C$18+D19*$D$18,0)</f>
        <v>23438</v>
      </c>
      <c r="H19" s="2436" t="s">
        <v>2148</v>
      </c>
      <c r="I19" s="138"/>
      <c r="K19" s="2428" t="s">
        <v>2149</v>
      </c>
      <c r="L19" s="2428">
        <f>IF(C1="",'数据-汇总表'!D3,SUMIF(项目类型,C1,'数据-汇总表'!D17:D26)+SUMIF(项目类型,C1,'数据-汇总表'!H17:H27))</f>
        <v>62695.5</v>
      </c>
      <c r="M19" s="2428">
        <f>IF(C1="",'数据-汇总表'!D3,SUMIF(项目类型,C1,'数据-汇总表'!D17:D26))</f>
        <v>62695.5</v>
      </c>
    </row>
    <row r="20" spans="1:35" ht="14">
      <c r="A20" s="2437"/>
      <c r="B20" s="1247" t="s">
        <v>2150</v>
      </c>
      <c r="C20" s="146">
        <f ca="1">SUMIF(INDIRECT("'"&amp;C4&amp;"'"&amp;"!A:A"),结果表!B20,INDIRECT("'"&amp;C4&amp;"'"&amp;"!B:B"))</f>
        <v>3571</v>
      </c>
      <c r="D20" s="147">
        <f ca="1">SUMIF(INDIRECT("'"&amp;D4&amp;"'"&amp;"!A:A"),结果表!B20,INDIRECT("'"&amp;D4&amp;"'"&amp;"!B:B"))</f>
        <v>3115</v>
      </c>
      <c r="E20" s="2437"/>
      <c r="F20" s="1247" t="s">
        <v>2150</v>
      </c>
      <c r="G20" s="148">
        <f ca="1">ROUND(C20*$C$18+D20*$D$18,0)</f>
        <v>3343</v>
      </c>
      <c r="H20" s="980" t="s">
        <v>2151</v>
      </c>
      <c r="I20" s="138"/>
    </row>
    <row r="21" spans="1:35" ht="15" customHeight="1" thickBot="1">
      <c r="A21" s="1000"/>
      <c r="B21" s="2438" t="s">
        <v>2152</v>
      </c>
      <c r="C21" s="789">
        <f ca="1">ROUND(C19*10000/L19,0)</f>
        <v>3993</v>
      </c>
      <c r="D21" s="790">
        <f ca="1">ROUND(D19*10000/L19,0)</f>
        <v>3484</v>
      </c>
      <c r="E21" s="1000"/>
      <c r="F21" s="2438" t="s">
        <v>2152</v>
      </c>
      <c r="G21" s="149">
        <f ca="1">ROUND(G19*10000/L19,0)</f>
        <v>3738</v>
      </c>
      <c r="H21" s="2439" t="s">
        <v>2151</v>
      </c>
      <c r="I21" s="138"/>
    </row>
    <row r="22" spans="1:35" ht="14.5" thickBot="1">
      <c r="A22" s="2281" t="s">
        <v>2153</v>
      </c>
      <c r="B22" s="2440"/>
      <c r="C22" s="2441"/>
      <c r="D22" s="791">
        <f ca="1">IF(C19&lt;D19,D19/C19-1,C19/D19-1)</f>
        <v>0.14629120879120872</v>
      </c>
      <c r="E22" s="138"/>
      <c r="F22" s="138"/>
      <c r="G22" s="138"/>
      <c r="H22" s="138"/>
      <c r="I22" s="138"/>
    </row>
    <row r="23" spans="1:35" ht="13" thickBot="1">
      <c r="A23" s="2418"/>
      <c r="B23" s="2418"/>
      <c r="C23" s="2418"/>
      <c r="D23" s="2418"/>
      <c r="E23" s="138"/>
      <c r="F23" s="138"/>
      <c r="G23" s="138"/>
      <c r="H23" s="138"/>
      <c r="I23" s="138"/>
    </row>
    <row r="24" spans="1:35" ht="14">
      <c r="A24" s="3144" t="s">
        <v>2154</v>
      </c>
      <c r="B24" s="2435" t="s">
        <v>2146</v>
      </c>
      <c r="C24" s="145">
        <f>IF(B30=0,0,D30)</f>
        <v>0</v>
      </c>
      <c r="D24" s="2442"/>
      <c r="E24" s="138"/>
      <c r="F24" s="138"/>
      <c r="G24" s="138"/>
      <c r="H24" s="138"/>
      <c r="I24" s="138"/>
    </row>
    <row r="25" spans="1:35" ht="14">
      <c r="A25" s="3145"/>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
      <c r="A27" s="2444"/>
      <c r="B27" s="151">
        <v>0</v>
      </c>
      <c r="C27" s="151">
        <v>0</v>
      </c>
      <c r="D27" s="152">
        <f>ROUND(C27*B27/10000,0)</f>
        <v>0</v>
      </c>
      <c r="E27" s="138"/>
      <c r="F27" s="138"/>
      <c r="G27" s="138"/>
      <c r="H27" s="138"/>
      <c r="I27" s="138"/>
    </row>
    <row r="28" spans="1:35" ht="14">
      <c r="A28" s="2444"/>
      <c r="B28" s="151"/>
      <c r="C28" s="151"/>
      <c r="D28" s="152"/>
      <c r="E28" s="138"/>
      <c r="F28" s="138"/>
      <c r="G28" s="138"/>
      <c r="H28" s="138"/>
      <c r="I28" s="138"/>
    </row>
    <row r="29" spans="1:35" ht="14">
      <c r="A29" s="2444"/>
      <c r="B29" s="151"/>
      <c r="C29" s="151"/>
      <c r="D29" s="152"/>
      <c r="E29" s="138"/>
      <c r="F29" s="138"/>
      <c r="G29" s="138"/>
      <c r="H29" s="138"/>
      <c r="I29" s="138"/>
    </row>
    <row r="30" spans="1:35" ht="14">
      <c r="A30" s="151" t="s">
        <v>2159</v>
      </c>
      <c r="B30" s="151"/>
      <c r="C30" s="151"/>
      <c r="D30" s="151"/>
      <c r="E30" s="2917" t="s">
        <v>3032</v>
      </c>
      <c r="F30" s="138"/>
      <c r="G30" s="138"/>
      <c r="H30" s="138"/>
      <c r="I30" s="138"/>
    </row>
    <row r="31" spans="1:35" s="2446" customFormat="1" ht="14.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4.5" thickBot="1">
      <c r="A32" s="2447" t="s">
        <v>2160</v>
      </c>
      <c r="B32" s="2448"/>
      <c r="C32" s="153">
        <f ca="1">IF(D32="总价",G19-C24,G20-C25)</f>
        <v>23438</v>
      </c>
      <c r="D32" s="2449" t="s">
        <v>2161</v>
      </c>
      <c r="E32" s="138"/>
      <c r="F32" s="138"/>
      <c r="G32" s="138"/>
      <c r="H32" s="138"/>
      <c r="I32" s="138"/>
    </row>
    <row r="33" spans="1:15" ht="14">
      <c r="A33" s="957" t="s">
        <v>2162</v>
      </c>
      <c r="B33" s="2450"/>
      <c r="C33" s="2451"/>
      <c r="D33" s="2452"/>
      <c r="E33" s="2453" t="s">
        <v>2163</v>
      </c>
      <c r="F33" s="2454" t="str">
        <f>IF(D32="楼面单价","取值（单价）","取值（总价）")</f>
        <v>取值（总价）</v>
      </c>
      <c r="G33" s="138"/>
      <c r="H33" s="138"/>
      <c r="I33" s="138"/>
    </row>
    <row r="34" spans="1:15" ht="14">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4.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4.5" thickBot="1">
      <c r="A36" s="3124" t="s">
        <v>2168</v>
      </c>
      <c r="B36" s="2461" t="s">
        <v>2169</v>
      </c>
      <c r="C36" s="154"/>
      <c r="D36" s="2462"/>
      <c r="E36" s="2463"/>
      <c r="F36" s="2464"/>
      <c r="G36" s="138"/>
      <c r="H36" s="138"/>
      <c r="I36" s="138"/>
    </row>
    <row r="37" spans="1:15" ht="14.5" thickBot="1">
      <c r="A37" s="3125"/>
      <c r="B37" s="2267" t="s">
        <v>2170</v>
      </c>
      <c r="C37" s="156"/>
      <c r="D37" s="1392"/>
      <c r="E37" s="1392"/>
      <c r="F37" s="2464"/>
      <c r="G37" s="138"/>
      <c r="H37" s="138"/>
      <c r="I37" s="138"/>
    </row>
    <row r="38" spans="1:15" ht="14.5" thickBot="1">
      <c r="A38" s="3126"/>
      <c r="B38" s="2465" t="s">
        <v>2171</v>
      </c>
      <c r="C38" s="727"/>
      <c r="D38" s="2466" t="s">
        <v>2172</v>
      </c>
      <c r="E38" s="1392"/>
      <c r="F38" s="2464"/>
      <c r="G38" s="138"/>
      <c r="H38" s="138"/>
      <c r="I38" s="138"/>
    </row>
    <row r="39" spans="1:15" ht="14">
      <c r="A39" s="2437" t="s">
        <v>2173</v>
      </c>
      <c r="B39" s="2467" t="s">
        <v>2174</v>
      </c>
      <c r="C39" s="2468" t="s">
        <v>2175</v>
      </c>
      <c r="D39" s="2468" t="s">
        <v>2176</v>
      </c>
      <c r="E39" s="2469" t="s">
        <v>2177</v>
      </c>
      <c r="F39" s="2464"/>
      <c r="G39" s="138"/>
      <c r="H39" s="138"/>
      <c r="I39" s="138"/>
    </row>
    <row r="40" spans="1:15" ht="14">
      <c r="A40" s="2470" t="s">
        <v>2178</v>
      </c>
      <c r="B40" s="158"/>
      <c r="C40" s="159"/>
      <c r="D40" s="159"/>
      <c r="E40" s="160"/>
      <c r="F40" s="2464"/>
      <c r="G40" s="138"/>
      <c r="H40" s="138"/>
      <c r="I40" s="138"/>
    </row>
    <row r="41" spans="1:15" ht="14">
      <c r="A41" s="2470" t="s">
        <v>2179</v>
      </c>
      <c r="B41" s="158"/>
      <c r="C41" s="159"/>
      <c r="D41" s="159"/>
      <c r="E41" s="160"/>
      <c r="F41" s="2464"/>
      <c r="G41" s="138"/>
      <c r="H41" s="138"/>
      <c r="I41" s="138"/>
    </row>
    <row r="42" spans="1:15" ht="14.5" thickBot="1">
      <c r="A42" s="2471"/>
      <c r="B42" s="161"/>
      <c r="C42" s="162"/>
      <c r="D42" s="162"/>
      <c r="E42" s="163"/>
      <c r="F42" s="2464"/>
      <c r="G42" s="138"/>
      <c r="H42" s="138"/>
      <c r="I42" s="138"/>
    </row>
    <row r="43" spans="1:15" ht="12.5">
      <c r="A43" s="2165"/>
      <c r="B43" s="2165"/>
      <c r="C43" s="2165"/>
      <c r="D43" s="2165"/>
      <c r="E43" s="2165"/>
      <c r="F43" s="2472"/>
      <c r="G43" s="2472"/>
      <c r="H43" s="2472"/>
      <c r="I43" s="2473"/>
    </row>
    <row r="44" spans="1:15" ht="18">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41" t="s">
        <v>2182</v>
      </c>
      <c r="B45" s="3142"/>
      <c r="C45" s="3143"/>
      <c r="D45" s="164">
        <f ca="1">ROUND(H101*F45,0)</f>
        <v>23438</v>
      </c>
      <c r="E45" s="165" t="s">
        <v>2183</v>
      </c>
      <c r="F45" s="166">
        <v>1</v>
      </c>
      <c r="G45" s="167" t="s">
        <v>2184</v>
      </c>
      <c r="H45" s="138"/>
      <c r="I45" s="138"/>
      <c r="J45" s="3060" t="s">
        <v>2185</v>
      </c>
      <c r="K45" s="3060"/>
      <c r="L45" s="3060"/>
      <c r="M45" s="3060"/>
      <c r="N45" s="3060"/>
      <c r="O45" s="3060"/>
    </row>
    <row r="46" spans="1:15" ht="14.25" customHeight="1">
      <c r="A46" s="3138" t="s">
        <v>2186</v>
      </c>
      <c r="B46" s="3139"/>
      <c r="C46" s="3139"/>
      <c r="D46" s="3139"/>
      <c r="E46" s="3139"/>
      <c r="F46" s="3139"/>
      <c r="G46" s="3140"/>
      <c r="H46" s="2480"/>
      <c r="I46" s="168"/>
      <c r="J46" s="1809">
        <v>1</v>
      </c>
      <c r="K46" s="3060" t="s">
        <v>2187</v>
      </c>
      <c r="L46" s="3060"/>
      <c r="M46" s="3061"/>
      <c r="N46" s="3061"/>
      <c r="O46" s="3061"/>
    </row>
    <row r="47" spans="1:15" ht="12" customHeight="1">
      <c r="A47" s="169" t="s">
        <v>2188</v>
      </c>
      <c r="B47" s="170"/>
      <c r="C47" s="171"/>
      <c r="D47" s="172" t="s">
        <v>2189</v>
      </c>
      <c r="E47" s="24" t="s">
        <v>2190</v>
      </c>
      <c r="F47" s="173" t="s">
        <v>2191</v>
      </c>
      <c r="G47" s="174" t="s">
        <v>2192</v>
      </c>
      <c r="H47" s="2480"/>
      <c r="I47" s="168"/>
      <c r="J47" s="1809">
        <v>2</v>
      </c>
      <c r="K47" s="3060" t="s">
        <v>2193</v>
      </c>
      <c r="L47" s="3060"/>
      <c r="M47" s="3062">
        <f>'数据-取费表'!B2</f>
        <v>43868</v>
      </c>
      <c r="N47" s="3062"/>
      <c r="O47" s="3062"/>
    </row>
    <row r="48" spans="1:15" ht="26">
      <c r="A48" s="3128" t="s">
        <v>2194</v>
      </c>
      <c r="B48" s="3129"/>
      <c r="C48" s="3129"/>
      <c r="D48" s="140">
        <f>IF(H48="情况1",0,IF(H48="情况2",D52,IF(H48="情况3",D53,IF(H48="情况4",D54))))</f>
        <v>0</v>
      </c>
      <c r="E48" s="1798" t="str">
        <f>IF(H48="情况4","(销售额-原购置价)×税（费）率","销售额×税（费）率")</f>
        <v>销售额×税（费）率</v>
      </c>
      <c r="F48" s="175" t="str">
        <f>IF(H48="情况1","免征",'数据-取费表'!B41)</f>
        <v>免征</v>
      </c>
      <c r="G48" s="2481" t="s">
        <v>2195</v>
      </c>
      <c r="H48" s="2482" t="s">
        <v>2196</v>
      </c>
      <c r="I48" s="2480"/>
      <c r="J48" s="1809">
        <v>3</v>
      </c>
      <c r="K48" s="3060" t="s">
        <v>2197</v>
      </c>
      <c r="L48" s="3060"/>
      <c r="M48" s="3063">
        <f ca="1">H101</f>
        <v>23438</v>
      </c>
      <c r="N48" s="3063"/>
      <c r="O48" s="3063"/>
    </row>
    <row r="49" spans="1:35" ht="25.5" customHeight="1">
      <c r="A49" s="176" t="s">
        <v>2198</v>
      </c>
      <c r="B49" s="3108" t="s">
        <v>2199</v>
      </c>
      <c r="C49" s="3108"/>
      <c r="D49" s="177">
        <v>0</v>
      </c>
      <c r="E49" s="23" t="s">
        <v>2200</v>
      </c>
      <c r="F49" s="28" t="s">
        <v>34</v>
      </c>
      <c r="G49" s="3089"/>
      <c r="H49" s="138"/>
      <c r="I49" s="2483"/>
      <c r="J49" s="1809">
        <v>4</v>
      </c>
      <c r="K49" s="3060" t="str">
        <f>IF(项目基本情况!E8="房地产抵押价值","房地产抵押价值","抵押担保权已注销时的房地产抵押价值")</f>
        <v>房地产抵押价值</v>
      </c>
      <c r="L49" s="3060"/>
      <c r="M49" s="3063">
        <f ca="1">IF(项目基本情况!E8="房地产抵押价值",H107,H109)</f>
        <v>23438</v>
      </c>
      <c r="N49" s="3063"/>
      <c r="O49" s="3063"/>
    </row>
    <row r="50" spans="1:35" ht="25.5" customHeight="1">
      <c r="A50" s="178"/>
      <c r="B50" s="3108" t="s">
        <v>2201</v>
      </c>
      <c r="C50" s="3108"/>
      <c r="D50" s="179"/>
      <c r="E50" s="31"/>
      <c r="F50" s="180"/>
      <c r="G50" s="3090"/>
      <c r="H50" s="138"/>
      <c r="I50" s="2483"/>
      <c r="J50" s="3060" t="s">
        <v>2202</v>
      </c>
      <c r="K50" s="3060"/>
      <c r="L50" s="3060"/>
      <c r="M50" s="3060"/>
      <c r="N50" s="3060"/>
      <c r="O50" s="3060"/>
    </row>
    <row r="51" spans="1:35" ht="12" customHeight="1">
      <c r="A51" s="181"/>
      <c r="B51" s="3108" t="s">
        <v>2203</v>
      </c>
      <c r="C51" s="3108"/>
      <c r="D51" s="182"/>
      <c r="E51" s="30"/>
      <c r="F51" s="180"/>
      <c r="G51" s="3091"/>
      <c r="H51" s="138"/>
      <c r="I51" s="2483"/>
      <c r="J51" s="2484" t="s">
        <v>2204</v>
      </c>
      <c r="K51" s="3060" t="s">
        <v>2205</v>
      </c>
      <c r="L51" s="3060"/>
      <c r="M51" s="2484" t="s">
        <v>2206</v>
      </c>
      <c r="N51" s="2484" t="s">
        <v>2207</v>
      </c>
      <c r="O51" s="2484" t="s">
        <v>2208</v>
      </c>
    </row>
    <row r="52" spans="1:35" ht="24" customHeight="1">
      <c r="A52" s="183" t="s">
        <v>2209</v>
      </c>
      <c r="B52" s="3108" t="s">
        <v>2210</v>
      </c>
      <c r="C52" s="3108"/>
      <c r="D52" s="182">
        <f ca="1">ROUND(D45*'数据-取费表'!B41/(1+'数据-取费表'!C42),0)</f>
        <v>1228</v>
      </c>
      <c r="E52" s="11" t="s">
        <v>2211</v>
      </c>
      <c r="F52" s="184">
        <f>'数据-取费表'!B41</f>
        <v>5.5000000000000007E-2</v>
      </c>
      <c r="G52" s="2485"/>
      <c r="H52" s="138"/>
      <c r="I52" s="2483"/>
      <c r="J52" s="1809">
        <v>1</v>
      </c>
      <c r="K52" s="3083" t="s">
        <v>2212</v>
      </c>
      <c r="L52" s="3083"/>
      <c r="M52" s="1751">
        <f>D48</f>
        <v>0</v>
      </c>
      <c r="N52" s="1809" t="str">
        <f>E48</f>
        <v>销售额×税（费）率</v>
      </c>
      <c r="O52" s="1752" t="str">
        <f>F48</f>
        <v>免征</v>
      </c>
    </row>
    <row r="53" spans="1:35" ht="12" customHeight="1">
      <c r="A53" s="183" t="s">
        <v>2213</v>
      </c>
      <c r="B53" s="3109" t="s">
        <v>2214</v>
      </c>
      <c r="C53" s="3110"/>
      <c r="D53" s="182">
        <f ca="1">ROUND(D45*'数据-取费表'!B41/(1+'数据-取费表'!C42),0)</f>
        <v>1228</v>
      </c>
      <c r="E53" s="11" t="s">
        <v>2211</v>
      </c>
      <c r="F53" s="184">
        <f>'数据-取费表'!B41</f>
        <v>5.5000000000000007E-2</v>
      </c>
      <c r="G53" s="2485"/>
      <c r="H53" s="138"/>
      <c r="I53" s="2483"/>
      <c r="J53" s="1809">
        <v>2</v>
      </c>
      <c r="K53" s="3083" t="s">
        <v>2215</v>
      </c>
      <c r="L53" s="3083"/>
      <c r="M53" s="1751">
        <f t="shared" ref="M53:O54" ca="1" si="0">D55</f>
        <v>12</v>
      </c>
      <c r="N53" s="1809" t="str">
        <f t="shared" si="0"/>
        <v>销售额×税（费）率</v>
      </c>
      <c r="O53" s="1752">
        <f t="shared" si="0"/>
        <v>5.0000000000000001E-4</v>
      </c>
    </row>
    <row r="54" spans="1:35" ht="12" customHeight="1">
      <c r="A54" s="183" t="s">
        <v>2216</v>
      </c>
      <c r="B54" s="3109" t="s">
        <v>2217</v>
      </c>
      <c r="C54" s="3110"/>
      <c r="D54" s="182">
        <f ca="1">C68</f>
        <v>1228</v>
      </c>
      <c r="E54" s="30" t="s">
        <v>2218</v>
      </c>
      <c r="F54" s="184">
        <f>'数据-取费表'!B41</f>
        <v>5.5000000000000007E-2</v>
      </c>
      <c r="G54" s="2485"/>
      <c r="H54" s="2486"/>
      <c r="I54" s="2483"/>
      <c r="J54" s="1809">
        <v>3</v>
      </c>
      <c r="K54" s="3083" t="s">
        <v>2219</v>
      </c>
      <c r="L54" s="3083"/>
      <c r="M54" s="1751">
        <f t="shared" ca="1" si="0"/>
        <v>13287</v>
      </c>
      <c r="N54" s="1809" t="str">
        <f t="shared" si="0"/>
        <v>增值额×税（费）率</v>
      </c>
      <c r="O54" s="1753" t="str">
        <f t="shared" si="0"/>
        <v>——</v>
      </c>
    </row>
    <row r="55" spans="1:35" ht="24" customHeight="1">
      <c r="A55" s="3147" t="s">
        <v>2220</v>
      </c>
      <c r="B55" s="3129"/>
      <c r="C55" s="3129"/>
      <c r="D55" s="185">
        <f ca="1">IF(H55="个人住宅",0,ROUND(D45*I55,0))</f>
        <v>12</v>
      </c>
      <c r="E55" s="11" t="s">
        <v>2221</v>
      </c>
      <c r="F55" s="184">
        <f>IF(H55="正常",I55,"免征")</f>
        <v>5.0000000000000001E-4</v>
      </c>
      <c r="G55" s="2485"/>
      <c r="H55" s="2482" t="s">
        <v>2222</v>
      </c>
      <c r="I55" s="186">
        <f>'数据-取费表'!B49</f>
        <v>5.0000000000000001E-4</v>
      </c>
      <c r="J55" s="1809" t="str">
        <f>IF(H59="非个人房产","",4)</f>
        <v/>
      </c>
      <c r="K55" s="3083" t="str">
        <f>IF(H59="非个人房产","——","个人所得税")</f>
        <v>——</v>
      </c>
      <c r="L55" s="3083"/>
      <c r="M55" s="1754" t="str">
        <f>D59</f>
        <v>——</v>
      </c>
      <c r="N55" s="1807" t="str">
        <f>E59</f>
        <v>——</v>
      </c>
      <c r="O55" s="1755" t="str">
        <f>F59</f>
        <v>——</v>
      </c>
    </row>
    <row r="56" spans="1:35" ht="26">
      <c r="A56" s="3147" t="s">
        <v>2223</v>
      </c>
      <c r="B56" s="3129"/>
      <c r="C56" s="3129"/>
      <c r="D56" s="185">
        <f ca="1">IF(H56="个人住宅",D57,D58)</f>
        <v>13287</v>
      </c>
      <c r="E56" s="11" t="s">
        <v>2224</v>
      </c>
      <c r="F56" s="184" t="str">
        <f>IF(H56="正常",F58,"免征")</f>
        <v>——</v>
      </c>
      <c r="G56" s="2487" t="s">
        <v>2225</v>
      </c>
      <c r="H56" s="2488" t="s">
        <v>2222</v>
      </c>
      <c r="I56" s="2489"/>
      <c r="J56" s="1809" t="str">
        <f>IF(项目基本情况!K6="上海银行",IF(J55="",4,J55+1),"")</f>
        <v/>
      </c>
      <c r="K56" s="3066" t="str">
        <f>IF(项目基本情况!K6="上海银行","其他处置费用","")</f>
        <v/>
      </c>
      <c r="L56" s="3067"/>
      <c r="M56" s="1751" t="str">
        <f>IF(项目基本情况!K6="上海银行",M69,"")</f>
        <v/>
      </c>
      <c r="N56" s="3069" t="str">
        <f>IF(项目基本情况!K6="上海银行","包含处置中涉及的律师、诉讼、拍卖、评估等费用","")</f>
        <v/>
      </c>
      <c r="O56" s="3070"/>
    </row>
    <row r="57" spans="1:35" ht="13">
      <c r="A57" s="183" t="s">
        <v>2198</v>
      </c>
      <c r="B57" s="3114" t="s">
        <v>2226</v>
      </c>
      <c r="C57" s="3115"/>
      <c r="D57" s="187">
        <v>0</v>
      </c>
      <c r="E57" s="23" t="s">
        <v>2200</v>
      </c>
      <c r="F57" s="155"/>
      <c r="G57" s="2485"/>
      <c r="H57" s="2489"/>
      <c r="I57" s="2489"/>
      <c r="J57" s="3083">
        <f>IF(AND(J55="",J56=""),4,IF(项目基本情况!K6="上海银行",结果表!J56+1,结果表!J55+1))</f>
        <v>4</v>
      </c>
      <c r="K57" s="3083" t="s">
        <v>2227</v>
      </c>
      <c r="L57" s="2490" t="s">
        <v>2228</v>
      </c>
      <c r="M57" s="1756"/>
      <c r="N57" s="1757">
        <f ca="1">SUMIF(M52:M56,"&lt;9e307")</f>
        <v>13299</v>
      </c>
      <c r="O57" s="2491"/>
      <c r="P57" s="1750">
        <f ca="1">N57/M49</f>
        <v>0.56741189521290214</v>
      </c>
    </row>
    <row r="58" spans="1:35" ht="26">
      <c r="A58" s="183" t="s">
        <v>2209</v>
      </c>
      <c r="B58" s="3114" t="s">
        <v>2229</v>
      </c>
      <c r="C58" s="3127"/>
      <c r="D58" s="185">
        <f ca="1">IF(H58="转让取得",C81,C97)</f>
        <v>13287</v>
      </c>
      <c r="E58" s="11" t="s">
        <v>2224</v>
      </c>
      <c r="F58" s="24" t="s">
        <v>34</v>
      </c>
      <c r="G58" s="2485"/>
      <c r="H58" s="2488" t="s">
        <v>2230</v>
      </c>
      <c r="I58" s="2489"/>
      <c r="J58" s="3083"/>
      <c r="K58" s="3083"/>
      <c r="L58" s="2490" t="s">
        <v>2231</v>
      </c>
      <c r="M58" s="1758"/>
      <c r="N58" s="2492" t="str">
        <f ca="1">NUMBERSTRING(INT(N57*10000),2)&amp;"元整"</f>
        <v>壹亿叁仟贰佰玖拾玖万元整</v>
      </c>
      <c r="O58" s="2493"/>
    </row>
    <row r="59" spans="1:35" ht="26.5" thickBot="1">
      <c r="A59" s="3087" t="s">
        <v>2232</v>
      </c>
      <c r="B59" s="3088"/>
      <c r="C59" s="3088"/>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085">
        <f>J57+1</f>
        <v>5</v>
      </c>
      <c r="K59" s="3083" t="s">
        <v>2234</v>
      </c>
      <c r="L59" s="1809" t="s">
        <v>2228</v>
      </c>
      <c r="M59" s="1759"/>
      <c r="N59" s="1760">
        <f ca="1">M49-N57</f>
        <v>10139</v>
      </c>
      <c r="O59" s="2495"/>
    </row>
    <row r="60" spans="1:35" ht="12" customHeight="1">
      <c r="A60" s="2496"/>
      <c r="B60" s="2418"/>
      <c r="C60" s="2418"/>
      <c r="D60" s="2418"/>
      <c r="E60" s="2166"/>
      <c r="F60" s="2489"/>
      <c r="G60" s="2489"/>
      <c r="H60" s="2497"/>
      <c r="I60" s="138"/>
      <c r="J60" s="3086"/>
      <c r="K60" s="3083"/>
      <c r="L60" s="2490" t="s">
        <v>2231</v>
      </c>
      <c r="M60" s="1758"/>
      <c r="N60" s="2492" t="str">
        <f ca="1">NUMBERSTRING(INT(N59*10000),2)&amp;"元整"</f>
        <v>壹亿零壹佰叁拾玖万元整</v>
      </c>
      <c r="O60" s="2493"/>
    </row>
    <row r="61" spans="1:35" ht="13.5" thickBot="1">
      <c r="A61" s="3146" t="s">
        <v>2235</v>
      </c>
      <c r="B61" s="3146"/>
      <c r="C61" s="3146"/>
      <c r="D61" s="3146"/>
      <c r="E61" s="3146"/>
      <c r="F61" s="2489"/>
      <c r="G61" s="2489"/>
      <c r="H61" s="2497"/>
      <c r="I61" s="138"/>
      <c r="J61" s="1809">
        <f>J59+1</f>
        <v>6</v>
      </c>
      <c r="K61" s="3083" t="s">
        <v>2236</v>
      </c>
      <c r="L61" s="3083"/>
      <c r="M61" s="1761"/>
      <c r="N61" s="1762">
        <f ca="1">ROUND(N59*10000/'数据-汇总表'!E3,0)</f>
        <v>1446</v>
      </c>
      <c r="O61" s="2498"/>
    </row>
    <row r="62" spans="1:35" ht="13">
      <c r="A62" s="3103" t="s">
        <v>2237</v>
      </c>
      <c r="B62" s="3104"/>
      <c r="C62" s="1801"/>
      <c r="D62" s="1801" t="s">
        <v>2238</v>
      </c>
      <c r="E62" s="192" t="s">
        <v>2239</v>
      </c>
      <c r="F62" s="2489"/>
      <c r="G62" s="2489"/>
      <c r="H62" s="2497"/>
      <c r="I62" s="138"/>
    </row>
    <row r="63" spans="1:35" ht="13">
      <c r="A63" s="203" t="s">
        <v>775</v>
      </c>
      <c r="B63" s="193" t="s">
        <v>2240</v>
      </c>
      <c r="C63" s="194">
        <f ca="1">ROUND((C64+C65)/(1+'数据-取费表'!C42),0)</f>
        <v>22322</v>
      </c>
      <c r="D63" s="195"/>
      <c r="E63" s="196"/>
      <c r="F63" s="2489"/>
      <c r="G63" s="2489"/>
      <c r="H63" s="2497"/>
      <c r="I63" s="138"/>
      <c r="J63" s="3068" t="s">
        <v>2241</v>
      </c>
      <c r="K63" s="2499" t="s">
        <v>2242</v>
      </c>
      <c r="L63" s="1749">
        <f ca="1">IF(M49&gt;10000,M49*0.5%,IF(AND(M49&gt;1000,M49&lt;=10000),M49*1%,IF(AND(M49&gt;100,M49&lt;=1000),M49*3%,IF(AND(M49&gt;10,M49&lt;=100),M49*5%,M49*8%))))</f>
        <v>117.19</v>
      </c>
      <c r="M63" s="24">
        <f ca="1">ROUND(L63,1)</f>
        <v>117.2</v>
      </c>
      <c r="Z63" s="2423"/>
      <c r="AI63" s="2424"/>
    </row>
    <row r="64" spans="1:35" ht="14.25" customHeight="1">
      <c r="A64" s="197" t="s">
        <v>770</v>
      </c>
      <c r="B64" s="198" t="s">
        <v>2243</v>
      </c>
      <c r="C64" s="199">
        <f ca="1">D45</f>
        <v>23438</v>
      </c>
      <c r="D64" s="200" t="s">
        <v>32</v>
      </c>
      <c r="E64" s="201"/>
      <c r="F64" s="2489"/>
      <c r="G64" s="2489"/>
      <c r="H64" s="2497"/>
      <c r="I64" s="138"/>
      <c r="J64" s="3068"/>
      <c r="K64" s="2499" t="s">
        <v>2244</v>
      </c>
      <c r="L64" s="1749">
        <f ca="1">IF(M49&gt;2000,M49*0.5%,IF(AND(M49&gt;1000,M49&lt;=2000),M49*0.6%,IF(AND(M49&gt;500,M49&lt;=1000),M49*0.7%,IF(AND(M49&gt;200,M49&lt;=500),M49*0.8%,IF(AND(M49&gt;100,M49&lt;=200),M49*0.9%,IF(AND(M49&gt;50,M49&lt;=100),M49*1%,IF(AND(M49&gt;20,M49&lt;=50),M49*1.5%,IF(AND(M49&gt;10,M49&lt;=20),M49*2%,IF(AND(M49&gt;1,M49&lt;=10),M49*2.5%)))))))))</f>
        <v>117.19</v>
      </c>
      <c r="M64" s="24">
        <f t="shared" ref="M64:M65" ca="1" si="1">ROUND(L64,1)</f>
        <v>117.2</v>
      </c>
      <c r="N64" s="138" t="s">
        <v>2245</v>
      </c>
      <c r="Z64" s="2423"/>
      <c r="AI64" s="2424"/>
    </row>
    <row r="65" spans="1:35" ht="14.25" customHeight="1">
      <c r="A65" s="197" t="s">
        <v>771</v>
      </c>
      <c r="B65" s="198" t="s">
        <v>2246</v>
      </c>
      <c r="C65" s="202"/>
      <c r="D65" s="200"/>
      <c r="E65" s="201"/>
      <c r="F65" s="2489"/>
      <c r="G65" s="2489"/>
      <c r="H65" s="2497"/>
      <c r="I65" s="138"/>
      <c r="J65" s="3068"/>
      <c r="K65" s="2499" t="s">
        <v>2247</v>
      </c>
      <c r="L65" s="1749">
        <f ca="1">IF(M49&gt;1000,M49*0.1%,IF(AND(M49&gt;500,M49&lt;=1000),M49*0.5%,IF(AND(M49&gt;50,M49&lt;=500),M49*1%,IF(AND(M49&gt;1,M49&lt;=50),M49*1.5%))))</f>
        <v>23.437999999999999</v>
      </c>
      <c r="M65" s="24">
        <f t="shared" ca="1" si="1"/>
        <v>23.4</v>
      </c>
      <c r="N65" s="138" t="s">
        <v>2245</v>
      </c>
      <c r="Z65" s="2423"/>
      <c r="AI65" s="2424"/>
    </row>
    <row r="66" spans="1:35" ht="14.25" customHeight="1">
      <c r="A66" s="203" t="s">
        <v>772</v>
      </c>
      <c r="B66" s="204" t="s">
        <v>2248</v>
      </c>
      <c r="C66" s="205"/>
      <c r="D66" s="206" t="s">
        <v>32</v>
      </c>
      <c r="E66" s="1773" t="s">
        <v>1366</v>
      </c>
      <c r="F66" s="2489"/>
      <c r="G66" s="2489"/>
      <c r="H66" s="2497"/>
      <c r="I66" s="138"/>
      <c r="J66" s="3068"/>
      <c r="K66" s="2499" t="s">
        <v>2249</v>
      </c>
      <c r="L66" s="1749">
        <f ca="1">M49*0.5%</f>
        <v>117.19</v>
      </c>
      <c r="M66" s="24">
        <f ca="1">IF(L66&gt;0.5,0.5,ROUND(L66,0))</f>
        <v>0.5</v>
      </c>
      <c r="N66" s="138" t="s">
        <v>2250</v>
      </c>
      <c r="Z66" s="2423"/>
      <c r="AI66" s="2424"/>
    </row>
    <row r="67" spans="1:35" ht="14.25" customHeight="1">
      <c r="A67" s="203" t="s">
        <v>773</v>
      </c>
      <c r="B67" s="204" t="s">
        <v>2251</v>
      </c>
      <c r="C67" s="207">
        <f ca="1">C63-C66</f>
        <v>22322</v>
      </c>
      <c r="D67" s="200" t="s">
        <v>32</v>
      </c>
      <c r="E67" s="201"/>
      <c r="F67" s="2489"/>
      <c r="G67" s="2489"/>
      <c r="H67" s="2497"/>
      <c r="I67" s="138"/>
      <c r="J67" s="3068"/>
      <c r="K67" s="2499" t="s">
        <v>2252</v>
      </c>
      <c r="L67" s="1749">
        <f ca="1">IF(M49&gt;=10000,(8.25+(M49-10000)*0.01%),IF(AND(M49&gt;=8000,M49&lt;10000),(7.85+(M49-8000)*0.02%),IF(AND(M49&gt;=5000,M49&lt;8000),(6.65+(M49-5000)*0.04%),IF(AND(M49&gt;=2000,M49&lt;5000),(4.25+(PM49-2000)*0.08%),IF(AND(M49&gt;=1000,M49&lt;2000),(2.75+(M49-1000)*0.15%),IF(AND(M49&gt;=100,M49&lt;1000),(0.5+(M49-100)*0.25%),IF(AND(M49&gt;0,M49&lt;100),M49*0.5%)))))))</f>
        <v>9.5937999999999999</v>
      </c>
      <c r="M67" s="24">
        <f ca="1">ROUND(L67*0.9,1)</f>
        <v>8.6</v>
      </c>
      <c r="Z67" s="2423"/>
      <c r="AI67" s="2424"/>
    </row>
    <row r="68" spans="1:35" ht="14.25" customHeight="1" thickBot="1">
      <c r="A68" s="208" t="s">
        <v>774</v>
      </c>
      <c r="B68" s="209" t="s">
        <v>2253</v>
      </c>
      <c r="C68" s="210">
        <f ca="1">IF(C67&lt;=0,0,ROUND(C67*D68,0))</f>
        <v>1228</v>
      </c>
      <c r="D68" s="211">
        <f>'数据-取费表'!B41</f>
        <v>5.5000000000000007E-2</v>
      </c>
      <c r="E68" s="212"/>
      <c r="F68" s="2489"/>
      <c r="G68" s="2489"/>
      <c r="H68" s="2497"/>
      <c r="I68" s="138"/>
      <c r="J68" s="3068"/>
      <c r="K68" s="2499" t="s">
        <v>2254</v>
      </c>
      <c r="L68" s="1749">
        <f ca="1">IF(M49&gt;10000,M49*0.5%,IF(AND(M49&gt;5000,M49&lt;=10000),M49*1%,IF(AND(M49&gt;1000,M49&lt;=5000),M49*2%,IF(AND(M49&gt;200,M49&lt;=1000),M49*3%,M49*5%))))</f>
        <v>117.19</v>
      </c>
      <c r="M68" s="24">
        <f ca="1">ROUND(L68,1)</f>
        <v>117.2</v>
      </c>
      <c r="Z68" s="2423"/>
      <c r="AI68" s="2424"/>
    </row>
    <row r="69" spans="1:35" s="2446" customFormat="1" ht="16.5" customHeight="1">
      <c r="A69" s="2500"/>
      <c r="B69" s="2501"/>
      <c r="C69" s="2502"/>
      <c r="D69" s="2503"/>
      <c r="E69" s="2504"/>
      <c r="F69" s="2166"/>
      <c r="G69" s="2166"/>
      <c r="H69" s="2165"/>
      <c r="I69" s="2418"/>
      <c r="J69" s="3068"/>
      <c r="K69" s="2499" t="s">
        <v>2255</v>
      </c>
      <c r="L69" s="2505"/>
      <c r="M69" s="24">
        <f ca="1">ROUND(SUM(M63:M68),0)</f>
        <v>384</v>
      </c>
      <c r="N69" s="1750">
        <f ca="1">M69/M49</f>
        <v>1.6383650482123049E-2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5" thickBot="1">
      <c r="A70" s="3112" t="s">
        <v>2256</v>
      </c>
      <c r="B70" s="3113"/>
      <c r="C70" s="3113"/>
      <c r="D70" s="3113"/>
      <c r="E70" s="3113"/>
      <c r="F70" s="3113"/>
      <c r="G70" s="3113"/>
      <c r="H70" s="311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
      <c r="A71" s="3103" t="s">
        <v>2237</v>
      </c>
      <c r="B71" s="3104"/>
      <c r="C71" s="1801"/>
      <c r="D71" s="1801"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
      <c r="A72" s="203" t="s">
        <v>775</v>
      </c>
      <c r="B72" s="204" t="s">
        <v>2257</v>
      </c>
      <c r="C72" s="207">
        <f ca="1">ROUND(D45/(1+'数据-取费表'!C42),0)</f>
        <v>22322</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
      <c r="A73" s="203" t="s">
        <v>772</v>
      </c>
      <c r="B73" s="173" t="s">
        <v>2258</v>
      </c>
      <c r="C73" s="207">
        <f ca="1">C74+C78</f>
        <v>112</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6">
      <c r="A74" s="217" t="s">
        <v>770</v>
      </c>
      <c r="B74" s="198" t="s">
        <v>2259</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09" t="s">
        <v>2265</v>
      </c>
      <c r="F76" s="3108"/>
      <c r="G76" s="3108"/>
      <c r="H76" s="311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4.0500000000000001E-2</v>
      </c>
      <c r="E77" s="15" t="s">
        <v>2267</v>
      </c>
      <c r="F77" s="224"/>
      <c r="G77" s="2513" t="s">
        <v>2268</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112</v>
      </c>
      <c r="D78" s="226">
        <f>'数据-取费表'!B43</f>
        <v>5.000000000000001E-3</v>
      </c>
      <c r="E78" s="3100" t="s">
        <v>2270</v>
      </c>
      <c r="F78" s="3101"/>
      <c r="G78" s="3101"/>
      <c r="H78" s="310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
      <c r="A79" s="2515" t="s">
        <v>779</v>
      </c>
      <c r="B79" s="204" t="s">
        <v>2271</v>
      </c>
      <c r="C79" s="207">
        <f ca="1">C72-C73</f>
        <v>22210</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6">
      <c r="A80" s="2515" t="s">
        <v>780</v>
      </c>
      <c r="B80" s="204" t="s">
        <v>2272</v>
      </c>
      <c r="C80" s="227">
        <f ca="1">IF(C79&lt;=0,0,C79/C73)</f>
        <v>198.30357142857142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6.5" thickBot="1">
      <c r="A81" s="2516" t="s">
        <v>781</v>
      </c>
      <c r="B81" s="209" t="s">
        <v>2273</v>
      </c>
      <c r="C81" s="228">
        <f ca="1">ROUND(IF(C79&lt;=0,0,IF(C80&gt;=200%,C79*60%-C73*35%,IF(C80&gt;=100%,C79*50%-C73*15%,IF(C80&gt;=50%,C79*40%-C73*5%,IF(C80&lt;50%,C79*30%,0))))),0)</f>
        <v>13287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5" thickBot="1">
      <c r="A83" s="3112" t="s">
        <v>2274</v>
      </c>
      <c r="B83" s="3113"/>
      <c r="C83" s="3113"/>
      <c r="D83" s="3113"/>
      <c r="E83" s="3113"/>
      <c r="F83" s="3113"/>
      <c r="G83" s="3113"/>
      <c r="H83" s="311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
      <c r="A84" s="3103" t="s">
        <v>2237</v>
      </c>
      <c r="B84" s="3104"/>
      <c r="C84" s="1801"/>
      <c r="D84" s="1801"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
      <c r="A85" s="203" t="s">
        <v>775</v>
      </c>
      <c r="B85" s="204" t="s">
        <v>2257</v>
      </c>
      <c r="C85" s="207">
        <f ca="1">ROUND(D45/(1+'数据-取费表'!C42),0)</f>
        <v>22322</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
      <c r="A86" s="203" t="s">
        <v>772</v>
      </c>
      <c r="B86" s="173" t="s">
        <v>2258</v>
      </c>
      <c r="C86" s="207">
        <f ca="1">IF(H88="仅含出让金",C87+C90+C91+C92+C93+C94,C87+C91+C92+C93+C94)</f>
        <v>112</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
      <c r="A87" s="217" t="s">
        <v>770</v>
      </c>
      <c r="B87" s="198" t="s">
        <v>2275</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
      <c r="A88" s="217" t="s">
        <v>776</v>
      </c>
      <c r="B88" s="198" t="s">
        <v>2276</v>
      </c>
      <c r="C88" s="236"/>
      <c r="D88" s="226"/>
      <c r="E88" s="237" t="s">
        <v>2277</v>
      </c>
      <c r="F88" s="1797"/>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
      <c r="A89" s="217" t="s">
        <v>777</v>
      </c>
      <c r="B89" s="198" t="s">
        <v>2266</v>
      </c>
      <c r="C89" s="225">
        <f>ROUND(C88*D89,0)</f>
        <v>0</v>
      </c>
      <c r="D89" s="226">
        <f>'数据-取费表'!B48+'数据-取费表'!B49</f>
        <v>4.0500000000000001E-2</v>
      </c>
      <c r="E89" s="237" t="s">
        <v>2279</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
      <c r="A90" s="217" t="s">
        <v>771</v>
      </c>
      <c r="B90" s="198" t="s">
        <v>2280</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100" t="s">
        <v>2283</v>
      </c>
      <c r="F91" s="3101"/>
      <c r="G91" s="3101"/>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100" t="s">
        <v>2287</v>
      </c>
      <c r="F92" s="3101"/>
      <c r="G92" s="3101"/>
      <c r="H92" s="310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112</v>
      </c>
      <c r="D93" s="226">
        <f>'数据-取费表'!B43</f>
        <v>5.000000000000001E-3</v>
      </c>
      <c r="E93" s="3100" t="s">
        <v>2270</v>
      </c>
      <c r="F93" s="3101"/>
      <c r="G93" s="3101"/>
      <c r="H93" s="310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48" t="s">
        <v>2291</v>
      </c>
      <c r="F94" s="3149"/>
      <c r="G94" s="3149"/>
      <c r="H94" s="315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
      <c r="A95" s="2515" t="s">
        <v>779</v>
      </c>
      <c r="B95" s="204" t="s">
        <v>2271</v>
      </c>
      <c r="C95" s="207">
        <f ca="1">ROUND(C85-C86,0)</f>
        <v>22210</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6">
      <c r="A96" s="2515" t="s">
        <v>780</v>
      </c>
      <c r="B96" s="204" t="s">
        <v>2272</v>
      </c>
      <c r="C96" s="227">
        <f ca="1">IF(C95&lt;=0,0,C95/C86)</f>
        <v>198.30357142857142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6.5" thickBot="1">
      <c r="A97" s="2516" t="s">
        <v>781</v>
      </c>
      <c r="B97" s="209" t="s">
        <v>2273</v>
      </c>
      <c r="C97" s="228">
        <f ca="1">ROUND(IF(C95&lt;=0,0,IF(C96&gt;=200%,C95*60%-C86*35%,IF(C96&gt;=100%,C95*50%-C86*15%,IF(C96&gt;=50%,C95*40%-C86*5%,IF(C96&lt;50%,C95*30%,0))))),0)</f>
        <v>13287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052" t="s">
        <v>2293</v>
      </c>
      <c r="B100" s="3053"/>
      <c r="C100" s="3053"/>
      <c r="D100" s="3084"/>
      <c r="E100" s="3053" t="s">
        <v>2294</v>
      </c>
      <c r="F100" s="3053"/>
      <c r="G100" s="3053"/>
      <c r="H100" s="3084"/>
      <c r="I100" s="138"/>
    </row>
    <row r="101" spans="1:35" ht="18.75" customHeight="1">
      <c r="A101" s="3092" t="s">
        <v>2295</v>
      </c>
      <c r="B101" s="3093"/>
      <c r="C101" s="736" t="str">
        <f>C4</f>
        <v>成本法</v>
      </c>
      <c r="D101" s="737" t="str">
        <f>D4</f>
        <v>假设开发法</v>
      </c>
      <c r="E101" s="3064" t="s">
        <v>2296</v>
      </c>
      <c r="F101" s="3065"/>
      <c r="G101" s="2520" t="s">
        <v>2297</v>
      </c>
      <c r="H101" s="1045">
        <f ca="1">H118</f>
        <v>23438</v>
      </c>
      <c r="I101" s="138"/>
    </row>
    <row r="102" spans="1:35" ht="18.75" customHeight="1">
      <c r="A102" s="3094" t="s">
        <v>2298</v>
      </c>
      <c r="B102" s="2520" t="s">
        <v>2297</v>
      </c>
      <c r="C102" s="736">
        <f ca="1">C19</f>
        <v>25035</v>
      </c>
      <c r="D102" s="737">
        <f ca="1">D19</f>
        <v>21840</v>
      </c>
      <c r="E102" s="3064"/>
      <c r="F102" s="3065"/>
      <c r="G102" s="2520" t="s">
        <v>2299</v>
      </c>
      <c r="H102" s="371">
        <f ca="1">I118</f>
        <v>3343</v>
      </c>
      <c r="I102" s="138"/>
    </row>
    <row r="103" spans="1:35" ht="42.75" customHeight="1">
      <c r="A103" s="3094"/>
      <c r="B103" s="2520" t="s">
        <v>2299</v>
      </c>
      <c r="C103" s="738">
        <f ca="1">C20</f>
        <v>3571</v>
      </c>
      <c r="D103" s="739">
        <f ca="1">D20</f>
        <v>3115</v>
      </c>
      <c r="E103" s="3058" t="s">
        <v>2300</v>
      </c>
      <c r="F103" s="3059"/>
      <c r="G103" s="2521" t="s">
        <v>2301</v>
      </c>
      <c r="H103" s="1045">
        <f>IF(D36="正常操作",H104+H105+H106,H105+H106)</f>
        <v>0</v>
      </c>
      <c r="I103" s="138"/>
    </row>
    <row r="104" spans="1:35" ht="18.75" customHeight="1">
      <c r="A104" s="3094" t="s">
        <v>2302</v>
      </c>
      <c r="B104" s="2522" t="s">
        <v>2297</v>
      </c>
      <c r="C104" s="740">
        <f ca="1">H118</f>
        <v>23438</v>
      </c>
      <c r="D104" s="741"/>
      <c r="E104" s="2267" t="s">
        <v>2303</v>
      </c>
      <c r="F104" s="2258"/>
      <c r="G104" s="2521" t="s">
        <v>2301</v>
      </c>
      <c r="H104" s="1046">
        <f>IF(D36="同一抵押权人同一抵押物续贷",C36&amp;"（未扣减，详见特别提示）",C36)</f>
        <v>0</v>
      </c>
      <c r="I104" s="138"/>
    </row>
    <row r="105" spans="1:35" ht="18.75" customHeight="1" thickBot="1">
      <c r="A105" s="3106"/>
      <c r="B105" s="2523" t="s">
        <v>2299</v>
      </c>
      <c r="C105" s="742">
        <f ca="1">I118</f>
        <v>3343</v>
      </c>
      <c r="D105" s="743"/>
      <c r="E105" s="2267" t="s">
        <v>2304</v>
      </c>
      <c r="F105" s="2258"/>
      <c r="G105" s="2521" t="s">
        <v>2301</v>
      </c>
      <c r="H105" s="1046">
        <f>C37</f>
        <v>0</v>
      </c>
      <c r="I105" s="138"/>
    </row>
    <row r="106" spans="1:35" ht="18.75" customHeight="1">
      <c r="A106" s="2418" t="s">
        <v>2305</v>
      </c>
      <c r="B106" s="2418"/>
      <c r="C106" s="2418"/>
      <c r="D106" s="2418"/>
      <c r="E106" s="2524" t="s">
        <v>2306</v>
      </c>
      <c r="F106" s="2258"/>
      <c r="G106" s="2521" t="s">
        <v>2301</v>
      </c>
      <c r="H106" s="1046">
        <f>C38</f>
        <v>0</v>
      </c>
      <c r="I106" s="138"/>
    </row>
    <row r="107" spans="1:35" ht="18.75" customHeight="1">
      <c r="A107" s="138"/>
      <c r="B107" s="138"/>
      <c r="C107" s="138"/>
      <c r="D107" s="138"/>
      <c r="E107" s="3095" t="str">
        <f>IF(项目基本情况!E8="已注销","——","3.房地产抵押价值")</f>
        <v>3.房地产抵押价值</v>
      </c>
      <c r="F107" s="3065"/>
      <c r="G107" s="2520" t="s">
        <v>2297</v>
      </c>
      <c r="H107" s="1045">
        <f ca="1">IF(E107="——","——",H101-H103)</f>
        <v>23438</v>
      </c>
      <c r="I107" s="138"/>
    </row>
    <row r="108" spans="1:35" ht="18.75" customHeight="1">
      <c r="A108" s="138"/>
      <c r="B108" s="138"/>
      <c r="C108" s="138"/>
      <c r="D108" s="138"/>
      <c r="E108" s="3095"/>
      <c r="F108" s="3065"/>
      <c r="G108" s="2520" t="s">
        <v>2299</v>
      </c>
      <c r="H108" s="371">
        <f ca="1">ROUND(H107*10000/'数据-汇总表'!E3,0)</f>
        <v>3343</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20" t="s">
        <v>2297</v>
      </c>
      <c r="H109" s="348" t="str">
        <f>IF(E109="——","——",H101-H105-H106)</f>
        <v>——</v>
      </c>
      <c r="I109" s="138"/>
    </row>
    <row r="110" spans="1:35" ht="18.75" customHeight="1">
      <c r="A110" s="138"/>
      <c r="B110" s="138"/>
      <c r="C110" s="138"/>
      <c r="D110" s="138"/>
      <c r="E110" s="3095"/>
      <c r="F110" s="3065"/>
      <c r="G110" s="2520" t="s">
        <v>2299</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20" t="s">
        <v>2297</v>
      </c>
      <c r="H111" s="1045" t="str">
        <f>IF(E111="——","——",N59)</f>
        <v>——</v>
      </c>
      <c r="I111" s="138"/>
    </row>
    <row r="112" spans="1:35" ht="18.75" customHeight="1" thickBot="1">
      <c r="A112" s="138"/>
      <c r="B112" s="138"/>
      <c r="C112" s="138"/>
      <c r="D112" s="138"/>
      <c r="E112" s="3098"/>
      <c r="F112" s="3099"/>
      <c r="G112" s="2525" t="s">
        <v>2299</v>
      </c>
      <c r="H112" s="790" t="str">
        <f>IF(E111="——","——",N61)</f>
        <v>——</v>
      </c>
      <c r="I112" s="138"/>
    </row>
    <row r="113" spans="1:11" ht="18.75" customHeight="1">
      <c r="A113" s="138"/>
      <c r="B113" s="138"/>
      <c r="C113" s="138"/>
      <c r="D113" s="138"/>
      <c r="E113" s="3107" t="s">
        <v>2305</v>
      </c>
      <c r="F113" s="3107"/>
      <c r="G113" s="3107"/>
      <c r="H113" s="3107"/>
      <c r="I113" s="138"/>
    </row>
    <row r="114" spans="1:11" ht="3.75" customHeight="1">
      <c r="A114" s="2418"/>
      <c r="B114" s="2418"/>
      <c r="C114" s="2418"/>
      <c r="D114" s="2418"/>
      <c r="E114" s="2496"/>
      <c r="F114" s="2496"/>
      <c r="G114" s="2496"/>
      <c r="H114" s="2496"/>
      <c r="I114" s="2418"/>
    </row>
    <row r="115" spans="1:11" ht="18.75" customHeight="1">
      <c r="A115" s="3120" t="s">
        <v>2307</v>
      </c>
      <c r="B115" s="3121"/>
      <c r="C115" s="3121"/>
      <c r="D115" s="3121"/>
      <c r="E115" s="3121"/>
      <c r="F115" s="3121"/>
      <c r="G115" s="3121"/>
      <c r="H115" s="3121"/>
      <c r="I115" s="3122"/>
    </row>
    <row r="116" spans="1:11" ht="27" customHeight="1">
      <c r="A116" s="3031" t="s">
        <v>2308</v>
      </c>
      <c r="B116" s="3074" t="s">
        <v>2309</v>
      </c>
      <c r="C116" s="3074" t="s">
        <v>2310</v>
      </c>
      <c r="D116" s="3080" t="s">
        <v>2311</v>
      </c>
      <c r="E116" s="3081"/>
      <c r="F116" s="3116" t="s">
        <v>2312</v>
      </c>
      <c r="G116" s="3116"/>
      <c r="H116" s="3031" t="s">
        <v>2313</v>
      </c>
      <c r="I116" s="3031"/>
    </row>
    <row r="117" spans="1:11" ht="18.75" customHeight="1">
      <c r="A117" s="3031"/>
      <c r="B117" s="3075"/>
      <c r="C117" s="3075"/>
      <c r="D117" s="1795" t="s">
        <v>2314</v>
      </c>
      <c r="E117" s="1795" t="s">
        <v>2315</v>
      </c>
      <c r="F117" s="1795" t="s">
        <v>2314</v>
      </c>
      <c r="G117" s="1795" t="s">
        <v>2316</v>
      </c>
      <c r="H117" s="1795" t="s">
        <v>2314</v>
      </c>
      <c r="I117" s="1795" t="s">
        <v>2316</v>
      </c>
    </row>
    <row r="118" spans="1:11" ht="24.75" customHeight="1">
      <c r="A118" s="2526" t="str">
        <f>项目基本情况!S2</f>
        <v>出让国有建设用地使用权及在建建筑物房地产</v>
      </c>
      <c r="B118" s="1795">
        <f>M18</f>
        <v>70116</v>
      </c>
      <c r="C118" s="1795">
        <f>M19</f>
        <v>62695.5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23438</v>
      </c>
      <c r="I118" s="1795">
        <f ca="1">ROUND(IF(D32="楼面单价",C32,H118*10000/B118),0)</f>
        <v>3343</v>
      </c>
    </row>
    <row r="119" spans="1:11" ht="18.75" customHeight="1">
      <c r="A119" s="3031" t="s">
        <v>2317</v>
      </c>
      <c r="B119" s="3031"/>
      <c r="C119" s="3031"/>
      <c r="D119" s="3076" t="e">
        <f ca="1">NUMBERSTRING(INT(D118*10000),2)&amp;"元整"</f>
        <v>#REF!</v>
      </c>
      <c r="E119" s="3077"/>
      <c r="F119" s="3076" t="e">
        <f ca="1">NUMBERSTRING(INT(F118*10000),2)&amp;"元整"</f>
        <v>#REF!</v>
      </c>
      <c r="G119" s="3077"/>
      <c r="H119" s="3076" t="str">
        <f ca="1">NUMBERSTRING(INT(H118*10000),2)&amp;"元整"</f>
        <v>贰亿叁仟肆佰叁拾捌万元整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3" t="str">
        <f>IF(D120=0,"故，本次评估不存在"&amp;A120,"故，本次评估"&amp;A120&amp;"为人民币"&amp;D120&amp;"万元整。")</f>
        <v>故，本次评估不存在估价师知悉的法定优先受偿款</v>
      </c>
    </row>
    <row r="121" spans="1:11" ht="18.75" customHeight="1">
      <c r="A121" s="3117" t="s">
        <v>2317</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23438</v>
      </c>
      <c r="E122" s="3072"/>
      <c r="F122" s="3072"/>
      <c r="G122" s="3072"/>
      <c r="H122" s="3072"/>
      <c r="I122" s="3073"/>
    </row>
    <row r="123" spans="1:11" ht="18.75" customHeight="1">
      <c r="A123" s="3031" t="s">
        <v>2317</v>
      </c>
      <c r="B123" s="3031"/>
      <c r="C123" s="3031"/>
      <c r="D123" s="3076" t="str">
        <f ca="1">NUMBERSTRING(INT(D122*10000),2)&amp;"元整"</f>
        <v>贰亿叁仟肆佰叁拾捌万元整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2317</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2317</v>
      </c>
      <c r="B127" s="3031"/>
      <c r="C127" s="3031"/>
      <c r="D127" s="3076" t="e">
        <f>NUMBERSTRING(INT(D126*10000),2)&amp;"元整"</f>
        <v>#VALUE!</v>
      </c>
      <c r="E127" s="3078"/>
      <c r="F127" s="3078"/>
      <c r="G127" s="3078"/>
      <c r="H127" s="3078"/>
      <c r="I127" s="3077"/>
    </row>
    <row r="128" spans="1:11" ht="21.75" customHeight="1">
      <c r="A128" s="3079" t="s">
        <v>2318</v>
      </c>
      <c r="B128" s="3079"/>
      <c r="C128" s="3079"/>
      <c r="D128" s="3079"/>
      <c r="E128" s="3079"/>
      <c r="F128" s="3079"/>
      <c r="G128" s="3079"/>
      <c r="H128" s="3079"/>
      <c r="I128" s="3079"/>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G19" sqref="G19"/>
    </sheetView>
  </sheetViews>
  <sheetFormatPr defaultColWidth="8.36328125" defaultRowHeight="12.5"/>
  <cols>
    <col min="1" max="1" width="10.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2326</v>
      </c>
      <c r="B1" s="1936"/>
      <c r="C1" s="242"/>
      <c r="D1" s="242"/>
      <c r="E1" s="242"/>
      <c r="F1" s="242"/>
      <c r="G1" s="1379">
        <f>MATCH(B1,'数据-取费表'!A6:A16,0)+5</f>
        <v>7</v>
      </c>
    </row>
    <row r="2" spans="1:9" s="244" customFormat="1" ht="18" customHeight="1">
      <c r="A2" s="245" t="s">
        <v>2327</v>
      </c>
      <c r="B2" s="246">
        <f ca="1">IF(D2="——",C52,C52-E2)</f>
        <v>25035</v>
      </c>
      <c r="C2" s="243" t="s">
        <v>2328</v>
      </c>
      <c r="D2" s="2549" t="s">
        <v>70</v>
      </c>
      <c r="E2" s="1440"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3571</v>
      </c>
      <c r="C3" s="243" t="s">
        <v>2330</v>
      </c>
      <c r="D3" s="243"/>
      <c r="E3" s="243"/>
      <c r="F3" s="243"/>
      <c r="G3" s="243"/>
    </row>
    <row r="4" spans="1:9" s="252" customFormat="1" ht="16">
      <c r="A4" s="249" t="s">
        <v>2331</v>
      </c>
      <c r="B4" s="250"/>
      <c r="C4" s="250"/>
      <c r="D4" s="250"/>
      <c r="E4" s="250"/>
      <c r="F4" s="250"/>
      <c r="G4" s="251"/>
    </row>
    <row r="5" spans="1:9" s="258" customFormat="1" ht="13.5" customHeight="1">
      <c r="A5" s="299" t="s">
        <v>2332</v>
      </c>
      <c r="B5" s="254" t="s">
        <v>2333</v>
      </c>
      <c r="C5" s="255">
        <f ca="1">C6+C7+C8</f>
        <v>3984</v>
      </c>
      <c r="D5" s="255" t="s">
        <v>2334</v>
      </c>
      <c r="E5" s="256" t="s">
        <v>2335</v>
      </c>
      <c r="F5" s="256" t="s">
        <v>2336</v>
      </c>
      <c r="G5" s="257"/>
    </row>
    <row r="6" spans="1:9" s="258" customFormat="1" ht="13.5" customHeight="1">
      <c r="A6" s="949" t="s">
        <v>2337</v>
      </c>
      <c r="B6" s="259" t="s">
        <v>2338</v>
      </c>
      <c r="C6" s="260">
        <f>'土地比较法-工业'!B2</f>
        <v>3122</v>
      </c>
      <c r="D6" s="261"/>
      <c r="E6" s="262"/>
      <c r="F6" s="262"/>
      <c r="G6" s="263"/>
    </row>
    <row r="7" spans="1:9" s="258" customFormat="1" ht="13.5" customHeight="1">
      <c r="A7" s="949" t="s">
        <v>2339</v>
      </c>
      <c r="B7" s="259" t="s">
        <v>2340</v>
      </c>
      <c r="C7" s="264">
        <f>ROUND(C6*F7,0)</f>
        <v>126</v>
      </c>
      <c r="D7" s="264"/>
      <c r="E7" s="262"/>
      <c r="F7" s="265">
        <f>IF(项目基本情况!B8="出让",0,'数据-取费表'!B48+'数据-取费表'!B49)</f>
        <v>4.0500000000000001E-2</v>
      </c>
      <c r="G7" s="263"/>
    </row>
    <row r="8" spans="1:9" s="267" customFormat="1" ht="13">
      <c r="A8" s="949" t="s">
        <v>2341</v>
      </c>
      <c r="B8" s="259" t="s">
        <v>2342</v>
      </c>
      <c r="C8" s="264">
        <f ca="1">IF(G8="已包含在土地购买价格中","0",IF(B1="",'数据-取费表'!B29,IF(G9="全部缴纳",C9+C10,H9)))</f>
        <v>736</v>
      </c>
      <c r="D8" s="266"/>
      <c r="E8" s="264"/>
      <c r="F8" s="265"/>
      <c r="G8" s="2552" t="s">
        <v>3240</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105</v>
      </c>
      <c r="F9" s="265"/>
      <c r="G9" s="2553" t="s">
        <v>3241</v>
      </c>
      <c r="H9" s="1390"/>
      <c r="I9" s="2554" t="s">
        <v>2344</v>
      </c>
    </row>
    <row r="10" spans="1:9" s="258" customFormat="1" ht="13.5" customHeight="1">
      <c r="A10" s="950" t="s">
        <v>801</v>
      </c>
      <c r="B10" s="268" t="s">
        <v>2345</v>
      </c>
      <c r="C10" s="269">
        <f ca="1">ROUND(D10*E10/10000,0)</f>
        <v>736</v>
      </c>
      <c r="D10" s="1032">
        <f ca="1">IF(B1="",'数据-汇总表'!E6,IF(INDIRECT("'数据-取费表'!c"&amp;$G$1)="住宅",INDIRECT("'数据-取费表'!s"&amp;$G$1),INDIRECT("'数据-取费表'!k"&amp;$G$1)+INDIRECT("'数据-取费表'!s"&amp;$G$1)))</f>
        <v>70116</v>
      </c>
      <c r="E10" s="269">
        <f>'数据-取费表'!B28</f>
        <v>105</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70116</v>
      </c>
      <c r="E19" s="255">
        <f>'数据-取费表'!B31</f>
        <v>200</v>
      </c>
      <c r="F19" s="275"/>
      <c r="G19" s="2552" t="s">
        <v>3242</v>
      </c>
    </row>
    <row r="20" spans="1:7" s="258" customFormat="1" ht="13.5" customHeight="1">
      <c r="A20" s="299" t="s">
        <v>2358</v>
      </c>
      <c r="B20" s="254" t="s">
        <v>2359</v>
      </c>
      <c r="C20" s="276">
        <f ca="1">ROUND((C5+C19)*F20,0)</f>
        <v>80</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287</v>
      </c>
      <c r="D22" s="279">
        <f ca="1">C26</f>
        <v>6.9999999999999999E-4</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284</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6">
      <c r="A25" s="951" t="s">
        <v>2373</v>
      </c>
      <c r="B25" s="259" t="s">
        <v>2374</v>
      </c>
      <c r="C25" s="1355">
        <f ca="1">ROUND(IF('数据-取费表'!B22&lt;=1,C20*F22*'数据-取费表'!B23/2,C20*(POWER((1+F22),'数据-取费表'!B23/2)-1)),0)</f>
        <v>3</v>
      </c>
      <c r="D25" s="282"/>
      <c r="E25" s="285"/>
      <c r="F25" s="283"/>
      <c r="G25" s="286" t="s">
        <v>2375</v>
      </c>
    </row>
    <row r="26" spans="1:7" s="258" customFormat="1" ht="13">
      <c r="A26" s="951" t="s">
        <v>795</v>
      </c>
      <c r="B26" s="259" t="s">
        <v>2376</v>
      </c>
      <c r="C26" s="282">
        <f ca="1">ROUND(IF('数据-取费表'!B22&lt;=1,F21*F22*'数据-取费表'!B23/2,F21*(POWER((1+F22),'数据-取费表'!B23/2)-1)),4)</f>
        <v>6.9999999999999999E-4</v>
      </c>
      <c r="D26" s="282"/>
      <c r="E26" s="285"/>
      <c r="F26" s="283"/>
      <c r="G26" s="287"/>
    </row>
    <row r="27" spans="1:7" s="258" customFormat="1" ht="27">
      <c r="A27" s="299" t="s">
        <v>2377</v>
      </c>
      <c r="B27" s="288" t="s">
        <v>2378</v>
      </c>
      <c r="C27" s="289">
        <f ca="1">C28</f>
        <v>402</v>
      </c>
      <c r="D27" s="279">
        <f ca="1">C29</f>
        <v>2E-3</v>
      </c>
      <c r="E27" s="280" t="s">
        <v>2379</v>
      </c>
      <c r="F27" s="290">
        <f ca="1">IF(B1="",'数据-取费表'!Q16,INDIRECT("'数据-取费表'!q"&amp;$G$1))</f>
        <v>0.1</v>
      </c>
      <c r="G27" s="291" t="s">
        <v>2380</v>
      </c>
    </row>
    <row r="28" spans="1:7" s="258" customFormat="1" ht="13.5" customHeight="1">
      <c r="A28" s="951" t="s">
        <v>791</v>
      </c>
      <c r="B28" s="292" t="s">
        <v>2381</v>
      </c>
      <c r="C28" s="293">
        <f ca="1">ROUND((C5+C19+C20)*F27*'数据-取费表'!B21/'数据-取费表'!B20,0)</f>
        <v>402</v>
      </c>
      <c r="D28" s="279"/>
      <c r="E28" s="280"/>
      <c r="F28" s="290"/>
      <c r="G28" s="291"/>
    </row>
    <row r="29" spans="1:7" s="258" customFormat="1" ht="13.5" customHeight="1">
      <c r="A29" s="951" t="s">
        <v>792</v>
      </c>
      <c r="B29" s="292" t="s">
        <v>2382</v>
      </c>
      <c r="C29" s="282">
        <f ca="1">ROUND(C21*F27*'数据-取费表'!B21/'数据-取费表'!B20,4)</f>
        <v>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5139</v>
      </c>
      <c r="D31" s="274"/>
      <c r="E31" s="255"/>
      <c r="F31" s="294"/>
      <c r="G31" s="278" t="s">
        <v>2387</v>
      </c>
    </row>
    <row r="32" spans="1:7" s="252" customFormat="1" ht="16">
      <c r="A32" s="296" t="s">
        <v>2388</v>
      </c>
      <c r="B32" s="297"/>
      <c r="C32" s="297"/>
      <c r="D32" s="297"/>
      <c r="E32" s="297"/>
      <c r="F32" s="297"/>
      <c r="G32" s="298"/>
    </row>
    <row r="33" spans="1:7" s="258" customFormat="1" ht="13.5" customHeight="1">
      <c r="A33" s="299" t="s">
        <v>782</v>
      </c>
      <c r="B33" s="254" t="s">
        <v>2389</v>
      </c>
      <c r="C33" s="300">
        <f ca="1">SUM(C34:C38)</f>
        <v>15895</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13883</v>
      </c>
      <c r="D34" s="261"/>
      <c r="E34" s="264"/>
      <c r="F34" s="301">
        <f ca="1">IF('数据-取费表'!B24=0,1,IF(B1="",'数据-取费表'!N16,INDIRECT("'数据-取费表'!n"&amp;$G$1)))</f>
        <v>0.99</v>
      </c>
      <c r="G34" s="263" t="s">
        <v>2391</v>
      </c>
    </row>
    <row r="35" spans="1:7" ht="13.5" customHeight="1">
      <c r="A35" s="951" t="s">
        <v>796</v>
      </c>
      <c r="B35" s="259" t="s">
        <v>2392</v>
      </c>
      <c r="C35" s="264">
        <f ca="1">ROUND(C34*F35,0)</f>
        <v>416</v>
      </c>
      <c r="D35" s="264"/>
      <c r="E35" s="264"/>
      <c r="F35" s="303">
        <f>'数据-取费表'!B33</f>
        <v>0.03</v>
      </c>
      <c r="G35" s="263" t="s">
        <v>2393</v>
      </c>
    </row>
    <row r="36" spans="1:7" ht="26">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1388</v>
      </c>
      <c r="D37" s="261">
        <f ca="1">D19</f>
        <v>70116</v>
      </c>
      <c r="E37" s="293">
        <f>'数据-取费表'!B35</f>
        <v>200</v>
      </c>
      <c r="F37" s="303"/>
      <c r="G37" s="305" t="s">
        <v>2397</v>
      </c>
    </row>
    <row r="38" spans="1:7" ht="13.5" customHeight="1">
      <c r="A38" s="951" t="s">
        <v>799</v>
      </c>
      <c r="B38" s="259" t="s">
        <v>2398</v>
      </c>
      <c r="C38" s="264">
        <f ca="1">ROUND(C34*F38,0)</f>
        <v>208</v>
      </c>
      <c r="D38" s="264"/>
      <c r="E38" s="264"/>
      <c r="F38" s="303">
        <f>'数据-取费表'!B36</f>
        <v>1.4999999999999999E-2</v>
      </c>
      <c r="G38" s="263" t="s">
        <v>2393</v>
      </c>
    </row>
    <row r="39" spans="1:7" s="258" customFormat="1" ht="13.5" customHeight="1">
      <c r="A39" s="299" t="s">
        <v>2399</v>
      </c>
      <c r="B39" s="254" t="s">
        <v>2400</v>
      </c>
      <c r="C39" s="276">
        <f ca="1">ROUND(C33*F20,0)</f>
        <v>318</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568</v>
      </c>
      <c r="D41" s="279">
        <f ca="1">C44</f>
        <v>6.9999999999999999E-4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557</v>
      </c>
      <c r="D42" s="282"/>
      <c r="E42" s="282"/>
      <c r="F42" s="283"/>
      <c r="G42" s="3151" t="s">
        <v>2409</v>
      </c>
    </row>
    <row r="43" spans="1:7" ht="13.5" customHeight="1">
      <c r="A43" s="951" t="s">
        <v>792</v>
      </c>
      <c r="B43" s="259" t="s">
        <v>2410</v>
      </c>
      <c r="C43" s="282">
        <f ca="1">ROUND(IF('数据-取费表'!B22&lt;=1,C39*F22*'数据-取费表'!B21/2,C39*(POWER((1+F22),'数据-取费表'!B21/2)-1)),0)</f>
        <v>11</v>
      </c>
      <c r="D43" s="282"/>
      <c r="E43" s="282"/>
      <c r="F43" s="283"/>
      <c r="G43" s="3152"/>
    </row>
    <row r="44" spans="1:7" ht="13.5" customHeight="1">
      <c r="A44" s="951" t="s">
        <v>793</v>
      </c>
      <c r="B44" s="259" t="s">
        <v>2411</v>
      </c>
      <c r="C44" s="282">
        <f ca="1">ROUND(IF('数据-取费表'!B22&lt;=1,C40*F22*'数据-取费表'!B21/2,C40*(POWER((1+F22),'数据-取费表'!B21/2)-1)),4)</f>
        <v>6.9999999999999999E-4</v>
      </c>
      <c r="D44" s="282"/>
      <c r="E44" s="282"/>
      <c r="F44" s="283"/>
      <c r="G44" s="3153"/>
    </row>
    <row r="45" spans="1:7" s="258" customFormat="1" ht="13.5" customHeight="1">
      <c r="A45" s="299" t="s">
        <v>2412</v>
      </c>
      <c r="B45" s="288" t="s">
        <v>2378</v>
      </c>
      <c r="C45" s="289">
        <f ca="1">C46</f>
        <v>1621</v>
      </c>
      <c r="D45" s="279">
        <f ca="1">C47</f>
        <v>2E-3</v>
      </c>
      <c r="E45" s="280" t="s">
        <v>2404</v>
      </c>
      <c r="F45" s="290"/>
      <c r="G45" s="291" t="s">
        <v>2413</v>
      </c>
    </row>
    <row r="46" spans="1:7" s="258" customFormat="1" ht="13.5" customHeight="1">
      <c r="A46" s="951" t="s">
        <v>791</v>
      </c>
      <c r="B46" s="292" t="s">
        <v>2414</v>
      </c>
      <c r="C46" s="293">
        <f ca="1">ROUND((C33+C39)*F27,0)</f>
        <v>1621</v>
      </c>
      <c r="D46" s="307"/>
      <c r="E46" s="280"/>
      <c r="F46" s="290"/>
      <c r="G46" s="291"/>
    </row>
    <row r="47" spans="1:7" s="258" customFormat="1" ht="13.5" customHeight="1">
      <c r="A47" s="951" t="s">
        <v>792</v>
      </c>
      <c r="B47" s="292" t="s">
        <v>2415</v>
      </c>
      <c r="C47" s="282">
        <f ca="1">ROUND(C40*F27,4)</f>
        <v>2E-3</v>
      </c>
      <c r="D47" s="307"/>
      <c r="E47" s="280"/>
      <c r="F47" s="290"/>
      <c r="G47" s="291"/>
    </row>
    <row r="48" spans="1:7" s="258" customFormat="1" ht="13.5" customHeight="1">
      <c r="A48" s="299" t="s">
        <v>2377</v>
      </c>
      <c r="B48" s="254" t="s">
        <v>2416</v>
      </c>
      <c r="C48" s="1728">
        <f>ROUND(F30/(1+'数据-取费表'!C42),4)</f>
        <v>5.2400000000000002E-2</v>
      </c>
      <c r="D48" s="280" t="s">
        <v>2404</v>
      </c>
      <c r="E48" s="276"/>
      <c r="F48" s="281"/>
      <c r="G48" s="278" t="s">
        <v>2417</v>
      </c>
    </row>
    <row r="49" spans="1:7" ht="16.5" customHeight="1">
      <c r="A49" s="299" t="s">
        <v>2383</v>
      </c>
      <c r="B49" s="254" t="s">
        <v>2418</v>
      </c>
      <c r="C49" s="276">
        <f ca="1">ROUND((C33+C39+C41+C45)/(1-C40-D41-D45-C48),0)</f>
        <v>19896</v>
      </c>
      <c r="D49" s="276"/>
      <c r="E49" s="276"/>
      <c r="F49" s="308"/>
      <c r="G49" s="278" t="s">
        <v>2419</v>
      </c>
    </row>
    <row r="50" spans="1:7" s="302" customFormat="1" ht="26">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19896</v>
      </c>
      <c r="D51" s="276"/>
      <c r="E51" s="276"/>
      <c r="F51" s="308"/>
      <c r="G51" s="278" t="s">
        <v>2425</v>
      </c>
    </row>
    <row r="52" spans="1:7" s="252" customFormat="1" ht="16.5" thickBot="1">
      <c r="A52" s="309" t="s">
        <v>2426</v>
      </c>
      <c r="B52" s="310"/>
      <c r="C52" s="311">
        <f ca="1">C31+C51</f>
        <v>25035</v>
      </c>
      <c r="D52" s="310"/>
      <c r="E52" s="310"/>
      <c r="F52" s="310"/>
      <c r="G52" s="312"/>
    </row>
    <row r="55" spans="1:7" ht="15.5">
      <c r="B55" s="314" t="s">
        <v>2427</v>
      </c>
      <c r="C55" s="315"/>
    </row>
    <row r="56" spans="1:7" ht="13">
      <c r="B56" s="317" t="s">
        <v>1507</v>
      </c>
      <c r="C56" s="319">
        <f ca="1">1-C57</f>
        <v>0.20499999999999996</v>
      </c>
    </row>
    <row r="57" spans="1:7" ht="13">
      <c r="B57" s="317" t="s">
        <v>1508</v>
      </c>
      <c r="C57" s="318">
        <f ca="1">ROUND(C51/C52,3)</f>
        <v>0.79500000000000004</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出让国有建设用地使用权及在建建筑物房地产抵押价值预评估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3.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8" width="10.81640625" style="295" customWidth="1"/>
    <col min="9" max="254" width="9" style="295" customWidth="1"/>
    <col min="255" max="16384" width="8.36328125" style="295"/>
  </cols>
  <sheetData>
    <row r="1" spans="1:8" s="244" customFormat="1" ht="21">
      <c r="A1" s="240" t="s">
        <v>2326</v>
      </c>
      <c r="B1" s="1936"/>
      <c r="C1" s="2555"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22868</v>
      </c>
      <c r="C2" s="243" t="s">
        <v>2328</v>
      </c>
      <c r="D2" s="2549" t="s">
        <v>70</v>
      </c>
      <c r="E2" s="1440"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3261</v>
      </c>
      <c r="C3" s="243" t="s">
        <v>2330</v>
      </c>
      <c r="D3" s="243"/>
      <c r="E3" s="243"/>
      <c r="F3" s="243"/>
      <c r="G3" s="243"/>
    </row>
    <row r="4" spans="1:8" s="252" customFormat="1" ht="16">
      <c r="A4" s="249" t="s">
        <v>2331</v>
      </c>
      <c r="B4" s="250"/>
      <c r="C4" s="250"/>
      <c r="D4" s="250"/>
      <c r="E4" s="250"/>
      <c r="F4" s="250"/>
      <c r="G4" s="251"/>
    </row>
    <row r="5" spans="1:8" s="258" customFormat="1" ht="13.5" customHeight="1">
      <c r="A5" s="299" t="s">
        <v>2332</v>
      </c>
      <c r="B5" s="254" t="s">
        <v>2333</v>
      </c>
      <c r="C5" s="255">
        <f ca="1">C6+C7+C8</f>
        <v>7362180</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4.0500000000000001E-2</v>
      </c>
      <c r="G7" s="263"/>
    </row>
    <row r="8" spans="1:8" s="267" customFormat="1" ht="13">
      <c r="A8" s="949" t="s">
        <v>2341</v>
      </c>
      <c r="B8" s="259" t="s">
        <v>2342</v>
      </c>
      <c r="C8" s="264">
        <f ca="1">IF(G8="已包含在土地购买价格中",0,C9+C10)</f>
        <v>7362180</v>
      </c>
      <c r="D8" s="266"/>
      <c r="E8" s="264"/>
      <c r="F8" s="265"/>
      <c r="G8" s="2552"/>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105</v>
      </c>
      <c r="F9" s="265"/>
      <c r="G9" s="270"/>
    </row>
    <row r="10" spans="1:8" s="258" customFormat="1" ht="13.5" customHeight="1">
      <c r="A10" s="950" t="s">
        <v>801</v>
      </c>
      <c r="B10" s="268" t="s">
        <v>2345</v>
      </c>
      <c r="C10" s="269">
        <f ca="1">ROUND(D10*E10,0)</f>
        <v>7362180</v>
      </c>
      <c r="D10" s="1032">
        <f ca="1">IF(B1="",'数据-汇总表'!E6,IF(INDIRECT("'数据-取费表'!c"&amp;$G$1)="住宅",INDIRECT("'数据-取费表'!s"&amp;$G$1),INDIRECT("'数据-取费表'!k"&amp;$G$1)+INDIRECT("'数据-取费表'!s"&amp;$G$1)))</f>
        <v>70116</v>
      </c>
      <c r="E10" s="269">
        <f>'数据-取费表'!B28</f>
        <v>105</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14023200</v>
      </c>
      <c r="D19" s="1036">
        <f ca="1">D9+D10</f>
        <v>70116</v>
      </c>
      <c r="E19" s="255">
        <f>'数据-取费表'!B31</f>
        <v>200</v>
      </c>
      <c r="F19" s="275"/>
      <c r="G19" s="2552"/>
    </row>
    <row r="20" spans="1:7" s="258" customFormat="1" ht="13.5" customHeight="1">
      <c r="A20" s="299" t="s">
        <v>2439</v>
      </c>
      <c r="B20" s="254" t="s">
        <v>2440</v>
      </c>
      <c r="C20" s="276">
        <f ca="1">ROUND((C5+C19)*F20,0)</f>
        <v>427708</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1556810</v>
      </c>
      <c r="D22" s="279">
        <f ca="1">C26</f>
        <v>6.9999999999999999E-4</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530736</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1010926</v>
      </c>
      <c r="D24" s="282"/>
      <c r="E24" s="282"/>
      <c r="F24" s="283"/>
      <c r="G24" s="284" t="s">
        <v>2451</v>
      </c>
    </row>
    <row r="25" spans="1:7" s="258" customFormat="1" ht="26">
      <c r="A25" s="951" t="s">
        <v>2341</v>
      </c>
      <c r="B25" s="259" t="s">
        <v>2452</v>
      </c>
      <c r="C25" s="1381">
        <f ca="1">ROUND(IF('数据-取费表'!B22&lt;=1,C20*F22*'数据-取费表'!B22/2,C20*(POWER((1+F22),'数据-取费表'!B22/2)-1)),0)</f>
        <v>15148</v>
      </c>
      <c r="D25" s="282"/>
      <c r="E25" s="285"/>
      <c r="F25" s="283"/>
      <c r="G25" s="286" t="s">
        <v>2453</v>
      </c>
    </row>
    <row r="26" spans="1:7" s="258" customFormat="1" ht="13">
      <c r="A26" s="951" t="s">
        <v>795</v>
      </c>
      <c r="B26" s="259" t="s">
        <v>2376</v>
      </c>
      <c r="C26" s="282">
        <f ca="1">ROUND(IF('数据-取费表'!B22&lt;=1,F21*F22*'数据-取费表'!B22/2,F21*(POWER((1+F22),'数据-取费表'!B22/2)-1)),4)</f>
        <v>6.9999999999999999E-4</v>
      </c>
      <c r="D26" s="282"/>
      <c r="E26" s="285"/>
      <c r="F26" s="283"/>
      <c r="G26" s="287"/>
    </row>
    <row r="27" spans="1:7" s="258" customFormat="1" ht="27">
      <c r="A27" s="299" t="s">
        <v>2377</v>
      </c>
      <c r="B27" s="288" t="s">
        <v>2378</v>
      </c>
      <c r="C27" s="289">
        <f ca="1">C28</f>
        <v>2181309</v>
      </c>
      <c r="D27" s="279">
        <f ca="1">C29</f>
        <v>2E-3</v>
      </c>
      <c r="E27" s="280" t="s">
        <v>2379</v>
      </c>
      <c r="F27" s="290">
        <f ca="1">IF(B1="",'数据-取费表'!Q16,INDIRECT("'数据-取费表'!q"&amp;$G$1))</f>
        <v>0.1</v>
      </c>
      <c r="G27" s="291" t="s">
        <v>2380</v>
      </c>
    </row>
    <row r="28" spans="1:7" s="258" customFormat="1" ht="13.5" customHeight="1">
      <c r="A28" s="951" t="s">
        <v>791</v>
      </c>
      <c r="B28" s="292" t="s">
        <v>2381</v>
      </c>
      <c r="C28" s="293">
        <f ca="1">ROUND((C5+C19+C20)*F27,0)</f>
        <v>2181309</v>
      </c>
      <c r="D28" s="279"/>
      <c r="E28" s="280"/>
      <c r="F28" s="290"/>
      <c r="G28" s="291"/>
    </row>
    <row r="29" spans="1:7" s="258" customFormat="1" ht="13.5" customHeight="1">
      <c r="A29" s="951" t="s">
        <v>792</v>
      </c>
      <c r="B29" s="292" t="s">
        <v>2382</v>
      </c>
      <c r="C29" s="282">
        <f ca="1">ROUND(C21*F27,4)</f>
        <v>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27625913</v>
      </c>
      <c r="D31" s="274"/>
      <c r="E31" s="255"/>
      <c r="F31" s="294"/>
      <c r="G31" s="278" t="s">
        <v>2387</v>
      </c>
    </row>
    <row r="32" spans="1:7" s="252" customFormat="1" ht="16">
      <c r="A32" s="296" t="s">
        <v>2454</v>
      </c>
      <c r="B32" s="297"/>
      <c r="C32" s="297"/>
      <c r="D32" s="297"/>
      <c r="E32" s="297"/>
      <c r="F32" s="297"/>
      <c r="G32" s="298"/>
    </row>
    <row r="33" spans="1:7" s="258" customFormat="1" ht="13.5" customHeight="1">
      <c r="A33" s="299" t="s">
        <v>782</v>
      </c>
      <c r="B33" s="254" t="s">
        <v>2455</v>
      </c>
      <c r="C33" s="300">
        <f ca="1">SUM(C34:C38)</f>
        <v>160565640</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140232000</v>
      </c>
      <c r="D34" s="261"/>
      <c r="E34" s="264"/>
      <c r="F34" s="301"/>
      <c r="G34" s="263"/>
    </row>
    <row r="35" spans="1:7" ht="13.5" customHeight="1">
      <c r="A35" s="951" t="s">
        <v>796</v>
      </c>
      <c r="B35" s="259" t="s">
        <v>2392</v>
      </c>
      <c r="C35" s="264">
        <f ca="1">ROUND(C34*F35,0)</f>
        <v>4206960</v>
      </c>
      <c r="D35" s="264"/>
      <c r="E35" s="264"/>
      <c r="F35" s="303">
        <f>'数据-取费表'!B33</f>
        <v>0.03</v>
      </c>
      <c r="G35" s="263" t="s">
        <v>2393</v>
      </c>
    </row>
    <row r="36" spans="1:7" ht="26">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14023200</v>
      </c>
      <c r="D37" s="261">
        <f ca="1">D19</f>
        <v>70116</v>
      </c>
      <c r="E37" s="293">
        <f>'数据-取费表'!B35</f>
        <v>200</v>
      </c>
      <c r="F37" s="303"/>
      <c r="G37" s="305"/>
    </row>
    <row r="38" spans="1:7" ht="13.5" customHeight="1">
      <c r="A38" s="951" t="s">
        <v>799</v>
      </c>
      <c r="B38" s="259" t="s">
        <v>2398</v>
      </c>
      <c r="C38" s="264">
        <f ca="1">ROUND(C34*F38,0)</f>
        <v>2103480</v>
      </c>
      <c r="D38" s="264"/>
      <c r="E38" s="264"/>
      <c r="F38" s="303">
        <f>'数据-取费表'!B36</f>
        <v>1.4999999999999999E-2</v>
      </c>
      <c r="G38" s="263" t="s">
        <v>2393</v>
      </c>
    </row>
    <row r="39" spans="1:7" s="258" customFormat="1" ht="13.5" customHeight="1">
      <c r="A39" s="299" t="s">
        <v>2399</v>
      </c>
      <c r="B39" s="254" t="s">
        <v>2400</v>
      </c>
      <c r="C39" s="276">
        <f ca="1">ROUND(C33*F20,0)</f>
        <v>3211313</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5800579</v>
      </c>
      <c r="D41" s="279">
        <f ca="1">C44</f>
        <v>6.9999999999999999E-4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5686842</v>
      </c>
      <c r="D42" s="282"/>
      <c r="E42" s="282"/>
      <c r="F42" s="283"/>
      <c r="G42" s="3151" t="s">
        <v>2456</v>
      </c>
    </row>
    <row r="43" spans="1:7" ht="13.5" customHeight="1">
      <c r="A43" s="951" t="s">
        <v>792</v>
      </c>
      <c r="B43" s="259" t="s">
        <v>2410</v>
      </c>
      <c r="C43" s="282">
        <f ca="1">ROUND(IF('数据-取费表'!B22&lt;=1,C39*F22*'数据-取费表'!B20/2,C39*(POWER((1+F22),'数据-取费表'!B20/2)-1)),0)</f>
        <v>113737</v>
      </c>
      <c r="D43" s="282"/>
      <c r="E43" s="282"/>
      <c r="F43" s="283"/>
      <c r="G43" s="3152"/>
    </row>
    <row r="44" spans="1:7" ht="13.5" customHeight="1">
      <c r="A44" s="951" t="s">
        <v>793</v>
      </c>
      <c r="B44" s="259" t="s">
        <v>2411</v>
      </c>
      <c r="C44" s="282">
        <f ca="1">ROUND(IF('数据-取费表'!B22&lt;=1,C40*F22*'数据-取费表'!B20/2,C40*(POWER((1+F22),'数据-取费表'!B20/2)-1)),4)</f>
        <v>6.9999999999999999E-4</v>
      </c>
      <c r="D44" s="282"/>
      <c r="E44" s="282"/>
      <c r="F44" s="283"/>
      <c r="G44" s="3153"/>
    </row>
    <row r="45" spans="1:7" s="258" customFormat="1" ht="13.5" customHeight="1">
      <c r="A45" s="299" t="s">
        <v>2412</v>
      </c>
      <c r="B45" s="288" t="s">
        <v>2378</v>
      </c>
      <c r="C45" s="289">
        <f ca="1">C46</f>
        <v>16377695</v>
      </c>
      <c r="D45" s="279">
        <f ca="1">C47</f>
        <v>2E-3</v>
      </c>
      <c r="E45" s="280" t="s">
        <v>2404</v>
      </c>
      <c r="F45" s="290"/>
      <c r="G45" s="291" t="s">
        <v>2413</v>
      </c>
    </row>
    <row r="46" spans="1:7" s="258" customFormat="1" ht="13.5" customHeight="1">
      <c r="A46" s="951" t="s">
        <v>791</v>
      </c>
      <c r="B46" s="292" t="s">
        <v>2414</v>
      </c>
      <c r="C46" s="293">
        <f ca="1">ROUND((C33+C39)*F27,0)</f>
        <v>16377695</v>
      </c>
      <c r="D46" s="307"/>
      <c r="E46" s="280"/>
      <c r="F46" s="290"/>
      <c r="G46" s="291"/>
    </row>
    <row r="47" spans="1:7" s="258" customFormat="1" ht="13.5" customHeight="1">
      <c r="A47" s="951" t="s">
        <v>792</v>
      </c>
      <c r="B47" s="292" t="s">
        <v>2415</v>
      </c>
      <c r="C47" s="282">
        <f ca="1">ROUND(C40*F27,4)</f>
        <v>2E-3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201054413</v>
      </c>
      <c r="D49" s="276"/>
      <c r="E49" s="276"/>
      <c r="F49" s="308"/>
      <c r="G49" s="278" t="s">
        <v>2419</v>
      </c>
    </row>
    <row r="50" spans="1:7" s="302" customFormat="1" ht="13.5">
      <c r="A50" s="299" t="s">
        <v>2420</v>
      </c>
      <c r="B50" s="254" t="s">
        <v>2421</v>
      </c>
      <c r="C50" s="276"/>
      <c r="D50" s="276"/>
      <c r="E50" s="276"/>
      <c r="F50" s="308">
        <f>IF('数据-取费表'!B24=0,'数据-取费表'!N16,1)</f>
        <v>1</v>
      </c>
      <c r="G50" s="291"/>
    </row>
    <row r="51" spans="1:7" ht="16.5" customHeight="1">
      <c r="A51" s="299" t="s">
        <v>2423</v>
      </c>
      <c r="B51" s="254" t="s">
        <v>2458</v>
      </c>
      <c r="C51" s="276">
        <f ca="1">ROUND(C49*F50,0)</f>
        <v>201054413</v>
      </c>
      <c r="D51" s="276"/>
      <c r="E51" s="276"/>
      <c r="F51" s="308"/>
      <c r="G51" s="278" t="s">
        <v>2425</v>
      </c>
    </row>
    <row r="52" spans="1:7" s="252" customFormat="1" ht="16.5" thickBot="1">
      <c r="A52" s="309" t="s">
        <v>2426</v>
      </c>
      <c r="B52" s="310"/>
      <c r="C52" s="311">
        <f ca="1">C31+C51</f>
        <v>228680326</v>
      </c>
      <c r="D52" s="310"/>
      <c r="E52" s="310"/>
      <c r="F52" s="310"/>
      <c r="G52" s="312"/>
    </row>
    <row r="55" spans="1:7" ht="15.5">
      <c r="B55" s="314" t="s">
        <v>2427</v>
      </c>
      <c r="C55" s="315"/>
    </row>
    <row r="56" spans="1:7" ht="13">
      <c r="B56" s="317" t="s">
        <v>1507</v>
      </c>
      <c r="C56" s="319">
        <f ca="1">1-C57</f>
        <v>0.121</v>
      </c>
    </row>
    <row r="57" spans="1:7" ht="13">
      <c r="B57" s="317" t="s">
        <v>1508</v>
      </c>
      <c r="C57" s="318">
        <f ca="1">ROUND(C51/C52,3)</f>
        <v>0.879</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activeCell="G18" sqref="G18"/>
    </sheetView>
  </sheetViews>
  <sheetFormatPr defaultColWidth="6.6328125" defaultRowHeight="12.5"/>
  <cols>
    <col min="1" max="1" width="9.81640625" style="798" customWidth="1"/>
    <col min="2" max="2" width="25.81640625" style="952" customWidth="1"/>
    <col min="3" max="3" width="10.36328125" style="995" customWidth="1"/>
    <col min="4" max="4" width="9.90625" style="952" customWidth="1"/>
    <col min="5" max="5" width="9.453125" style="798" customWidth="1"/>
    <col min="6" max="6" width="10.08984375" style="952" customWidth="1"/>
    <col min="7" max="7" width="10.81640625" style="952" customWidth="1"/>
    <col min="8" max="8" width="10" style="952" customWidth="1"/>
    <col min="9" max="11" width="9.453125" style="952" customWidth="1"/>
    <col min="12" max="12" width="9" style="952" customWidth="1"/>
    <col min="13" max="13" width="10.453125" style="952" bestFit="1" customWidth="1"/>
    <col min="14" max="254" width="9" style="952" customWidth="1"/>
    <col min="255" max="16384" width="6.6328125" style="952"/>
  </cols>
  <sheetData>
    <row r="1" spans="1:33" ht="21">
      <c r="A1" s="240" t="s">
        <v>2459</v>
      </c>
      <c r="B1" s="1581"/>
      <c r="C1" s="1582"/>
      <c r="D1" s="1580"/>
      <c r="E1" s="320"/>
      <c r="F1" s="320"/>
      <c r="G1" s="1581"/>
      <c r="H1" s="320"/>
      <c r="I1" s="320"/>
      <c r="J1" s="320"/>
      <c r="K1" s="320">
        <f>MATCH(C1,'数据-取费表'!A6:A16,0)+5</f>
        <v>7</v>
      </c>
    </row>
    <row r="2" spans="1:33" ht="18" customHeight="1">
      <c r="A2" s="245" t="s">
        <v>2327</v>
      </c>
      <c r="B2" s="248">
        <f ca="1">C32</f>
        <v>21840</v>
      </c>
      <c r="C2" s="320" t="s">
        <v>2460</v>
      </c>
      <c r="D2" s="320"/>
      <c r="E2" s="320"/>
      <c r="F2" s="320"/>
      <c r="G2" s="320"/>
      <c r="H2" s="320"/>
      <c r="I2" s="320"/>
      <c r="J2" s="320"/>
      <c r="K2" s="320"/>
    </row>
    <row r="3" spans="1:33" ht="18" customHeight="1" thickBot="1">
      <c r="A3" s="247" t="s">
        <v>2329</v>
      </c>
      <c r="B3" s="248">
        <f ca="1">ROUND(B2*10000/IF(C1="",'数据-汇总表'!E3,INDIRECT("'数据-取费表'!K"&amp;$K$1)),0)</f>
        <v>3115</v>
      </c>
      <c r="C3" s="320" t="s">
        <v>2461</v>
      </c>
      <c r="D3" s="320"/>
      <c r="E3" s="320"/>
      <c r="F3" s="320"/>
      <c r="G3" s="320"/>
      <c r="H3" s="320"/>
      <c r="I3" s="320"/>
      <c r="J3" s="320"/>
      <c r="K3" s="320"/>
    </row>
    <row r="4" spans="1:33" s="956" customFormat="1" ht="16.5" customHeight="1">
      <c r="A4" s="953" t="s">
        <v>2462</v>
      </c>
      <c r="B4" s="954"/>
      <c r="C4" s="996">
        <f ca="1">SUM(C8:K8)</f>
        <v>24171</v>
      </c>
      <c r="D4" s="954"/>
      <c r="E4" s="954"/>
      <c r="F4" s="954"/>
      <c r="G4" s="954"/>
      <c r="H4" s="954"/>
      <c r="I4" s="954"/>
      <c r="J4" s="954"/>
      <c r="K4" s="955"/>
    </row>
    <row r="5" spans="1:33" s="960" customFormat="1" ht="14">
      <c r="A5" s="957" t="s">
        <v>2463</v>
      </c>
      <c r="B5" s="958" t="s">
        <v>2464</v>
      </c>
      <c r="C5" s="2556" t="s">
        <v>6</v>
      </c>
      <c r="D5" s="2556"/>
      <c r="E5" s="2556"/>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f ca="1">收益法!B3</f>
        <v>3473</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69600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2468</v>
      </c>
      <c r="B8" s="177" t="s">
        <v>2469</v>
      </c>
      <c r="C8" s="997">
        <f ca="1">收益法!B2</f>
        <v>24171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140</v>
      </c>
      <c r="D11" s="973"/>
      <c r="E11" s="375"/>
      <c r="F11" s="974">
        <f ca="1">1-IF('数据-取费表'!B24=0,1,IF(C1="",'数据-取费表'!N16,INDIRECT("'数据-取费表'!n"&amp;$K$1)))</f>
        <v>1.0000000000000009E-2</v>
      </c>
      <c r="G11" s="8"/>
      <c r="H11" s="968"/>
      <c r="I11" s="968"/>
      <c r="J11" s="968"/>
      <c r="K11" s="969"/>
    </row>
    <row r="12" spans="1:33" s="975" customFormat="1" ht="13.5" customHeight="1">
      <c r="A12" s="971" t="s">
        <v>1330</v>
      </c>
      <c r="B12" s="972" t="s">
        <v>2478</v>
      </c>
      <c r="C12" s="24">
        <f ca="1">ROUND(C11*F12,0)</f>
        <v>4</v>
      </c>
      <c r="D12" s="973"/>
      <c r="E12" s="375"/>
      <c r="F12" s="976">
        <f>'数据-取费表'!B33</f>
        <v>0.03</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14</v>
      </c>
      <c r="D14" s="1033">
        <f ca="1">IF(C1="",'数据-汇总表'!E3,INDIRECT("'数据-取费表'!K"&amp;$K$1)+INDIRECT("'数据-取费表'!S"&amp;$K$1))</f>
        <v>70116</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2</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160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70116</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0</v>
      </c>
      <c r="D18" s="1033"/>
      <c r="E18" s="24"/>
      <c r="F18" s="976"/>
      <c r="G18" s="2558"/>
      <c r="H18" s="1577"/>
      <c r="I18" s="2559"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105</v>
      </c>
      <c r="F19" s="976"/>
      <c r="G19" s="15"/>
      <c r="H19" s="1579"/>
      <c r="I19" s="981"/>
      <c r="J19" s="981"/>
      <c r="K19" s="982"/>
    </row>
    <row r="20" spans="1:33" s="975" customFormat="1" ht="13.5" customHeight="1">
      <c r="A20" s="971" t="s">
        <v>806</v>
      </c>
      <c r="B20" s="972" t="s">
        <v>2492</v>
      </c>
      <c r="C20" s="24">
        <f ca="1">ROUND(D20*E20/10000,0)</f>
        <v>736</v>
      </c>
      <c r="D20" s="1033">
        <f ca="1">IF(C1="",'数据-汇总表'!E6,IF(INDIRECT("'数据-取费表'!c"&amp;$K$1)="住宅",INDIRECT("'数据-取费表'!s"&amp;$K$1),INDIRECT("'数据-取费表'!k"&amp;$K$1)+INDIRECT("'数据-取费表'!s"&amp;$K$1)))</f>
        <v>70116</v>
      </c>
      <c r="E20" s="24">
        <f>'数据-取费表'!B28</f>
        <v>105</v>
      </c>
      <c r="F20" s="976"/>
      <c r="G20" s="15"/>
      <c r="H20" s="981"/>
      <c r="I20" s="981"/>
      <c r="J20" s="981"/>
      <c r="K20" s="982"/>
    </row>
    <row r="21" spans="1:33" s="975" customFormat="1" ht="13.5" customHeight="1">
      <c r="A21" s="961" t="s">
        <v>802</v>
      </c>
      <c r="B21" s="985" t="s">
        <v>2493</v>
      </c>
      <c r="C21" s="986">
        <f ca="1">C16+C17+C18</f>
        <v>160</v>
      </c>
      <c r="D21" s="987"/>
      <c r="E21" s="325"/>
      <c r="F21" s="325"/>
      <c r="G21" s="140" t="s">
        <v>2494</v>
      </c>
      <c r="H21" s="979"/>
      <c r="I21" s="979"/>
      <c r="J21" s="979"/>
      <c r="K21" s="980"/>
    </row>
    <row r="22" spans="1:33" s="975" customFormat="1" ht="13.5" customHeight="1">
      <c r="A22" s="961" t="s">
        <v>2466</v>
      </c>
      <c r="B22" s="985" t="s">
        <v>2495</v>
      </c>
      <c r="C22" s="986">
        <f ca="1">ROUND(C21*F22,0)</f>
        <v>3</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5</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3.8600000000000002E-2</v>
      </c>
      <c r="D24" s="325" t="s">
        <v>15</v>
      </c>
      <c r="E24" s="325"/>
      <c r="F24" s="988">
        <f>IF(项目基本情况!B8="出让",0,'数据-取费表'!B48+'数据-取费表'!B49)</f>
        <v>4.0500000000000001E-2</v>
      </c>
      <c r="G24" s="8" t="s">
        <v>2501</v>
      </c>
      <c r="H24" s="990"/>
      <c r="I24" s="990"/>
      <c r="J24" s="990"/>
      <c r="K24" s="991"/>
    </row>
    <row r="25" spans="1:33" s="975" customFormat="1" ht="13.5" customHeight="1">
      <c r="A25" s="961" t="s">
        <v>2502</v>
      </c>
      <c r="B25" s="987" t="s">
        <v>2503</v>
      </c>
      <c r="C25" s="1356">
        <f ca="1">C27</f>
        <v>0</v>
      </c>
      <c r="D25" s="324">
        <f ca="1">C26</f>
        <v>6.9999999999999999E-4</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6.9999999999999999E-4</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2506</v>
      </c>
      <c r="B28" s="2561" t="s">
        <v>2507</v>
      </c>
      <c r="C28" s="331">
        <f ca="1">C30</f>
        <v>17</v>
      </c>
      <c r="D28" s="324">
        <f ca="1">C29</f>
        <v>1E-3</v>
      </c>
      <c r="E28" s="326" t="s">
        <v>15</v>
      </c>
      <c r="F28" s="332">
        <f ca="1">IF(C1="",'数据-取费表'!Q16,INDIRECT("'数据-取费表'!q"&amp;$K$1))</f>
        <v>0.1</v>
      </c>
      <c r="G28" s="989"/>
      <c r="H28" s="990"/>
      <c r="I28" s="990"/>
      <c r="J28" s="990"/>
      <c r="K28" s="991"/>
    </row>
    <row r="29" spans="1:33" s="335" customFormat="1" ht="13.5" customHeight="1">
      <c r="A29" s="971" t="s">
        <v>803</v>
      </c>
      <c r="B29" s="994" t="s">
        <v>2508</v>
      </c>
      <c r="C29" s="328">
        <f ca="1">ROUND((1+C24)*F28*'数据-取费表'!B24/'数据-取费表'!B20,4)</f>
        <v>1E-3</v>
      </c>
      <c r="D29" s="328"/>
      <c r="E29" s="329"/>
      <c r="F29" s="334"/>
      <c r="G29" s="140" t="s">
        <v>2509</v>
      </c>
      <c r="H29" s="979"/>
      <c r="I29" s="979"/>
      <c r="J29" s="979"/>
      <c r="K29" s="980"/>
    </row>
    <row r="30" spans="1:33" s="335" customFormat="1" ht="13.5" customHeight="1">
      <c r="A30" s="971" t="s">
        <v>804</v>
      </c>
      <c r="B30" s="994" t="s">
        <v>2510</v>
      </c>
      <c r="C30" s="336">
        <f ca="1">ROUND((C21+C22+C23)*F28,0)</f>
        <v>17</v>
      </c>
      <c r="D30" s="328"/>
      <c r="E30" s="329"/>
      <c r="F30" s="334"/>
      <c r="G30" s="140"/>
      <c r="H30" s="979"/>
      <c r="I30" s="979"/>
      <c r="J30" s="979"/>
      <c r="K30" s="980"/>
    </row>
    <row r="31" spans="1:33" s="975" customFormat="1" ht="13.5" customHeight="1" thickBot="1">
      <c r="A31" s="2562" t="s">
        <v>2511</v>
      </c>
      <c r="B31" s="1005" t="s">
        <v>2512</v>
      </c>
      <c r="C31" s="1006">
        <f ca="1">ROUND(C4*F31/(1+'数据-取费表'!C42),0)</f>
        <v>1266</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21840</v>
      </c>
      <c r="D32" s="1001"/>
      <c r="E32" s="1001"/>
      <c r="F32" s="1001"/>
      <c r="G32" s="1003" t="s">
        <v>2515</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E5" sqref="E5"/>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5.08984375" style="1934" customWidth="1"/>
    <col min="12" max="12" width="16.36328125" style="302" customWidth="1"/>
    <col min="13" max="13" width="13" style="302" customWidth="1"/>
    <col min="14" max="14" width="13.81640625" style="1842" customWidth="1"/>
    <col min="15" max="15" width="5.08984375" style="1842" customWidth="1"/>
    <col min="16" max="16" width="25.81640625" style="1842" customWidth="1"/>
    <col min="17" max="17" width="13.81640625" style="1842" customWidth="1"/>
    <col min="18" max="18" width="20.453125" style="1842" customWidth="1"/>
    <col min="19" max="19" width="13.1796875" style="1842" customWidth="1"/>
    <col min="20" max="37" width="9" style="1842"/>
    <col min="38" max="16384" width="9" style="302"/>
  </cols>
  <sheetData>
    <row r="1" spans="1:37" s="337" customFormat="1" ht="21">
      <c r="A1" s="1833" t="s">
        <v>1583</v>
      </c>
      <c r="B1" s="782"/>
      <c r="C1" s="1837" t="s">
        <v>6</v>
      </c>
      <c r="D1" s="1820" t="s">
        <v>3074</v>
      </c>
      <c r="E1" s="1821" t="s">
        <v>1381</v>
      </c>
      <c r="F1" s="1283">
        <f ca="1">J53</f>
        <v>47.954999999999998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24171</v>
      </c>
      <c r="C2" s="1845" t="s">
        <v>1510</v>
      </c>
      <c r="D2" s="1845"/>
      <c r="E2" s="1846"/>
      <c r="F2" s="1847"/>
      <c r="G2" s="1848"/>
      <c r="H2" s="1840"/>
      <c r="I2" s="1840"/>
      <c r="J2" s="1840"/>
      <c r="K2" s="1841"/>
      <c r="L2" s="1840"/>
      <c r="M2" s="1840"/>
    </row>
    <row r="3" spans="1:37" ht="18" customHeight="1" thickBot="1">
      <c r="A3" s="1849" t="s">
        <v>1511</v>
      </c>
      <c r="B3" s="1850">
        <f ca="1">IF(ISERROR(B2*10000/F43),0,ROUND(B2*10000/F43,0))</f>
        <v>3473</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1514</v>
      </c>
      <c r="D5" s="1822" t="s">
        <v>1396</v>
      </c>
      <c r="E5" s="1293"/>
      <c r="F5" s="1294"/>
      <c r="G5" s="1851"/>
      <c r="H5" s="344">
        <v>1</v>
      </c>
      <c r="I5" s="345" t="s">
        <v>1395</v>
      </c>
      <c r="J5" s="1292">
        <f ca="1">J6+J10+J12</f>
        <v>0</v>
      </c>
      <c r="K5" s="1822" t="s">
        <v>1396</v>
      </c>
      <c r="L5" s="1293"/>
      <c r="M5" s="1294"/>
    </row>
    <row r="6" spans="1:37" ht="18" customHeight="1">
      <c r="A6" s="1291" t="s">
        <v>1031</v>
      </c>
      <c r="B6" s="3156" t="s">
        <v>1397</v>
      </c>
      <c r="C6" s="1296">
        <f ca="1">ROUND(F6*F8*F7*(1-F9)/10000,0)</f>
        <v>1512</v>
      </c>
      <c r="D6" s="164" t="s">
        <v>3028</v>
      </c>
      <c r="E6" s="347" t="s">
        <v>1399</v>
      </c>
      <c r="F6" s="348">
        <f ca="1">INDIRECT("'数据-取费表'!u"&amp;$G$1)</f>
        <v>0.7</v>
      </c>
      <c r="G6" s="1851"/>
      <c r="H6" s="1291" t="s">
        <v>1031</v>
      </c>
      <c r="I6" s="3156" t="s">
        <v>1397</v>
      </c>
      <c r="J6" s="346">
        <f ca="1">ROUND(M6*M8*M7*(1-M9)/10000,0)</f>
        <v>0</v>
      </c>
      <c r="K6" s="164" t="s">
        <v>3027</v>
      </c>
      <c r="L6" s="347" t="s">
        <v>1399</v>
      </c>
      <c r="M6" s="348">
        <f ca="1">INDIRECT("'数据-取费表'!z"&amp;$G$1)</f>
        <v>0</v>
      </c>
    </row>
    <row r="7" spans="1:37" ht="18" customHeight="1">
      <c r="A7" s="1295"/>
      <c r="B7" s="3157"/>
      <c r="C7" s="1297"/>
      <c r="D7" s="352"/>
      <c r="E7" s="1298" t="s">
        <v>1400</v>
      </c>
      <c r="F7" s="348">
        <f ca="1">IF(INDIRECT("'数据-取费表'!ah"&amp;$G$1)="",INDIRECT("'数据-取费表'!k"&amp;$G$1),INDIRECT("'数据-取费表'!ah"&amp;$G$1))</f>
        <v>69600</v>
      </c>
      <c r="G7" s="1851"/>
      <c r="H7" s="349"/>
      <c r="I7" s="3157"/>
      <c r="J7" s="351"/>
      <c r="K7" s="352"/>
      <c r="L7" s="347" t="s">
        <v>1400</v>
      </c>
      <c r="M7" s="348">
        <f ca="1">F7</f>
        <v>69600</v>
      </c>
    </row>
    <row r="8" spans="1:37" ht="18" customHeight="1">
      <c r="A8" s="349"/>
      <c r="B8" s="3157"/>
      <c r="C8" s="351"/>
      <c r="D8" s="352"/>
      <c r="E8" s="347" t="s">
        <v>1401</v>
      </c>
      <c r="F8" s="348">
        <f ca="1">INDIRECT("'数据-取费表'!ai"&amp;$G$1)</f>
        <v>365</v>
      </c>
      <c r="G8" s="1851"/>
      <c r="H8" s="349"/>
      <c r="I8" s="3157"/>
      <c r="J8" s="351"/>
      <c r="K8" s="352"/>
      <c r="L8" s="347" t="s">
        <v>1401</v>
      </c>
      <c r="M8" s="348">
        <f ca="1">INDIRECT("'数据-取费表'!ai"&amp;$G$1)</f>
        <v>365</v>
      </c>
    </row>
    <row r="9" spans="1:37" ht="18" customHeight="1">
      <c r="A9" s="349"/>
      <c r="B9" s="3158"/>
      <c r="C9" s="351"/>
      <c r="D9" s="352"/>
      <c r="E9" s="347" t="s">
        <v>1402</v>
      </c>
      <c r="F9" s="357">
        <f ca="1">INDIRECT("'数据-取费表'!w"&amp;$G$1)</f>
        <v>0.15</v>
      </c>
      <c r="G9" s="1851"/>
      <c r="H9" s="349"/>
      <c r="I9" s="3158"/>
      <c r="J9" s="351"/>
      <c r="K9" s="352"/>
      <c r="L9" s="358" t="s">
        <v>1402</v>
      </c>
      <c r="M9" s="359">
        <f ca="1">INDIRECT("'数据-取费表'!ab"&amp;$G$1)</f>
        <v>0</v>
      </c>
    </row>
    <row r="10" spans="1:37" ht="18" customHeight="1">
      <c r="A10" s="1291" t="s">
        <v>1035</v>
      </c>
      <c r="B10" s="1823" t="s">
        <v>1403</v>
      </c>
      <c r="C10" s="361">
        <f ca="1">ROUND(IF(F10="押一",C6/12*F11,IF(F10="押二",C6/12*2*F11,IF(F10="押三",C6/12*3*F11,C11*F11))),0)</f>
        <v>2</v>
      </c>
      <c r="D10" s="1824" t="s">
        <v>3037</v>
      </c>
      <c r="E10" s="358" t="s">
        <v>1404</v>
      </c>
      <c r="F10" s="1366" t="s">
        <v>3075</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20105</v>
      </c>
      <c r="D13" s="1331" t="s">
        <v>1409</v>
      </c>
      <c r="E13" s="1331" t="s">
        <v>1410</v>
      </c>
      <c r="F13" s="1332">
        <f ca="1">INDIRECT("'数据-取费表'!y"&amp;$G$1)</f>
        <v>1</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14023</v>
      </c>
      <c r="D14" s="1800" t="s">
        <v>1412</v>
      </c>
      <c r="E14" s="1794"/>
      <c r="F14" s="364"/>
      <c r="G14" s="1851"/>
      <c r="H14" s="1201" t="s">
        <v>1031</v>
      </c>
      <c r="I14" s="347" t="s">
        <v>1413</v>
      </c>
      <c r="J14" s="24">
        <f ca="1">C29</f>
        <v>20105</v>
      </c>
      <c r="K14" s="15"/>
      <c r="L14" s="979"/>
      <c r="M14" s="980"/>
    </row>
    <row r="15" spans="1:37" s="1858" customFormat="1" ht="18" customHeight="1" thickBot="1">
      <c r="A15" s="1201" t="s">
        <v>1032</v>
      </c>
      <c r="B15" s="347" t="s">
        <v>1414</v>
      </c>
      <c r="C15" s="24">
        <f ca="1">ROUND(C14*F15,0)</f>
        <v>421</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496</v>
      </c>
      <c r="K16" s="1337" t="s">
        <v>1419</v>
      </c>
      <c r="L16" s="1338"/>
      <c r="M16" s="1294"/>
    </row>
    <row r="17" spans="1:37" s="1858" customFormat="1" ht="18" customHeight="1">
      <c r="A17" s="1201" t="s">
        <v>1384</v>
      </c>
      <c r="B17" s="347" t="s">
        <v>1420</v>
      </c>
      <c r="C17" s="24">
        <f ca="1">ROUND(F17*(F43+INDIRECT("'数据-取费表'!S"&amp;$G$1))/10000,0)</f>
        <v>1402</v>
      </c>
      <c r="D17" s="347" t="s">
        <v>1421</v>
      </c>
      <c r="E17" s="347" t="s">
        <v>1422</v>
      </c>
      <c r="F17" s="26">
        <f>'数据-取费表'!B35</f>
        <v>200</v>
      </c>
      <c r="G17" s="1854"/>
      <c r="H17" s="1201" t="s">
        <v>1031</v>
      </c>
      <c r="I17" s="347" t="s">
        <v>1423</v>
      </c>
      <c r="J17" s="24">
        <f ca="1">ROUND(IF(项目基本情况!B11="自然人",J6*M17/(1+'数据-取费表'!C42),J18+J19+J20),1)</f>
        <v>194</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210</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16056</v>
      </c>
      <c r="D19" s="140" t="s">
        <v>1430</v>
      </c>
      <c r="E19" s="1818"/>
      <c r="F19" s="26"/>
      <c r="G19" s="1851"/>
      <c r="H19" s="1201" t="s">
        <v>1032</v>
      </c>
      <c r="I19" s="347" t="s">
        <v>1431</v>
      </c>
      <c r="J19" s="24">
        <f ca="1">IF(K19="按租金收入计税",ROUND(J6*M19/(1+'数据-取费表'!C42),2),ROUND(C29*M19*0.7,2))</f>
        <v>168.88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321</v>
      </c>
      <c r="D20" s="369" t="s">
        <v>1434</v>
      </c>
      <c r="E20" s="347" t="s">
        <v>1416</v>
      </c>
      <c r="F20" s="367">
        <f>'数据-取费表'!B37</f>
        <v>0.02</v>
      </c>
      <c r="G20" s="1854"/>
      <c r="H20" s="1201" t="s">
        <v>1383</v>
      </c>
      <c r="I20" s="164" t="s">
        <v>1435</v>
      </c>
      <c r="J20" s="25">
        <f ca="1">ROUND(M20*M21/10000,2)</f>
        <v>25.08</v>
      </c>
      <c r="K20" s="370" t="s">
        <v>1436</v>
      </c>
      <c r="L20" s="347" t="s">
        <v>1437</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62695.5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301.60000000000002</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580</v>
      </c>
      <c r="D23" s="375" t="str">
        <f>IF(F23&lt;=1,"(建造成本+管理费用)×利率×(建设周期÷2)","(建造成本+管理费用)×((1+利率)^(建设周期÷2)-1)")</f>
        <v>(建造成本+管理费用)×((1+利率)^(建设周期÷2)-1)</v>
      </c>
      <c r="E23" s="347" t="s">
        <v>1446</v>
      </c>
      <c r="F23" s="371">
        <f>'数据-取费表'!B20</f>
        <v>1.5</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-496</v>
      </c>
      <c r="K25" s="1345" t="s">
        <v>1458</v>
      </c>
      <c r="L25" s="1346"/>
      <c r="M25" s="1347"/>
    </row>
    <row r="26" spans="1:37" ht="13">
      <c r="A26" s="1201" t="s">
        <v>1030</v>
      </c>
      <c r="B26" s="347" t="s">
        <v>1459</v>
      </c>
      <c r="C26" s="24">
        <f ca="1">ROUND((C19+C20)*F26,0)</f>
        <v>1638</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20105</v>
      </c>
      <c r="D29" s="1342"/>
      <c r="E29" s="1340"/>
      <c r="F29" s="1343"/>
      <c r="G29" s="1854"/>
      <c r="H29" s="380" t="s">
        <v>1029</v>
      </c>
      <c r="I29" s="381" t="s">
        <v>1473</v>
      </c>
      <c r="J29" s="382">
        <f ca="1">ROUND(J26/(1+F40)^F41,0)</f>
        <v>0</v>
      </c>
      <c r="K29" s="383" t="s">
        <v>1474</v>
      </c>
      <c r="L29" s="384"/>
      <c r="M29" s="385">
        <f ca="1">INDIRECT("'数据-取费表'!k"&amp;$G$1)</f>
        <v>69600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632</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277.10000000000002</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79.2</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172.8</v>
      </c>
      <c r="D33" s="1828" t="s">
        <v>3076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25.08</v>
      </c>
      <c r="D34" s="370" t="s">
        <v>1436</v>
      </c>
      <c r="E34" s="347" t="s">
        <v>1437</v>
      </c>
      <c r="F34" s="371">
        <f>'数据-取费表'!B52</f>
        <v>4</v>
      </c>
      <c r="G34" s="1851"/>
      <c r="H34" s="745"/>
      <c r="I34" s="1860"/>
      <c r="J34" s="1861"/>
      <c r="K34" s="1863"/>
      <c r="L34" s="1864"/>
      <c r="M34" s="1864"/>
    </row>
    <row r="35" spans="1:18" ht="18" customHeight="1">
      <c r="A35" s="1353"/>
      <c r="B35" s="1351"/>
      <c r="C35" s="29"/>
      <c r="D35" s="373"/>
      <c r="E35" s="347" t="s">
        <v>1441</v>
      </c>
      <c r="F35" s="348">
        <f ca="1">INDIRECT("'数据-取费表'!r"&amp;$G$1)</f>
        <v>62695.5</v>
      </c>
      <c r="G35" s="1851"/>
      <c r="H35" s="745"/>
      <c r="I35" s="1860"/>
      <c r="J35" s="1861"/>
      <c r="K35" s="1862"/>
      <c r="L35" s="1859"/>
      <c r="M35" s="1859"/>
    </row>
    <row r="36" spans="1:18" ht="18" customHeight="1">
      <c r="A36" s="1352" t="s">
        <v>1035</v>
      </c>
      <c r="B36" s="347" t="s">
        <v>1443</v>
      </c>
      <c r="C36" s="24">
        <f ca="1">ROUND(C29*F36,1)</f>
        <v>301.60000000000002</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30.2</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22.7</v>
      </c>
      <c r="D38" s="1342" t="s">
        <v>1453</v>
      </c>
      <c r="E38" s="1340" t="s">
        <v>1449</v>
      </c>
      <c r="F38" s="1336">
        <f ca="1">INDIRECT("'数据-取费表'!Am"&amp;$G$1)</f>
        <v>1.4999999999999999E-2</v>
      </c>
      <c r="G38" s="1851"/>
      <c r="H38" s="1859"/>
      <c r="I38" s="1860"/>
      <c r="J38" s="1861"/>
      <c r="K38" s="1865"/>
      <c r="L38" s="1859"/>
      <c r="M38" s="1859"/>
    </row>
    <row r="39" spans="1:18" ht="24.65" customHeight="1" thickTop="1">
      <c r="A39" s="1329" t="s">
        <v>1027</v>
      </c>
      <c r="B39" s="1344" t="s">
        <v>1477</v>
      </c>
      <c r="C39" s="355">
        <f ca="1">C5-C30</f>
        <v>882</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24171</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47.954999999999998</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3473</v>
      </c>
      <c r="D43" s="383" t="s">
        <v>1482</v>
      </c>
      <c r="E43" s="384" t="s">
        <v>1483</v>
      </c>
      <c r="F43" s="385">
        <f ca="1">INDIRECT("'数据-取费表'!k"&amp;$G$1)</f>
        <v>69600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4" thickBot="1">
      <c r="A46" s="1870" t="s">
        <v>1514</v>
      </c>
      <c r="C46" s="1871">
        <f ca="1">C68-C40</f>
        <v>-61148</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3077</v>
      </c>
      <c r="K47" s="1882" t="s">
        <v>1521</v>
      </c>
      <c r="L47" s="1883">
        <f ca="1">INDIRECT("'数据-取费表'!d"&amp;$G$1)</f>
        <v>50</v>
      </c>
      <c r="M47" s="1838" t="str">
        <f>IF(ISNUMBER(FIND("住宅",C1)),"住宅","非住宅")</f>
        <v>非住宅</v>
      </c>
      <c r="O47" s="1884" t="s">
        <v>1036</v>
      </c>
      <c r="P47" s="1885" t="s">
        <v>1522</v>
      </c>
      <c r="Q47" s="1886">
        <f ca="1">C40+J29</f>
        <v>24171</v>
      </c>
      <c r="R47" s="1886" t="s">
        <v>1523</v>
      </c>
    </row>
    <row r="48" spans="1:18" s="1842" customFormat="1" ht="43.5" thickBot="1">
      <c r="A48" s="1360" t="s">
        <v>1131</v>
      </c>
      <c r="B48" s="345" t="s">
        <v>1395</v>
      </c>
      <c r="C48" s="1817">
        <f ca="1">C49+C53+C55</f>
        <v>0</v>
      </c>
      <c r="D48" s="1362"/>
      <c r="E48" s="1363"/>
      <c r="F48" s="1181"/>
      <c r="G48" s="792"/>
      <c r="H48" s="793"/>
      <c r="I48" s="1887" t="s">
        <v>1524</v>
      </c>
      <c r="J48" s="1888" t="s">
        <v>3078</v>
      </c>
      <c r="K48" s="1889" t="s">
        <v>1525</v>
      </c>
      <c r="L48" s="1890">
        <f ca="1">INDIRECT("'数据-取费表'!f"&amp;$G$1)</f>
        <v>47.97</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v>2019</v>
      </c>
      <c r="K49" s="1889" t="s">
        <v>1529</v>
      </c>
      <c r="L49" s="1893"/>
      <c r="O49" s="1894" t="s">
        <v>1038</v>
      </c>
      <c r="P49" s="1885" t="s">
        <v>1530</v>
      </c>
      <c r="Q49" s="1886">
        <f ca="1">C29</f>
        <v>20105</v>
      </c>
      <c r="R49" s="1886" t="s">
        <v>1523</v>
      </c>
    </row>
    <row r="50" spans="1:18" s="1842" customFormat="1" ht="13.5" thickBot="1">
      <c r="A50" s="1195"/>
      <c r="B50" s="1198"/>
      <c r="C50" s="1368"/>
      <c r="D50" s="1172"/>
      <c r="E50" s="1277" t="s">
        <v>1400</v>
      </c>
      <c r="F50" s="1278">
        <f ca="1">F7</f>
        <v>69600</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59</v>
      </c>
      <c r="K51" s="1900" t="s">
        <v>1535</v>
      </c>
      <c r="L51" s="1901">
        <f ca="1">ROUND(-PV(INDIRECT("'数据-取费表'!h"&amp;$G$1),L48,(C39-C13*C76),0),0)</f>
        <v>-16152</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47.954999999999998</v>
      </c>
      <c r="R52" s="1886" t="s">
        <v>1540</v>
      </c>
    </row>
    <row r="53" spans="1:18" s="1842" customFormat="1" ht="26.5" thickBot="1">
      <c r="A53" s="1405" t="s">
        <v>1133</v>
      </c>
      <c r="B53" s="1831" t="s">
        <v>1403</v>
      </c>
      <c r="C53" s="361">
        <f ca="1">ROUND(IF(F53="押一",C49/12*F11,IF(F53="押二",C49/12*2*F11,IF(F53="押三",C49/12*3*F11,C54*F11))),0)</f>
        <v>0</v>
      </c>
      <c r="D53" s="1824" t="s">
        <v>3036</v>
      </c>
      <c r="E53" s="358" t="s">
        <v>1404</v>
      </c>
      <c r="F53" s="1366"/>
      <c r="I53" s="1905" t="s">
        <v>1541</v>
      </c>
      <c r="J53" s="2952">
        <f ca="1">IF(M47="住宅",IF(D1="——",MAX(J51,L48),MAX(J51,L48-'数据-取费表'!B24)),IF(D1="——",MIN(J51,L48),MIN(J51,L48-'数据-取费表'!B24)))</f>
        <v>47.954999999999998</v>
      </c>
      <c r="K53" s="3154" t="s">
        <v>1542</v>
      </c>
      <c r="L53" s="3155"/>
      <c r="O53" s="1884" t="s">
        <v>1042</v>
      </c>
      <c r="P53" s="1885" t="s">
        <v>1543</v>
      </c>
      <c r="Q53" s="1886">
        <f ca="1">Q47+Q48</f>
        <v>24171</v>
      </c>
      <c r="R53" s="1886" t="s">
        <v>1043</v>
      </c>
    </row>
    <row r="54" spans="1:18" s="1842" customFormat="1" ht="26.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40" thickTop="1" thickBot="1">
      <c r="A56" s="1176">
        <v>2</v>
      </c>
      <c r="B56" s="1177" t="s">
        <v>1408</v>
      </c>
      <c r="C56" s="276">
        <f ca="1">C13</f>
        <v>20105</v>
      </c>
      <c r="D56" s="1913"/>
      <c r="E56" s="1914"/>
      <c r="F56" s="1906"/>
      <c r="I56" s="1915" t="s">
        <v>1548</v>
      </c>
      <c r="J56" s="1916" t="s">
        <v>3071</v>
      </c>
      <c r="K56" s="1887" t="s">
        <v>1549</v>
      </c>
      <c r="L56" s="1890" t="str">
        <f ca="1">IF(L48&lt;J51,"——",L48-J53)</f>
        <v>——</v>
      </c>
      <c r="O56" s="1884" t="s">
        <v>1036</v>
      </c>
      <c r="P56" s="1885" t="s">
        <v>1522</v>
      </c>
      <c r="Q56" s="1886">
        <f ca="1">C40+J29</f>
        <v>24171</v>
      </c>
      <c r="R56" s="1886" t="s">
        <v>1523</v>
      </c>
    </row>
    <row r="57" spans="1:18" s="1842" customFormat="1" ht="26.5" thickBot="1">
      <c r="A57" s="1917"/>
      <c r="B57" s="1169" t="s">
        <v>1472</v>
      </c>
      <c r="C57" s="282">
        <f ca="1">C29</f>
        <v>20105</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6.5" thickBot="1">
      <c r="A58" s="360" t="s">
        <v>1026</v>
      </c>
      <c r="B58" s="1177" t="s">
        <v>1418</v>
      </c>
      <c r="C58" s="361">
        <f ca="1">ROUND(C59+C64+C65+C66,0)</f>
        <v>2046</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ROUND(IF(项目基本情况!B11="自然人",C48*F59,C60+C61+C62),1)</f>
        <v>1713.9</v>
      </c>
      <c r="D59" s="1182" t="s">
        <v>1424</v>
      </c>
      <c r="E59" s="1183" t="s">
        <v>1425</v>
      </c>
      <c r="F59" s="368">
        <f ca="1">IF(项目基本情况!B11="企业","",IF(INDIRECT("'数据-取费表'!c"&amp;$G$1)="住宅",5%,IF(F49*F50*F51/12/(1+'数据-取费表'!C42)&gt;20000,12%,7%)))</f>
        <v>7.0000000000000007E-2</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1688.82</v>
      </c>
      <c r="D61" s="1828" t="s">
        <v>1432</v>
      </c>
      <c r="E61" s="1169" t="s">
        <v>1488</v>
      </c>
      <c r="F61" s="367">
        <f t="shared" si="0"/>
        <v>0.12</v>
      </c>
      <c r="I61" s="1927"/>
      <c r="J61" s="1927"/>
      <c r="K61" s="1927"/>
      <c r="L61" s="1927"/>
      <c r="O61" s="1894" t="s">
        <v>1041</v>
      </c>
      <c r="P61" s="1885" t="str">
        <f>K59</f>
        <v>续建工期及建筑物耐用年限下的土地年期修正系数Kn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25.08</v>
      </c>
      <c r="D62" s="1184" t="s">
        <v>1491</v>
      </c>
      <c r="E62" s="1169" t="s">
        <v>1492</v>
      </c>
      <c r="F62" s="371">
        <f t="shared" si="0"/>
        <v>4</v>
      </c>
      <c r="I62" s="1928" t="s">
        <v>1564</v>
      </c>
      <c r="J62" s="1929" t="s">
        <v>1565</v>
      </c>
      <c r="K62" s="1929" t="s">
        <v>1566</v>
      </c>
      <c r="L62" s="1929" t="s">
        <v>1567</v>
      </c>
      <c r="M62" s="1930" t="s">
        <v>1568</v>
      </c>
      <c r="O62" s="1884" t="s">
        <v>1042</v>
      </c>
      <c r="P62" s="1885" t="s">
        <v>1569</v>
      </c>
      <c r="Q62" s="1886">
        <f ca="1">Q56+Q57</f>
        <v>24171</v>
      </c>
      <c r="R62" s="1886" t="s">
        <v>1043</v>
      </c>
    </row>
    <row r="63" spans="1:18" s="1842" customFormat="1" ht="13.5" thickBot="1">
      <c r="A63" s="372"/>
      <c r="B63" s="1175"/>
      <c r="C63" s="29"/>
      <c r="D63" s="1185"/>
      <c r="E63" s="1169" t="s">
        <v>1493</v>
      </c>
      <c r="F63" s="348">
        <f t="shared" ca="1" si="0"/>
        <v>62695.5</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301.60000000000002</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30.2</v>
      </c>
      <c r="D65" s="1183" t="s">
        <v>1448</v>
      </c>
      <c r="E65" s="1169" t="s">
        <v>1449</v>
      </c>
      <c r="F65" s="376">
        <f t="shared" ca="1" si="0"/>
        <v>1.5E-3</v>
      </c>
      <c r="I65" s="1928" t="s">
        <v>1573</v>
      </c>
      <c r="J65" s="1929">
        <v>40</v>
      </c>
      <c r="K65" s="1929">
        <v>30</v>
      </c>
      <c r="L65" s="1929">
        <v>50</v>
      </c>
      <c r="M65" s="1931">
        <v>0.02</v>
      </c>
      <c r="O65" s="1884" t="s">
        <v>1036</v>
      </c>
      <c r="P65" s="1885" t="s">
        <v>1574</v>
      </c>
      <c r="Q65" s="1886">
        <f ca="1">C40+J29</f>
        <v>24171</v>
      </c>
      <c r="R65" s="1886" t="s">
        <v>1523</v>
      </c>
    </row>
    <row r="66" spans="1:18" s="1842" customFormat="1" ht="16" thickBot="1">
      <c r="A66" s="1201" t="s">
        <v>1498</v>
      </c>
      <c r="B66" s="1169" t="s">
        <v>1433</v>
      </c>
      <c r="C66" s="24">
        <f ca="1">ROUND(C48*F66,1)</f>
        <v>0</v>
      </c>
      <c r="D66" s="1183" t="s">
        <v>1499</v>
      </c>
      <c r="E66" s="1169" t="s">
        <v>1416</v>
      </c>
      <c r="F66" s="357">
        <f t="shared" ca="1" si="0"/>
        <v>1.4999999999999999E-2</v>
      </c>
      <c r="O66" s="1884" t="s">
        <v>1037</v>
      </c>
      <c r="P66" s="1885" t="s">
        <v>1552</v>
      </c>
      <c r="Q66" s="1886">
        <f ca="1">L60</f>
        <v>0</v>
      </c>
      <c r="R66" s="1886" t="s">
        <v>1575</v>
      </c>
    </row>
    <row r="67" spans="1:18" s="1842" customFormat="1" ht="26.5" thickBot="1">
      <c r="A67" s="1176" t="s">
        <v>1027</v>
      </c>
      <c r="B67" s="1186" t="s">
        <v>1457</v>
      </c>
      <c r="C67" s="361">
        <f ca="1">C48-C58</f>
        <v>-2046</v>
      </c>
      <c r="D67" s="1182" t="s">
        <v>1458</v>
      </c>
      <c r="E67" s="1187"/>
      <c r="F67" s="1188"/>
      <c r="O67" s="1894" t="s">
        <v>1038</v>
      </c>
      <c r="P67" s="1885" t="s">
        <v>1556</v>
      </c>
      <c r="Q67" s="1932">
        <f ca="1">L51</f>
        <v>-16152</v>
      </c>
      <c r="R67" s="1886" t="s">
        <v>1576</v>
      </c>
    </row>
    <row r="68" spans="1:18" s="1842" customFormat="1" ht="16" thickBot="1">
      <c r="A68" s="1166" t="s">
        <v>1028</v>
      </c>
      <c r="B68" s="1167" t="s">
        <v>1479</v>
      </c>
      <c r="C68" s="346">
        <f ca="1">ROUND(C67*(1-((1+F70)/(1+F68))^F69)/(F68-F70),0)</f>
        <v>-36977</v>
      </c>
      <c r="D68" s="1184" t="s">
        <v>1463</v>
      </c>
      <c r="E68" s="1169" t="s">
        <v>1464</v>
      </c>
      <c r="F68" s="357">
        <f ca="1">F40</f>
        <v>0.05</v>
      </c>
      <c r="O68" s="1894" t="s">
        <v>1039</v>
      </c>
      <c r="P68" s="1933" t="s">
        <v>1577</v>
      </c>
      <c r="Q68" s="1886">
        <f ca="1">ROUND(Q69-Q70*Q71,0)</f>
        <v>-827</v>
      </c>
      <c r="R68" s="1886" t="s">
        <v>1047</v>
      </c>
    </row>
    <row r="69" spans="1:18" s="1842" customFormat="1" ht="13.5" thickBot="1">
      <c r="A69" s="1170"/>
      <c r="B69" s="1171"/>
      <c r="C69" s="351"/>
      <c r="D69" s="1189" t="s">
        <v>1467</v>
      </c>
      <c r="E69" s="1169" t="s">
        <v>1468</v>
      </c>
      <c r="F69" s="379">
        <f ca="1">F41</f>
        <v>47.954999999999998</v>
      </c>
      <c r="O69" s="1894" t="s">
        <v>1044</v>
      </c>
      <c r="P69" s="1933" t="s">
        <v>1578</v>
      </c>
      <c r="Q69" s="1886">
        <f ca="1">C39</f>
        <v>882</v>
      </c>
      <c r="R69" s="1886" t="s">
        <v>1523</v>
      </c>
    </row>
    <row r="70" spans="1:18" s="1842" customFormat="1" ht="13.5" thickBot="1">
      <c r="A70" s="1173"/>
      <c r="B70" s="1174"/>
      <c r="C70" s="355"/>
      <c r="D70" s="1185"/>
      <c r="E70" s="1169" t="s">
        <v>1471</v>
      </c>
      <c r="F70" s="1275"/>
      <c r="O70" s="1894" t="s">
        <v>1045</v>
      </c>
      <c r="P70" s="1933" t="s">
        <v>1579</v>
      </c>
      <c r="Q70" s="1886">
        <f ca="1">C13</f>
        <v>20105</v>
      </c>
      <c r="R70" s="1886" t="s">
        <v>1523</v>
      </c>
    </row>
    <row r="71" spans="1:18" s="1842" customFormat="1" ht="13.5" thickBot="1">
      <c r="A71" s="1190" t="s">
        <v>1029</v>
      </c>
      <c r="B71" s="1191" t="s">
        <v>1481</v>
      </c>
      <c r="C71" s="382">
        <f ca="1">ROUND(C68*10000/F71,0)</f>
        <v>-5313</v>
      </c>
      <c r="D71" s="1192" t="s">
        <v>1482</v>
      </c>
      <c r="E71" s="1193" t="s">
        <v>1483</v>
      </c>
      <c r="F71" s="385">
        <f ca="1">F43</f>
        <v>69600</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续建工期及建筑物耐用年限下的土地年期修正系数Kn</v>
      </c>
      <c r="Q74" s="1886" t="e">
        <f ca="1">L59</f>
        <v>#DIV/0!</v>
      </c>
      <c r="R74" s="1886" t="s">
        <v>1563</v>
      </c>
    </row>
    <row r="75" spans="1:18" ht="13.5" thickBot="1">
      <c r="A75" s="1842"/>
      <c r="B75" s="386" t="s">
        <v>1500</v>
      </c>
      <c r="C75" s="387">
        <f ca="1">ROUND(C13*C76,0)</f>
        <v>1709</v>
      </c>
      <c r="D75" s="1842"/>
      <c r="E75" s="1842"/>
      <c r="F75" s="1842"/>
      <c r="K75" s="1868"/>
      <c r="L75" s="1842"/>
      <c r="O75" s="1884" t="s">
        <v>1042</v>
      </c>
      <c r="P75" s="1885" t="s">
        <v>1543</v>
      </c>
      <c r="Q75" s="1886">
        <f ca="1">Q65+Q66</f>
        <v>24171</v>
      </c>
      <c r="R75" s="1886" t="s">
        <v>1043</v>
      </c>
    </row>
    <row r="76" spans="1:18" ht="13">
      <c r="B76" s="388" t="s">
        <v>1501</v>
      </c>
      <c r="C76" s="389">
        <f ca="1">INDIRECT("'数据-取费表'!j"&amp;$G$1)</f>
        <v>8.5000000000000006E-2</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f ca="1">1-C80</f>
        <v>-0.93799999999999994</v>
      </c>
    </row>
    <row r="80" spans="1:18" ht="13">
      <c r="B80" s="386" t="s">
        <v>1505</v>
      </c>
      <c r="C80" s="318">
        <f ca="1">ROUND(C75/C39,3)</f>
        <v>1.9379999999999999</v>
      </c>
    </row>
    <row r="81" spans="2:3" ht="13.5">
      <c r="B81" s="314" t="s">
        <v>1506</v>
      </c>
      <c r="C81" s="282"/>
    </row>
    <row r="82" spans="2:3" ht="13">
      <c r="B82" s="317" t="s">
        <v>1507</v>
      </c>
      <c r="C82" s="319">
        <f ca="1">1-C83</f>
        <v>0.16800000000000004</v>
      </c>
    </row>
    <row r="83" spans="2:3" ht="13">
      <c r="B83" s="317" t="s">
        <v>1508</v>
      </c>
      <c r="C83" s="318">
        <f ca="1">ROUND(C13/C40,3)</f>
        <v>0.83199999999999996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0.08984375" style="1934" customWidth="1"/>
    <col min="12" max="12" width="16.36328125" style="302" customWidth="1"/>
    <col min="13" max="13" width="13" style="302" customWidth="1"/>
    <col min="14" max="14" width="13.81640625" style="1842" customWidth="1"/>
    <col min="15" max="15" width="5.08984375" style="1842" customWidth="1"/>
    <col min="16" max="16" width="25.81640625" style="1842" customWidth="1"/>
    <col min="17" max="17" width="13.81640625" style="1842" customWidth="1"/>
    <col min="18" max="18" width="20.453125" style="1842" customWidth="1"/>
    <col min="19" max="19" width="13.1796875" style="1842" customWidth="1"/>
    <col min="20" max="37" width="9" style="1842"/>
    <col min="38" max="16384" width="9" style="302"/>
  </cols>
  <sheetData>
    <row r="1" spans="1:37" s="337" customFormat="1" ht="21">
      <c r="A1" s="1833" t="s">
        <v>1583</v>
      </c>
      <c r="B1" s="782"/>
      <c r="C1" s="1837"/>
      <c r="D1" s="1820"/>
      <c r="E1" s="1821" t="s">
        <v>1381</v>
      </c>
      <c r="F1" s="1283">
        <f ca="1">J53</f>
        <v>-1.5000000000000124E-2</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56" t="s">
        <v>1397</v>
      </c>
      <c r="C6" s="1296">
        <f ca="1">ROUND(F6*F8*F7*(1-F9),0)</f>
        <v>0</v>
      </c>
      <c r="D6" s="164" t="s">
        <v>3025</v>
      </c>
      <c r="E6" s="347" t="s">
        <v>1399</v>
      </c>
      <c r="F6" s="348">
        <f ca="1">INDIRECT("'数据-取费表'!u"&amp;$G$1)</f>
        <v>0</v>
      </c>
      <c r="G6" s="1851"/>
      <c r="H6" s="1291" t="s">
        <v>1031</v>
      </c>
      <c r="I6" s="3156" t="s">
        <v>1397</v>
      </c>
      <c r="J6" s="346">
        <f ca="1">ROUND(M6*M8*M7*(1-M9),0)</f>
        <v>0</v>
      </c>
      <c r="K6" s="1834" t="s">
        <v>3026</v>
      </c>
      <c r="L6" s="347" t="s">
        <v>1399</v>
      </c>
      <c r="M6" s="348">
        <f ca="1">INDIRECT("'数据-取费表'!z"&amp;$G$1)</f>
        <v>0</v>
      </c>
    </row>
    <row r="7" spans="1:37" ht="18" customHeight="1">
      <c r="A7" s="1295"/>
      <c r="B7" s="3157"/>
      <c r="C7" s="1297"/>
      <c r="D7" s="352"/>
      <c r="E7" s="1298" t="s">
        <v>1400</v>
      </c>
      <c r="F7" s="348">
        <f ca="1">IF(INDIRECT("'数据-取费表'!ah"&amp;$G$1)="",INDIRECT("'数据-取费表'!k"&amp;$G$1),INDIRECT("'数据-取费表'!ah"&amp;$G$1))</f>
        <v>0</v>
      </c>
      <c r="G7" s="1851"/>
      <c r="H7" s="349"/>
      <c r="I7" s="3157"/>
      <c r="J7" s="351"/>
      <c r="K7" s="352"/>
      <c r="L7" s="347" t="s">
        <v>1400</v>
      </c>
      <c r="M7" s="348">
        <f ca="1">F7</f>
        <v>0</v>
      </c>
    </row>
    <row r="8" spans="1:37" ht="18" customHeight="1">
      <c r="A8" s="349"/>
      <c r="B8" s="3157"/>
      <c r="C8" s="351"/>
      <c r="D8" s="352"/>
      <c r="E8" s="347" t="s">
        <v>1401</v>
      </c>
      <c r="F8" s="348">
        <f ca="1">INDIRECT("'数据-取费表'!ai"&amp;$G$1)</f>
        <v>0</v>
      </c>
      <c r="G8" s="1851"/>
      <c r="H8" s="349"/>
      <c r="I8" s="3157"/>
      <c r="J8" s="351"/>
      <c r="K8" s="352"/>
      <c r="L8" s="347" t="s">
        <v>1401</v>
      </c>
      <c r="M8" s="348">
        <f ca="1">INDIRECT("'数据-取费表'!ai"&amp;$G$1)</f>
        <v>0</v>
      </c>
    </row>
    <row r="9" spans="1:37" ht="18" customHeight="1">
      <c r="A9" s="349"/>
      <c r="B9" s="3158"/>
      <c r="C9" s="351"/>
      <c r="D9" s="352"/>
      <c r="E9" s="347" t="s">
        <v>1402</v>
      </c>
      <c r="F9" s="357">
        <f ca="1">INDIRECT("'数据-取费表'!w"&amp;$G$1)</f>
        <v>0</v>
      </c>
      <c r="G9" s="1851"/>
      <c r="H9" s="349"/>
      <c r="I9" s="3158"/>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4</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5"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4"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3.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-1.5000000000000124E-2</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52">
        <f ca="1">IF(M47="住宅",IF(D1="——",MAX(J51,L48),MAX(J51,L48-'数据-取费表'!B24)),IF(D1="——",MIN(J51,L48),MIN(J51,L48-'数据-取费表'!B24)))</f>
        <v>-1.5000000000000124E-2</v>
      </c>
      <c r="K53" s="3154" t="s">
        <v>1542</v>
      </c>
      <c r="L53" s="3155"/>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6.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6.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4</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ht="13">
      <c r="B76" s="388" t="s">
        <v>1501</v>
      </c>
      <c r="C76" s="389">
        <f ca="1">INDIRECT("'数据-取费表'!j"&amp;$G$1)</f>
        <v>0</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t="e">
        <f ca="1">1-C80</f>
        <v>#DIV/0!</v>
      </c>
    </row>
    <row r="80" spans="1:18" ht="13">
      <c r="B80" s="386" t="s">
        <v>1505</v>
      </c>
      <c r="C80" s="318" t="e">
        <f ca="1">ROUND(C75/C39,3)</f>
        <v>#DIV/0!</v>
      </c>
    </row>
    <row r="81" spans="2:3" ht="13.5">
      <c r="B81" s="314" t="s">
        <v>1506</v>
      </c>
      <c r="C81" s="282"/>
    </row>
    <row r="82" spans="2:3" ht="13">
      <c r="B82" s="317" t="s">
        <v>1507</v>
      </c>
      <c r="C82" s="319" t="e">
        <f ca="1">1-C83</f>
        <v>#DIV/0!</v>
      </c>
    </row>
    <row r="83" spans="2:3" ht="1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F19" sqref="F19"/>
    </sheetView>
  </sheetViews>
  <sheetFormatPr defaultColWidth="9" defaultRowHeight="14"/>
  <cols>
    <col min="1" max="1" width="23.6328125" style="1944" customWidth="1"/>
    <col min="2" max="2" width="12" style="1944" customWidth="1"/>
    <col min="3" max="3" width="9" style="1944"/>
    <col min="4" max="4" width="14.08984375" style="1944" customWidth="1"/>
    <col min="5" max="5" width="9" style="1944"/>
    <col min="6" max="6" width="12.90625" style="1944" customWidth="1"/>
    <col min="7" max="16384" width="9" style="1944"/>
  </cols>
  <sheetData>
    <row r="1" spans="1:6" ht="21">
      <c r="A1" s="2563" t="s">
        <v>2523</v>
      </c>
      <c r="B1" s="2564"/>
      <c r="C1" s="2564"/>
      <c r="D1" s="2564"/>
      <c r="E1" s="2565"/>
    </row>
    <row r="2" spans="1:6" ht="15.5">
      <c r="A2" s="2566" t="s">
        <v>2327</v>
      </c>
      <c r="B2" s="2567">
        <f ca="1">SUMIF(B6:B13,"&lt;&gt;#ref!",B6:B13)</f>
        <v>24171</v>
      </c>
      <c r="C2" s="2568" t="s">
        <v>2516</v>
      </c>
      <c r="D2" s="2569" t="s">
        <v>2517</v>
      </c>
      <c r="E2" s="2570">
        <f>SUM(E6:E13)</f>
        <v>70116</v>
      </c>
    </row>
    <row r="3" spans="1:6" ht="15.5">
      <c r="A3" s="2566" t="s">
        <v>1389</v>
      </c>
      <c r="B3" s="2567">
        <f ca="1">ROUND(B2*10000/E2,0)</f>
        <v>3447</v>
      </c>
      <c r="C3" s="2568" t="s">
        <v>2524</v>
      </c>
      <c r="D3" s="2571"/>
      <c r="E3" s="2572"/>
    </row>
    <row r="4" spans="1:6" ht="15.5">
      <c r="A4" s="2573"/>
      <c r="B4" s="2571"/>
      <c r="C4" s="2571"/>
      <c r="D4" s="2571"/>
      <c r="E4" s="2572"/>
    </row>
    <row r="5" spans="1:6">
      <c r="A5" s="2574" t="s">
        <v>2518</v>
      </c>
      <c r="B5" s="3159" t="s">
        <v>2519</v>
      </c>
      <c r="C5" s="3159"/>
      <c r="D5" s="2575"/>
      <c r="E5" s="2576" t="s">
        <v>2520</v>
      </c>
      <c r="F5" s="2577" t="s">
        <v>2521</v>
      </c>
    </row>
    <row r="6" spans="1:6">
      <c r="A6" s="2578" t="str">
        <f>'数据-取费表'!AN6</f>
        <v>收益法</v>
      </c>
      <c r="B6" s="2577">
        <f ca="1">IF(F6="是",'数据-取费表'!AO6,0)</f>
        <v>24171</v>
      </c>
      <c r="C6" s="2568" t="s">
        <v>2516</v>
      </c>
      <c r="D6" s="2571"/>
      <c r="E6" s="2579">
        <f>IF(OR(A6=0,F6="否"),0,'数据-取费表'!K6+'数据-取费表'!S6)</f>
        <v>70116</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4.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defaultRowHeight="14"/>
  <cols>
    <col min="1" max="1" width="10.453125" customWidth="1"/>
    <col min="2" max="2" width="12.90625" customWidth="1"/>
    <col min="3" max="3" width="8.81640625" customWidth="1"/>
  </cols>
  <sheetData>
    <row r="1" spans="1:9" ht="15">
      <c r="A1" s="3160" t="s">
        <v>1072</v>
      </c>
      <c r="B1" s="3161"/>
      <c r="C1" s="3162"/>
      <c r="D1" s="3163">
        <f>SUM(I10,I15,I20,I21,I23)</f>
        <v>0</v>
      </c>
      <c r="E1" s="3163"/>
      <c r="F1" s="3163"/>
      <c r="G1" s="3163"/>
      <c r="H1" s="3163"/>
      <c r="I1" s="3164"/>
    </row>
    <row r="2" spans="1:9">
      <c r="A2" s="3165" t="s">
        <v>1073</v>
      </c>
      <c r="B2" s="3166" t="s">
        <v>1074</v>
      </c>
      <c r="C2" s="3166"/>
      <c r="D2" s="1301" t="s">
        <v>1075</v>
      </c>
      <c r="E2" s="1301" t="s">
        <v>1076</v>
      </c>
      <c r="F2" s="1301" t="s">
        <v>1077</v>
      </c>
      <c r="G2" s="1301" t="s">
        <v>1078</v>
      </c>
      <c r="H2" s="1301" t="s">
        <v>1079</v>
      </c>
      <c r="I2" s="1302" t="s">
        <v>1080</v>
      </c>
    </row>
    <row r="3" spans="1:9">
      <c r="A3" s="3165"/>
      <c r="B3" s="3166" t="s">
        <v>1081</v>
      </c>
      <c r="C3" s="3166"/>
      <c r="D3" s="1303"/>
      <c r="E3" s="1301"/>
      <c r="F3" s="1304"/>
      <c r="G3" s="1304"/>
      <c r="H3" s="1305"/>
      <c r="I3" s="1306">
        <f>ROUND(D3*E3*F3*G3*H3/10000,0)</f>
        <v>0</v>
      </c>
    </row>
    <row r="4" spans="1:9">
      <c r="A4" s="3165"/>
      <c r="B4" s="3166" t="s">
        <v>1082</v>
      </c>
      <c r="C4" s="3166"/>
      <c r="D4" s="1303"/>
      <c r="E4" s="1301"/>
      <c r="F4" s="1304"/>
      <c r="G4" s="1304"/>
      <c r="H4" s="1305"/>
      <c r="I4" s="1306">
        <f t="shared" ref="I4:I9" si="0">ROUND(D4*E4*F4*G4*H4/10000,0)</f>
        <v>0</v>
      </c>
    </row>
    <row r="5" spans="1:9">
      <c r="A5" s="3165"/>
      <c r="B5" s="3166" t="s">
        <v>1083</v>
      </c>
      <c r="C5" s="3166"/>
      <c r="D5" s="1303"/>
      <c r="E5" s="1301"/>
      <c r="F5" s="1304"/>
      <c r="G5" s="1304"/>
      <c r="H5" s="1305"/>
      <c r="I5" s="1306">
        <f t="shared" si="0"/>
        <v>0</v>
      </c>
    </row>
    <row r="6" spans="1:9">
      <c r="A6" s="3165"/>
      <c r="B6" s="3166" t="s">
        <v>1084</v>
      </c>
      <c r="C6" s="3166"/>
      <c r="D6" s="1303"/>
      <c r="E6" s="1301"/>
      <c r="F6" s="1304"/>
      <c r="G6" s="1304"/>
      <c r="H6" s="1305"/>
      <c r="I6" s="1306">
        <f t="shared" si="0"/>
        <v>0</v>
      </c>
    </row>
    <row r="7" spans="1:9">
      <c r="A7" s="3165"/>
      <c r="B7" s="3166" t="s">
        <v>1085</v>
      </c>
      <c r="C7" s="3166"/>
      <c r="D7" s="1303"/>
      <c r="E7" s="1301"/>
      <c r="F7" s="1304"/>
      <c r="G7" s="1304"/>
      <c r="H7" s="1305"/>
      <c r="I7" s="1306">
        <f t="shared" si="0"/>
        <v>0</v>
      </c>
    </row>
    <row r="8" spans="1:9">
      <c r="A8" s="3165"/>
      <c r="B8" s="3166" t="s">
        <v>1086</v>
      </c>
      <c r="C8" s="3166"/>
      <c r="D8" s="1303"/>
      <c r="E8" s="1301"/>
      <c r="F8" s="1304"/>
      <c r="G8" s="1304"/>
      <c r="H8" s="1305"/>
      <c r="I8" s="1306">
        <f t="shared" si="0"/>
        <v>0</v>
      </c>
    </row>
    <row r="9" spans="1:9">
      <c r="A9" s="3165"/>
      <c r="B9" s="3166" t="s">
        <v>1087</v>
      </c>
      <c r="C9" s="3166"/>
      <c r="D9" s="1303"/>
      <c r="E9" s="1301"/>
      <c r="F9" s="1304"/>
      <c r="G9" s="1304"/>
      <c r="H9" s="1305"/>
      <c r="I9" s="1306">
        <f t="shared" si="0"/>
        <v>0</v>
      </c>
    </row>
    <row r="10" spans="1:9">
      <c r="A10" s="3165"/>
      <c r="B10" s="3167" t="s">
        <v>1088</v>
      </c>
      <c r="C10" s="3167"/>
      <c r="D10" s="1307"/>
      <c r="E10" s="1307" t="e">
        <f>ROUND(D1*10000/D10/H9,0)</f>
        <v>#DIV/0!</v>
      </c>
      <c r="F10" s="1308"/>
      <c r="G10" s="1308"/>
      <c r="H10" s="1309"/>
      <c r="I10" s="1310">
        <f>SUM(I3:I9)</f>
        <v>0</v>
      </c>
    </row>
    <row r="11" spans="1:9" ht="15">
      <c r="A11" s="3165" t="s">
        <v>1089</v>
      </c>
      <c r="B11" s="3166" t="s">
        <v>1090</v>
      </c>
      <c r="C11" s="3166"/>
      <c r="D11" s="1303" t="s">
        <v>1091</v>
      </c>
      <c r="E11" s="1303" t="s">
        <v>1092</v>
      </c>
      <c r="F11" s="1304" t="s">
        <v>1093</v>
      </c>
      <c r="G11" s="1304" t="s">
        <v>1079</v>
      </c>
      <c r="H11" s="1311" t="s">
        <v>1094</v>
      </c>
      <c r="I11" s="1302" t="s">
        <v>1080</v>
      </c>
    </row>
    <row r="12" spans="1:9">
      <c r="A12" s="3165"/>
      <c r="B12" s="3166" t="s">
        <v>1095</v>
      </c>
      <c r="C12" s="3166"/>
      <c r="D12" s="1303"/>
      <c r="E12" s="1303"/>
      <c r="F12" s="1304"/>
      <c r="G12" s="1305"/>
      <c r="H12" s="1312"/>
      <c r="I12" s="1302">
        <f>ROUND(D12*E12*F12*G12/10000,0)</f>
        <v>0</v>
      </c>
    </row>
    <row r="13" spans="1:9">
      <c r="A13" s="3165"/>
      <c r="B13" s="3166" t="s">
        <v>1096</v>
      </c>
      <c r="C13" s="3166"/>
      <c r="D13" s="1303"/>
      <c r="E13" s="1303"/>
      <c r="F13" s="1304"/>
      <c r="G13" s="1305"/>
      <c r="H13" s="1312"/>
      <c r="I13" s="1302">
        <f>ROUND(D13*E13*F13*G13/10000,0)</f>
        <v>0</v>
      </c>
    </row>
    <row r="14" spans="1:9">
      <c r="A14" s="3165"/>
      <c r="B14" s="3166" t="s">
        <v>1097</v>
      </c>
      <c r="C14" s="3166"/>
      <c r="D14" s="1303"/>
      <c r="E14" s="1303"/>
      <c r="F14" s="1304"/>
      <c r="G14" s="1305"/>
      <c r="H14" s="1312"/>
      <c r="I14" s="1302">
        <f>ROUND(D14*E14*F14*G14/10000,0)</f>
        <v>0</v>
      </c>
    </row>
    <row r="15" spans="1:9">
      <c r="A15" s="3165"/>
      <c r="B15" s="3167" t="s">
        <v>1088</v>
      </c>
      <c r="C15" s="3167"/>
      <c r="D15" s="1307"/>
      <c r="E15" s="1307">
        <f>SUM(E12:E14)</f>
        <v>0</v>
      </c>
      <c r="F15" s="1308"/>
      <c r="G15" s="1305"/>
      <c r="H15" s="1312"/>
      <c r="I15" s="1313">
        <f>SUM(I12:I14)</f>
        <v>0</v>
      </c>
    </row>
    <row r="16" spans="1:9" ht="26">
      <c r="A16" s="3165" t="s">
        <v>1098</v>
      </c>
      <c r="B16" s="3166" t="s">
        <v>1099</v>
      </c>
      <c r="C16" s="3166"/>
      <c r="D16" s="1303" t="s">
        <v>1075</v>
      </c>
      <c r="E16" s="1314" t="s">
        <v>1100</v>
      </c>
      <c r="F16" s="1304" t="s">
        <v>1101</v>
      </c>
      <c r="G16" s="1305" t="s">
        <v>1079</v>
      </c>
      <c r="H16" s="1311" t="s">
        <v>1094</v>
      </c>
      <c r="I16" s="1302" t="s">
        <v>1080</v>
      </c>
    </row>
    <row r="17" spans="1:9" ht="15">
      <c r="A17" s="3165"/>
      <c r="B17" s="3166" t="s">
        <v>1102</v>
      </c>
      <c r="C17" s="3166"/>
      <c r="D17" s="1303"/>
      <c r="E17" s="1303"/>
      <c r="F17" s="1304"/>
      <c r="G17" s="1305"/>
      <c r="H17" s="1315"/>
      <c r="I17" s="1316">
        <f>ROUND(D17*E17*F17*G17/10000,0)</f>
        <v>0</v>
      </c>
    </row>
    <row r="18" spans="1:9" ht="15">
      <c r="A18" s="3165"/>
      <c r="B18" s="3166" t="s">
        <v>1103</v>
      </c>
      <c r="C18" s="3166"/>
      <c r="D18" s="1303"/>
      <c r="E18" s="1303"/>
      <c r="F18" s="1304"/>
      <c r="G18" s="1305"/>
      <c r="H18" s="1315"/>
      <c r="I18" s="1316">
        <f>ROUND(D18*E18*F18*G18/10000,0)</f>
        <v>0</v>
      </c>
    </row>
    <row r="19" spans="1:9" ht="15">
      <c r="A19" s="3165"/>
      <c r="B19" s="3166" t="s">
        <v>1104</v>
      </c>
      <c r="C19" s="3166"/>
      <c r="D19" s="1303"/>
      <c r="E19" s="1303"/>
      <c r="F19" s="1304"/>
      <c r="G19" s="1305"/>
      <c r="H19" s="1315"/>
      <c r="I19" s="1316">
        <f>ROUND(D19*E19*F19*G19/10000,0)</f>
        <v>0</v>
      </c>
    </row>
    <row r="20" spans="1:9">
      <c r="A20" s="3165"/>
      <c r="B20" s="3167" t="s">
        <v>1088</v>
      </c>
      <c r="C20" s="3167"/>
      <c r="D20" s="1307">
        <f>SUM(D17:D19)</f>
        <v>0</v>
      </c>
      <c r="E20" s="1307"/>
      <c r="F20" s="1308"/>
      <c r="G20" s="1305"/>
      <c r="H20" s="1312"/>
      <c r="I20" s="1313">
        <f>SUM(I17:I19)</f>
        <v>0</v>
      </c>
    </row>
    <row r="21" spans="1:9">
      <c r="A21" s="3165" t="s">
        <v>1105</v>
      </c>
      <c r="B21" s="3169"/>
      <c r="C21" s="3169"/>
      <c r="D21" s="3169"/>
      <c r="E21" s="3169"/>
      <c r="F21" s="3169"/>
      <c r="G21" s="3169"/>
      <c r="H21" s="1765">
        <v>0.1</v>
      </c>
      <c r="I21" s="1310">
        <f>ROUND(I10*H21,0)</f>
        <v>0</v>
      </c>
    </row>
    <row r="22" spans="1:9" ht="15">
      <c r="A22" s="3170" t="s">
        <v>1106</v>
      </c>
      <c r="B22" s="3171"/>
      <c r="C22" s="3172"/>
      <c r="D22" s="1317" t="s">
        <v>1107</v>
      </c>
      <c r="E22" s="1317" t="s">
        <v>1108</v>
      </c>
      <c r="F22" s="1318" t="s">
        <v>1109</v>
      </c>
      <c r="G22" s="1318" t="s">
        <v>1110</v>
      </c>
      <c r="H22" s="1311" t="s">
        <v>1111</v>
      </c>
      <c r="I22" s="1302" t="s">
        <v>1112</v>
      </c>
    </row>
    <row r="23" spans="1:9" ht="14.5" thickBot="1">
      <c r="A23" s="3173"/>
      <c r="B23" s="3174"/>
      <c r="C23" s="3175"/>
      <c r="D23" s="1319"/>
      <c r="E23" s="1319"/>
      <c r="F23" s="1319"/>
      <c r="G23" s="1320"/>
      <c r="H23" s="1321"/>
      <c r="I23" s="1322">
        <f>ROUND(E23*D23*F23*(1-G23)/10000,0)</f>
        <v>0</v>
      </c>
    </row>
    <row r="26" spans="1:9">
      <c r="A26" s="1323" t="s">
        <v>1113</v>
      </c>
      <c r="B26" s="1323"/>
      <c r="C26" s="1323"/>
      <c r="D26" s="1323"/>
      <c r="E26" s="3176">
        <f>C27-C30-C31-C32</f>
        <v>0</v>
      </c>
      <c r="F26" s="3176"/>
      <c r="G26" s="3176"/>
      <c r="H26" s="1737" t="s">
        <v>1335</v>
      </c>
    </row>
    <row r="27" spans="1:9">
      <c r="A27" s="1324">
        <v>1</v>
      </c>
      <c r="B27" s="1325" t="s">
        <v>1114</v>
      </c>
      <c r="C27" s="1325">
        <f>C28+C29</f>
        <v>0</v>
      </c>
      <c r="D27" s="1325"/>
      <c r="E27" s="3177"/>
      <c r="F27" s="3177"/>
      <c r="G27" s="3177"/>
    </row>
    <row r="28" spans="1:9">
      <c r="A28" s="1326" t="s">
        <v>1115</v>
      </c>
      <c r="B28" s="1325" t="s">
        <v>1116</v>
      </c>
      <c r="C28" s="1325"/>
      <c r="D28" s="1325"/>
      <c r="E28" s="3177"/>
      <c r="F28" s="3177"/>
      <c r="G28" s="3177"/>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8"/>
      <c r="F32" s="3168"/>
      <c r="G32" s="3168"/>
    </row>
    <row r="33" spans="1:7" hidden="1">
      <c r="A33" s="3178" t="s">
        <v>1125</v>
      </c>
      <c r="B33" s="3179"/>
      <c r="C33" s="3179"/>
      <c r="D33" s="3180"/>
      <c r="E33" s="3176"/>
      <c r="F33" s="3176"/>
      <c r="G33" s="3176"/>
    </row>
    <row r="34" spans="1:7" hidden="1">
      <c r="A34" s="1328">
        <v>1</v>
      </c>
      <c r="B34" s="1325" t="s">
        <v>1126</v>
      </c>
      <c r="C34" s="1325"/>
      <c r="D34" s="1325"/>
      <c r="E34" s="3177"/>
      <c r="F34" s="3177"/>
      <c r="G34" s="3177"/>
    </row>
    <row r="35" spans="1:7" hidden="1">
      <c r="A35" s="1328">
        <v>2</v>
      </c>
      <c r="B35" s="1325" t="s">
        <v>1127</v>
      </c>
      <c r="C35" s="1325"/>
      <c r="D35" s="1325"/>
      <c r="E35" s="3177"/>
      <c r="F35" s="3177"/>
      <c r="G35" s="3177"/>
    </row>
    <row r="36" spans="1:7" hidden="1">
      <c r="A36" s="1328">
        <v>3</v>
      </c>
      <c r="B36" s="1325" t="s">
        <v>1128</v>
      </c>
      <c r="C36" s="1325"/>
      <c r="D36" s="1325"/>
      <c r="E36" s="3177"/>
      <c r="F36" s="3177"/>
      <c r="G36" s="3177"/>
    </row>
    <row r="37" spans="1:7" hidden="1">
      <c r="A37" s="1328">
        <v>4</v>
      </c>
      <c r="B37" s="1325" t="s">
        <v>1129</v>
      </c>
      <c r="C37" s="1325"/>
      <c r="D37" s="1325"/>
      <c r="E37" s="3177"/>
      <c r="F37" s="3177"/>
      <c r="G37" s="3177"/>
    </row>
    <row r="38" spans="1:7" hidden="1">
      <c r="A38" s="3178" t="s">
        <v>1130</v>
      </c>
      <c r="B38" s="3179"/>
      <c r="C38" s="3179"/>
      <c r="D38" s="3180"/>
      <c r="E38" s="3176"/>
      <c r="F38" s="3176"/>
      <c r="G38" s="31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3" customWidth="1"/>
    <col min="2" max="2" width="15.81640625" style="403" customWidth="1"/>
    <col min="3" max="3" width="15.0898437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2626"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2525</v>
      </c>
      <c r="B1" s="2584" t="s">
        <v>2526</v>
      </c>
      <c r="C1" s="1634" t="s">
        <v>2527</v>
      </c>
      <c r="D1" s="1621"/>
      <c r="E1" s="2585"/>
      <c r="F1" s="2586" t="s">
        <v>2528</v>
      </c>
      <c r="G1" s="1631" t="s">
        <v>2529</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2530</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2531</v>
      </c>
      <c r="D3" s="399">
        <f>IF(D1="",'数据-汇总表'!E3,SUMIF('数据-汇总表'!$C19:$C33,D1,'数据-汇总表'!$E19:$E33))</f>
        <v>70116</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c r="A4" s="401" t="s">
        <v>2532</v>
      </c>
      <c r="B4" s="402"/>
      <c r="C4" s="3199" t="s">
        <v>2533</v>
      </c>
      <c r="D4" s="3200"/>
      <c r="E4" s="3201" t="s">
        <v>2534</v>
      </c>
      <c r="F4" s="3202"/>
      <c r="G4" s="3199" t="s">
        <v>2535</v>
      </c>
      <c r="H4" s="3200"/>
      <c r="I4" s="3199" t="s">
        <v>2536</v>
      </c>
      <c r="J4" s="3200"/>
      <c r="K4" s="2598" t="s">
        <v>2537</v>
      </c>
      <c r="L4" s="1130"/>
      <c r="M4" s="1131"/>
      <c r="N4" s="1131"/>
      <c r="O4" s="1131"/>
      <c r="P4" s="3203" t="s">
        <v>2538</v>
      </c>
      <c r="Q4" s="3204"/>
      <c r="R4" s="3186" t="s">
        <v>2534</v>
      </c>
      <c r="S4" s="3187"/>
      <c r="T4" s="3186" t="s">
        <v>2535</v>
      </c>
      <c r="U4" s="3187"/>
      <c r="V4" s="3211" t="s">
        <v>2536</v>
      </c>
      <c r="W4" s="3211"/>
      <c r="X4" s="1813"/>
      <c r="Y4" s="3186" t="s">
        <v>2538</v>
      </c>
      <c r="Z4" s="3187"/>
      <c r="AA4" s="3181" t="s">
        <v>2534</v>
      </c>
      <c r="AB4" s="3181" t="s">
        <v>2535</v>
      </c>
      <c r="AC4" s="3181" t="s">
        <v>2536</v>
      </c>
    </row>
    <row r="5" spans="1:29">
      <c r="A5" s="404"/>
      <c r="B5" s="405"/>
      <c r="C5" s="3192" t="s">
        <v>2539</v>
      </c>
      <c r="D5" s="3193"/>
      <c r="E5" s="3190" t="s">
        <v>2540</v>
      </c>
      <c r="F5" s="3191"/>
      <c r="G5" s="3192" t="s">
        <v>2541</v>
      </c>
      <c r="H5" s="3193"/>
      <c r="I5" s="3192" t="s">
        <v>2542</v>
      </c>
      <c r="J5" s="3193"/>
      <c r="K5" s="2599"/>
      <c r="L5" s="1130"/>
      <c r="M5" s="1131"/>
      <c r="N5" s="1131"/>
      <c r="O5" s="1131"/>
      <c r="P5" s="3205"/>
      <c r="Q5" s="3206"/>
      <c r="R5" s="3188"/>
      <c r="S5" s="3189"/>
      <c r="T5" s="3188"/>
      <c r="U5" s="3189"/>
      <c r="V5" s="3211"/>
      <c r="W5" s="3211"/>
      <c r="X5" s="1813"/>
      <c r="Y5" s="3188"/>
      <c r="Z5" s="3189"/>
      <c r="AA5" s="3182"/>
      <c r="AB5" s="3182"/>
      <c r="AC5" s="3182"/>
    </row>
    <row r="6" spans="1:29" ht="15" thickBot="1">
      <c r="A6" s="406"/>
      <c r="B6" s="407"/>
      <c r="C6" s="3194" t="s">
        <v>2543</v>
      </c>
      <c r="D6" s="3195"/>
      <c r="E6" s="3196" t="s">
        <v>2543</v>
      </c>
      <c r="F6" s="3197"/>
      <c r="G6" s="3194" t="s">
        <v>2543</v>
      </c>
      <c r="H6" s="3195"/>
      <c r="I6" s="3194" t="s">
        <v>2543</v>
      </c>
      <c r="J6" s="3195"/>
      <c r="K6" s="2599" t="s">
        <v>2544</v>
      </c>
      <c r="L6" s="1130"/>
      <c r="M6" s="1131"/>
      <c r="N6" s="1131"/>
      <c r="O6" s="1131"/>
      <c r="P6" s="3207"/>
      <c r="Q6" s="3208"/>
      <c r="R6" s="3188"/>
      <c r="S6" s="3189"/>
      <c r="T6" s="3209"/>
      <c r="U6" s="3210"/>
      <c r="V6" s="3211"/>
      <c r="W6" s="3211"/>
      <c r="X6" s="1813"/>
      <c r="Y6" s="3209"/>
      <c r="Z6" s="3210"/>
      <c r="AA6" s="3183"/>
      <c r="AB6" s="3183"/>
      <c r="AC6" s="3183"/>
    </row>
    <row r="7" spans="1:29" s="117" customFormat="1" ht="14.5" thickBot="1">
      <c r="A7" s="408" t="s">
        <v>2545</v>
      </c>
      <c r="B7" s="409"/>
      <c r="C7" s="410">
        <f>'数据-取费表'!B2</f>
        <v>43868</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84" t="s">
        <v>2546</v>
      </c>
      <c r="Q7" s="3212"/>
      <c r="R7" s="770" t="s">
        <v>23</v>
      </c>
      <c r="S7" s="771">
        <f t="shared" ref="S7:S15" si="0">F7</f>
        <v>0</v>
      </c>
      <c r="T7" s="770" t="s">
        <v>23</v>
      </c>
      <c r="U7" s="771">
        <f t="shared" ref="U7:U15" si="1">H7</f>
        <v>0</v>
      </c>
      <c r="V7" s="770" t="s">
        <v>23</v>
      </c>
      <c r="W7" s="771">
        <f t="shared" ref="W7:W15" si="2">J7</f>
        <v>0</v>
      </c>
      <c r="X7" s="772"/>
      <c r="Y7" s="3184" t="s">
        <v>2546</v>
      </c>
      <c r="Z7" s="3185"/>
      <c r="AA7" s="773" t="e">
        <f>D7/F7</f>
        <v>#DIV/0!</v>
      </c>
      <c r="AB7" s="773" t="e">
        <f>D7/H7</f>
        <v>#DIV/0!</v>
      </c>
      <c r="AC7" s="773" t="e">
        <f>D7/J7</f>
        <v>#DIV/0!</v>
      </c>
    </row>
    <row r="8" spans="1:29" s="117" customFormat="1" ht="14.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84" t="s">
        <v>2549</v>
      </c>
      <c r="Q8" s="3185"/>
      <c r="R8" s="770" t="s">
        <v>23</v>
      </c>
      <c r="S8" s="771">
        <f t="shared" si="0"/>
        <v>0</v>
      </c>
      <c r="T8" s="770" t="s">
        <v>23</v>
      </c>
      <c r="U8" s="771">
        <f t="shared" si="1"/>
        <v>0</v>
      </c>
      <c r="V8" s="770" t="s">
        <v>23</v>
      </c>
      <c r="W8" s="771">
        <f t="shared" si="2"/>
        <v>0</v>
      </c>
      <c r="X8" s="772"/>
      <c r="Y8" s="3184" t="s">
        <v>2549</v>
      </c>
      <c r="Z8" s="3185"/>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98" t="s">
        <v>2552</v>
      </c>
      <c r="Q9" s="1795" t="str">
        <f t="shared" ref="Q9:Q15" si="6">B9</f>
        <v>用途</v>
      </c>
      <c r="R9" s="770" t="s">
        <v>17</v>
      </c>
      <c r="S9" s="771">
        <f t="shared" si="0"/>
        <v>100</v>
      </c>
      <c r="T9" s="770" t="s">
        <v>17</v>
      </c>
      <c r="U9" s="771">
        <f t="shared" si="1"/>
        <v>100</v>
      </c>
      <c r="V9" s="770" t="s">
        <v>17</v>
      </c>
      <c r="W9" s="771">
        <f t="shared" si="2"/>
        <v>100</v>
      </c>
      <c r="X9" s="772"/>
      <c r="Y9" s="3031" t="s">
        <v>2553</v>
      </c>
      <c r="Z9" s="55" t="str">
        <f t="shared" ref="Z9:Z15" si="7">Q9</f>
        <v>用途</v>
      </c>
      <c r="AA9" s="773">
        <f t="shared" si="3"/>
        <v>1</v>
      </c>
      <c r="AB9" s="773">
        <f t="shared" si="4"/>
        <v>1</v>
      </c>
      <c r="AC9" s="773">
        <f t="shared" si="5"/>
        <v>1</v>
      </c>
    </row>
    <row r="10" spans="1:29" s="427" customFormat="1" ht="2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8"/>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8"/>
      <c r="Q11" s="1795"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98"/>
      <c r="Q12" s="1795">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98"/>
      <c r="Q13" s="1795">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98"/>
      <c r="Q14" s="1795">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8">
      <c r="A15" s="440" t="s">
        <v>2556</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5" t="s">
        <v>2557</v>
      </c>
      <c r="Q15" s="1810" t="str">
        <f t="shared" si="6"/>
        <v>居住社区成熟度</v>
      </c>
      <c r="R15" s="774" t="s">
        <v>21</v>
      </c>
      <c r="S15" s="775">
        <f t="shared" si="0"/>
        <v>100</v>
      </c>
      <c r="T15" s="774" t="s">
        <v>21</v>
      </c>
      <c r="U15" s="775">
        <f t="shared" si="1"/>
        <v>100</v>
      </c>
      <c r="V15" s="774" t="s">
        <v>21</v>
      </c>
      <c r="W15" s="775">
        <f t="shared" si="2"/>
        <v>100</v>
      </c>
      <c r="X15" s="1813"/>
      <c r="Y15" s="3218" t="s">
        <v>2557</v>
      </c>
      <c r="Z15" s="1814" t="str">
        <f t="shared" si="7"/>
        <v>居住社区成熟度</v>
      </c>
      <c r="AA15" s="1811">
        <f t="shared" si="3"/>
        <v>1</v>
      </c>
      <c r="AB15" s="1811">
        <f t="shared" si="4"/>
        <v>1</v>
      </c>
      <c r="AC15" s="1811">
        <f t="shared" si="5"/>
        <v>1</v>
      </c>
    </row>
    <row r="16" spans="1:29" ht="15.5">
      <c r="A16" s="428"/>
      <c r="B16" s="446"/>
      <c r="C16" s="447"/>
      <c r="D16" s="448"/>
      <c r="E16" s="2606"/>
      <c r="F16" s="448"/>
      <c r="G16" s="2607"/>
      <c r="H16" s="450"/>
      <c r="I16" s="2607"/>
      <c r="J16" s="448"/>
      <c r="K16" s="2608"/>
      <c r="L16" s="1140"/>
      <c r="M16" s="1131"/>
      <c r="N16" s="1131"/>
      <c r="O16" s="1131"/>
      <c r="P16" s="3226"/>
      <c r="Q16" s="1810"/>
      <c r="R16" s="774"/>
      <c r="S16" s="775"/>
      <c r="T16" s="774"/>
      <c r="U16" s="775"/>
      <c r="V16" s="774"/>
      <c r="W16" s="775"/>
      <c r="X16" s="1813"/>
      <c r="Y16" s="3219"/>
      <c r="Z16" s="1814"/>
      <c r="AA16" s="1811">
        <v>1</v>
      </c>
      <c r="AB16" s="1811">
        <v>1</v>
      </c>
      <c r="AC16" s="1811">
        <v>1</v>
      </c>
    </row>
    <row r="17" spans="1:29" ht="84">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6"/>
      <c r="Q17" s="1810" t="str">
        <f>B17</f>
        <v>交通便捷度</v>
      </c>
      <c r="R17" s="774" t="s">
        <v>21</v>
      </c>
      <c r="S17" s="775">
        <f>F17</f>
        <v>100</v>
      </c>
      <c r="T17" s="774" t="s">
        <v>21</v>
      </c>
      <c r="U17" s="775">
        <f>H17</f>
        <v>100</v>
      </c>
      <c r="V17" s="774" t="s">
        <v>21</v>
      </c>
      <c r="W17" s="775">
        <f>J17</f>
        <v>100</v>
      </c>
      <c r="X17" s="1813"/>
      <c r="Y17" s="3219"/>
      <c r="Z17" s="1814" t="str">
        <f>Q17</f>
        <v>交通便捷度</v>
      </c>
      <c r="AA17" s="1811">
        <f t="shared" si="3"/>
        <v>1</v>
      </c>
      <c r="AB17" s="1811">
        <f t="shared" si="4"/>
        <v>1</v>
      </c>
      <c r="AC17" s="1811">
        <f t="shared" si="5"/>
        <v>1</v>
      </c>
    </row>
    <row r="18" spans="1:29" ht="15.5">
      <c r="A18" s="428"/>
      <c r="B18" s="456"/>
      <c r="C18" s="2610"/>
      <c r="D18" s="450"/>
      <c r="E18" s="2611"/>
      <c r="F18" s="450"/>
      <c r="G18" s="2612"/>
      <c r="H18" s="448"/>
      <c r="I18" s="2612"/>
      <c r="J18" s="448"/>
      <c r="K18" s="2608"/>
      <c r="L18" s="1140"/>
      <c r="M18" s="1131"/>
      <c r="N18" s="1131"/>
      <c r="O18" s="1131"/>
      <c r="P18" s="3226"/>
      <c r="Q18" s="1810"/>
      <c r="R18" s="774"/>
      <c r="S18" s="775"/>
      <c r="T18" s="774"/>
      <c r="U18" s="775"/>
      <c r="V18" s="774"/>
      <c r="W18" s="775"/>
      <c r="X18" s="1813"/>
      <c r="Y18" s="3219"/>
      <c r="Z18" s="1814"/>
      <c r="AA18" s="1811">
        <v>1</v>
      </c>
      <c r="AB18" s="1811">
        <v>1</v>
      </c>
      <c r="AC18" s="1811">
        <v>1</v>
      </c>
    </row>
    <row r="19" spans="1:29" ht="42">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6"/>
      <c r="Q19" s="1810" t="str">
        <f>B19</f>
        <v>公共配套设施</v>
      </c>
      <c r="R19" s="774" t="s">
        <v>21</v>
      </c>
      <c r="S19" s="775">
        <f>F19</f>
        <v>100</v>
      </c>
      <c r="T19" s="774" t="s">
        <v>21</v>
      </c>
      <c r="U19" s="775">
        <f>H19</f>
        <v>100</v>
      </c>
      <c r="V19" s="774" t="s">
        <v>21</v>
      </c>
      <c r="W19" s="775">
        <f>J19</f>
        <v>100</v>
      </c>
      <c r="X19" s="1813"/>
      <c r="Y19" s="3219"/>
      <c r="Z19" s="1814" t="str">
        <f>Q19</f>
        <v>公共配套设施</v>
      </c>
      <c r="AA19" s="1811">
        <f t="shared" si="3"/>
        <v>1</v>
      </c>
      <c r="AB19" s="1811">
        <f t="shared" si="4"/>
        <v>1</v>
      </c>
      <c r="AC19" s="1811">
        <f t="shared" si="5"/>
        <v>1</v>
      </c>
    </row>
    <row r="20" spans="1:29" ht="15.5">
      <c r="A20" s="428"/>
      <c r="B20" s="456"/>
      <c r="C20" s="447"/>
      <c r="D20" s="448"/>
      <c r="E20" s="2606"/>
      <c r="F20" s="448"/>
      <c r="G20" s="2607"/>
      <c r="H20" s="448"/>
      <c r="I20" s="2607"/>
      <c r="J20" s="448"/>
      <c r="K20" s="2608"/>
      <c r="L20" s="1140"/>
      <c r="M20" s="1131"/>
      <c r="N20" s="1131"/>
      <c r="O20" s="1131"/>
      <c r="P20" s="3226"/>
      <c r="Q20" s="1810"/>
      <c r="R20" s="774"/>
      <c r="S20" s="775"/>
      <c r="T20" s="774"/>
      <c r="U20" s="775"/>
      <c r="V20" s="774"/>
      <c r="W20" s="775"/>
      <c r="X20" s="1813"/>
      <c r="Y20" s="3219"/>
      <c r="Z20" s="1814"/>
      <c r="AA20" s="1811">
        <v>1</v>
      </c>
      <c r="AB20" s="1811">
        <v>1</v>
      </c>
      <c r="AC20" s="1811">
        <v>1</v>
      </c>
    </row>
    <row r="21" spans="1:29" ht="28">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6"/>
      <c r="Q21" s="1810" t="str">
        <f>B21</f>
        <v>基础设施水平</v>
      </c>
      <c r="R21" s="774" t="s">
        <v>17</v>
      </c>
      <c r="S21" s="775">
        <f>F21</f>
        <v>100</v>
      </c>
      <c r="T21" s="774" t="s">
        <v>17</v>
      </c>
      <c r="U21" s="775">
        <f>H21</f>
        <v>100</v>
      </c>
      <c r="V21" s="774" t="s">
        <v>17</v>
      </c>
      <c r="W21" s="775">
        <f>J21</f>
        <v>100</v>
      </c>
      <c r="X21" s="1813"/>
      <c r="Y21" s="3219"/>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8"/>
      <c r="G22" s="2613"/>
      <c r="H22" s="448"/>
      <c r="I22" s="447"/>
      <c r="J22" s="448"/>
      <c r="K22" s="2614"/>
      <c r="L22" s="1140"/>
      <c r="M22" s="1131"/>
      <c r="N22" s="1131"/>
      <c r="O22" s="1131"/>
      <c r="P22" s="3226"/>
      <c r="Q22" s="1810"/>
      <c r="R22" s="774"/>
      <c r="S22" s="775"/>
      <c r="T22" s="774"/>
      <c r="U22" s="775"/>
      <c r="V22" s="774"/>
      <c r="W22" s="775"/>
      <c r="X22" s="1813"/>
      <c r="Y22" s="3219"/>
      <c r="Z22" s="1814"/>
      <c r="AA22" s="1811">
        <v>1</v>
      </c>
      <c r="AB22" s="1811">
        <v>1</v>
      </c>
      <c r="AC22" s="1811">
        <v>1</v>
      </c>
    </row>
    <row r="23" spans="1:29" ht="56">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6"/>
      <c r="Q23" s="1810" t="str">
        <f>B23</f>
        <v>自然及人文环境</v>
      </c>
      <c r="R23" s="774" t="s">
        <v>21</v>
      </c>
      <c r="S23" s="775">
        <f>F23</f>
        <v>100</v>
      </c>
      <c r="T23" s="774" t="s">
        <v>21</v>
      </c>
      <c r="U23" s="775">
        <f>H23</f>
        <v>100</v>
      </c>
      <c r="V23" s="774" t="s">
        <v>21</v>
      </c>
      <c r="W23" s="775">
        <f>J23</f>
        <v>100</v>
      </c>
      <c r="X23" s="1813"/>
      <c r="Y23" s="3219"/>
      <c r="Z23" s="1814" t="str">
        <f>Q23</f>
        <v>自然及人文环境</v>
      </c>
      <c r="AA23" s="1811">
        <f>D23/F23</f>
        <v>1</v>
      </c>
      <c r="AB23" s="1811">
        <f>D23/H23</f>
        <v>1</v>
      </c>
      <c r="AC23" s="1811">
        <f>D23/J23</f>
        <v>1</v>
      </c>
    </row>
    <row r="24" spans="1:29" ht="15.5">
      <c r="A24" s="428"/>
      <c r="B24" s="456"/>
      <c r="C24" s="447"/>
      <c r="D24" s="448"/>
      <c r="E24" s="2606"/>
      <c r="F24" s="448"/>
      <c r="G24" s="2607"/>
      <c r="H24" s="448"/>
      <c r="I24" s="2607"/>
      <c r="J24" s="448"/>
      <c r="K24" s="2608"/>
      <c r="L24" s="1140"/>
      <c r="M24" s="1131"/>
      <c r="N24" s="1131"/>
      <c r="O24" s="1131"/>
      <c r="P24" s="3226"/>
      <c r="Q24" s="1810"/>
      <c r="R24" s="774"/>
      <c r="S24" s="775"/>
      <c r="T24" s="774"/>
      <c r="U24" s="775"/>
      <c r="V24" s="774"/>
      <c r="W24" s="775"/>
      <c r="X24" s="1813"/>
      <c r="Y24" s="3219"/>
      <c r="Z24" s="1814"/>
      <c r="AA24" s="1811">
        <v>1</v>
      </c>
      <c r="AB24" s="1811">
        <v>1</v>
      </c>
      <c r="AC24" s="1811">
        <v>1</v>
      </c>
    </row>
    <row r="25" spans="1:29" ht="15.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2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9"/>
      <c r="Z25" s="1814" t="str">
        <f>Q25</f>
        <v>楼层-1</v>
      </c>
      <c r="AA25" s="1811">
        <f t="shared" ref="AA25:AA46" si="15">D25/F25</f>
        <v>1</v>
      </c>
      <c r="AB25" s="1811">
        <f t="shared" ref="AB25:AB46" si="16">D25/H25</f>
        <v>1</v>
      </c>
      <c r="AC25" s="1811">
        <f t="shared" ref="AC25:AC46" si="17">D25/J25</f>
        <v>1</v>
      </c>
    </row>
    <row r="26" spans="1:29" ht="15.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26"/>
      <c r="Q26" s="1810" t="str">
        <f t="shared" si="11"/>
        <v>朝向</v>
      </c>
      <c r="R26" s="774" t="s">
        <v>21</v>
      </c>
      <c r="S26" s="775">
        <f t="shared" si="12"/>
        <v>100</v>
      </c>
      <c r="T26" s="774" t="s">
        <v>21</v>
      </c>
      <c r="U26" s="775">
        <f t="shared" si="13"/>
        <v>100</v>
      </c>
      <c r="V26" s="774" t="s">
        <v>21</v>
      </c>
      <c r="W26" s="775">
        <f t="shared" si="14"/>
        <v>100</v>
      </c>
      <c r="X26" s="1813"/>
      <c r="Y26" s="3219"/>
      <c r="Z26" s="1814" t="str">
        <f>Q26</f>
        <v>朝向</v>
      </c>
      <c r="AA26" s="1811">
        <f t="shared" si="15"/>
        <v>1</v>
      </c>
      <c r="AB26" s="1811">
        <f t="shared" si="16"/>
        <v>1</v>
      </c>
      <c r="AC26" s="1811">
        <f t="shared" si="17"/>
        <v>1</v>
      </c>
    </row>
    <row r="27" spans="1:29" s="117" customFormat="1" ht="15.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26"/>
      <c r="Q27" s="1795">
        <f t="shared" si="11"/>
        <v>111</v>
      </c>
      <c r="R27" s="770" t="s">
        <v>21</v>
      </c>
      <c r="S27" s="771">
        <f t="shared" si="12"/>
        <v>100</v>
      </c>
      <c r="T27" s="770" t="s">
        <v>21</v>
      </c>
      <c r="U27" s="771">
        <f t="shared" si="13"/>
        <v>100</v>
      </c>
      <c r="V27" s="770" t="s">
        <v>21</v>
      </c>
      <c r="W27" s="771">
        <f t="shared" si="14"/>
        <v>100</v>
      </c>
      <c r="X27" s="772"/>
      <c r="Y27" s="3219"/>
      <c r="Z27" s="55">
        <f>Q27</f>
        <v>111</v>
      </c>
      <c r="AA27" s="1811">
        <f t="shared" si="15"/>
        <v>1</v>
      </c>
      <c r="AB27" s="1811">
        <f t="shared" si="16"/>
        <v>1</v>
      </c>
      <c r="AC27" s="1811">
        <f t="shared" si="17"/>
        <v>1</v>
      </c>
    </row>
    <row r="28" spans="1:29" ht="15.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26"/>
      <c r="Q28" s="1810">
        <f t="shared" si="11"/>
        <v>111</v>
      </c>
      <c r="R28" s="774" t="s">
        <v>21</v>
      </c>
      <c r="S28" s="775">
        <f t="shared" si="12"/>
        <v>100</v>
      </c>
      <c r="T28" s="774" t="s">
        <v>21</v>
      </c>
      <c r="U28" s="775">
        <f t="shared" si="13"/>
        <v>100</v>
      </c>
      <c r="V28" s="774" t="s">
        <v>21</v>
      </c>
      <c r="W28" s="775">
        <f t="shared" si="14"/>
        <v>100</v>
      </c>
      <c r="X28" s="1813"/>
      <c r="Y28" s="3219"/>
      <c r="Z28" s="1814">
        <f t="shared" ref="Z28:Z46" si="18">Q28</f>
        <v>111</v>
      </c>
      <c r="AA28" s="1811">
        <f t="shared" si="15"/>
        <v>1</v>
      </c>
      <c r="AB28" s="1811">
        <f t="shared" si="16"/>
        <v>1</v>
      </c>
      <c r="AC28" s="1811">
        <f t="shared" si="17"/>
        <v>1</v>
      </c>
    </row>
    <row r="29" spans="1:29" ht="15.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26"/>
      <c r="Q29" s="1810">
        <f t="shared" si="11"/>
        <v>111</v>
      </c>
      <c r="R29" s="774" t="s">
        <v>21</v>
      </c>
      <c r="S29" s="775">
        <f t="shared" si="12"/>
        <v>100</v>
      </c>
      <c r="T29" s="774" t="s">
        <v>21</v>
      </c>
      <c r="U29" s="775">
        <f t="shared" si="13"/>
        <v>100</v>
      </c>
      <c r="V29" s="774" t="s">
        <v>21</v>
      </c>
      <c r="W29" s="775">
        <f t="shared" si="14"/>
        <v>100</v>
      </c>
      <c r="X29" s="1813"/>
      <c r="Y29" s="3219"/>
      <c r="Z29" s="1814">
        <f t="shared" si="18"/>
        <v>111</v>
      </c>
      <c r="AA29" s="1811">
        <f t="shared" si="15"/>
        <v>1</v>
      </c>
      <c r="AB29" s="1811">
        <f t="shared" si="16"/>
        <v>1</v>
      </c>
      <c r="AC29" s="1811">
        <f t="shared" si="17"/>
        <v>1</v>
      </c>
    </row>
    <row r="30" spans="1:29" ht="15.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26"/>
      <c r="Q30" s="1810">
        <f t="shared" si="11"/>
        <v>111</v>
      </c>
      <c r="R30" s="774" t="s">
        <v>21</v>
      </c>
      <c r="S30" s="775">
        <f t="shared" si="12"/>
        <v>100</v>
      </c>
      <c r="T30" s="774" t="s">
        <v>21</v>
      </c>
      <c r="U30" s="775">
        <f t="shared" si="13"/>
        <v>100</v>
      </c>
      <c r="V30" s="774" t="s">
        <v>21</v>
      </c>
      <c r="W30" s="775">
        <f t="shared" si="14"/>
        <v>100</v>
      </c>
      <c r="X30" s="1813"/>
      <c r="Y30" s="3219"/>
      <c r="Z30" s="1814">
        <f t="shared" si="18"/>
        <v>111</v>
      </c>
      <c r="AA30" s="1811">
        <f t="shared" si="15"/>
        <v>1</v>
      </c>
      <c r="AB30" s="1811">
        <f t="shared" si="16"/>
        <v>1</v>
      </c>
      <c r="AC30" s="1811">
        <f t="shared" si="17"/>
        <v>1</v>
      </c>
    </row>
    <row r="31" spans="1:29" ht="16"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26"/>
      <c r="Q31" s="1810">
        <f t="shared" si="11"/>
        <v>111</v>
      </c>
      <c r="R31" s="774" t="s">
        <v>21</v>
      </c>
      <c r="S31" s="775">
        <f t="shared" si="12"/>
        <v>100</v>
      </c>
      <c r="T31" s="774" t="s">
        <v>21</v>
      </c>
      <c r="U31" s="775">
        <f t="shared" si="13"/>
        <v>100</v>
      </c>
      <c r="V31" s="774" t="s">
        <v>21</v>
      </c>
      <c r="W31" s="775">
        <f t="shared" si="14"/>
        <v>100</v>
      </c>
      <c r="X31" s="1813"/>
      <c r="Y31" s="3219"/>
      <c r="Z31" s="1814">
        <f t="shared" si="18"/>
        <v>111</v>
      </c>
      <c r="AA31" s="1811">
        <f t="shared" si="15"/>
        <v>1</v>
      </c>
      <c r="AB31" s="1811">
        <f t="shared" si="16"/>
        <v>1</v>
      </c>
      <c r="AC31" s="1811">
        <f t="shared" si="17"/>
        <v>1</v>
      </c>
    </row>
    <row r="32" spans="1:29" ht="15.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20" t="s">
        <v>2562</v>
      </c>
      <c r="Q32" s="1810" t="str">
        <f t="shared" si="11"/>
        <v>建筑类型</v>
      </c>
      <c r="R32" s="774" t="s">
        <v>21</v>
      </c>
      <c r="S32" s="775">
        <f t="shared" si="12"/>
        <v>100</v>
      </c>
      <c r="T32" s="774" t="s">
        <v>21</v>
      </c>
      <c r="U32" s="775">
        <f t="shared" si="13"/>
        <v>100</v>
      </c>
      <c r="V32" s="774" t="s">
        <v>21</v>
      </c>
      <c r="W32" s="775">
        <f t="shared" si="14"/>
        <v>100</v>
      </c>
      <c r="X32" s="1813"/>
      <c r="Y32" s="3223" t="s">
        <v>2562</v>
      </c>
      <c r="Z32" s="1814" t="str">
        <f t="shared" si="18"/>
        <v>建筑类型</v>
      </c>
      <c r="AA32" s="1811">
        <f t="shared" si="15"/>
        <v>1</v>
      </c>
      <c r="AB32" s="1811">
        <f t="shared" si="16"/>
        <v>1</v>
      </c>
      <c r="AC32" s="1811">
        <f t="shared" si="17"/>
        <v>1</v>
      </c>
    </row>
    <row r="33" spans="1:29" s="471" customFormat="1" ht="15.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21"/>
      <c r="Q33" s="776" t="str">
        <f t="shared" si="11"/>
        <v>项目建筑规模</v>
      </c>
      <c r="R33" s="777" t="s">
        <v>21</v>
      </c>
      <c r="S33" s="778" t="e">
        <f t="shared" si="12"/>
        <v>#N/A</v>
      </c>
      <c r="T33" s="777" t="s">
        <v>21</v>
      </c>
      <c r="U33" s="778" t="e">
        <f t="shared" si="13"/>
        <v>#N/A</v>
      </c>
      <c r="V33" s="777" t="s">
        <v>21</v>
      </c>
      <c r="W33" s="778" t="e">
        <f t="shared" si="14"/>
        <v>#N/A</v>
      </c>
      <c r="X33" s="779"/>
      <c r="Y33" s="3223"/>
      <c r="Z33" s="780" t="str">
        <f t="shared" si="18"/>
        <v>项目建筑规模</v>
      </c>
      <c r="AA33" s="1811" t="e">
        <f t="shared" si="15"/>
        <v>#N/A</v>
      </c>
      <c r="AB33" s="1811" t="e">
        <f t="shared" si="16"/>
        <v>#N/A</v>
      </c>
      <c r="AC33" s="1811" t="e">
        <f t="shared" si="17"/>
        <v>#N/A</v>
      </c>
    </row>
    <row r="34" spans="1:29" ht="15.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21"/>
      <c r="Q34" s="1810" t="str">
        <f t="shared" si="11"/>
        <v>建筑结构</v>
      </c>
      <c r="R34" s="774" t="s">
        <v>21</v>
      </c>
      <c r="S34" s="775">
        <f t="shared" si="12"/>
        <v>100</v>
      </c>
      <c r="T34" s="774" t="s">
        <v>21</v>
      </c>
      <c r="U34" s="775">
        <f t="shared" si="13"/>
        <v>100</v>
      </c>
      <c r="V34" s="774" t="s">
        <v>21</v>
      </c>
      <c r="W34" s="775">
        <f t="shared" si="14"/>
        <v>100</v>
      </c>
      <c r="X34" s="1813"/>
      <c r="Y34" s="3223"/>
      <c r="Z34" s="1814" t="str">
        <f t="shared" si="18"/>
        <v>建筑结构</v>
      </c>
      <c r="AA34" s="1811">
        <f t="shared" si="15"/>
        <v>1</v>
      </c>
      <c r="AB34" s="1811">
        <f t="shared" si="16"/>
        <v>1</v>
      </c>
      <c r="AC34" s="1811">
        <f t="shared" si="17"/>
        <v>1</v>
      </c>
    </row>
    <row r="35" spans="1:29" ht="15.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21"/>
      <c r="Q35" s="1810" t="str">
        <f t="shared" si="11"/>
        <v>建筑品质</v>
      </c>
      <c r="R35" s="774" t="s">
        <v>21</v>
      </c>
      <c r="S35" s="775">
        <f t="shared" si="12"/>
        <v>100</v>
      </c>
      <c r="T35" s="774" t="s">
        <v>21</v>
      </c>
      <c r="U35" s="775">
        <f t="shared" si="13"/>
        <v>100</v>
      </c>
      <c r="V35" s="774" t="s">
        <v>21</v>
      </c>
      <c r="W35" s="775">
        <f t="shared" si="14"/>
        <v>100</v>
      </c>
      <c r="X35" s="1813"/>
      <c r="Y35" s="3223"/>
      <c r="Z35" s="1814" t="str">
        <f t="shared" si="18"/>
        <v>建筑品质</v>
      </c>
      <c r="AA35" s="1811">
        <f t="shared" si="15"/>
        <v>1</v>
      </c>
      <c r="AB35" s="1811">
        <f t="shared" si="16"/>
        <v>1</v>
      </c>
      <c r="AC35" s="1811">
        <f t="shared" si="17"/>
        <v>1</v>
      </c>
    </row>
    <row r="36" spans="1:29" ht="15.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21"/>
      <c r="Q36" s="1810" t="str">
        <f t="shared" si="11"/>
        <v>公共部分装修</v>
      </c>
      <c r="R36" s="774" t="s">
        <v>21</v>
      </c>
      <c r="S36" s="775">
        <f t="shared" si="12"/>
        <v>100</v>
      </c>
      <c r="T36" s="774" t="s">
        <v>21</v>
      </c>
      <c r="U36" s="775">
        <f t="shared" si="13"/>
        <v>100</v>
      </c>
      <c r="V36" s="774" t="s">
        <v>21</v>
      </c>
      <c r="W36" s="775">
        <f t="shared" si="14"/>
        <v>100</v>
      </c>
      <c r="X36" s="1813"/>
      <c r="Y36" s="3223"/>
      <c r="Z36" s="1814" t="str">
        <f t="shared" si="18"/>
        <v>公共部分装修</v>
      </c>
      <c r="AA36" s="1811">
        <f t="shared" si="15"/>
        <v>1</v>
      </c>
      <c r="AB36" s="1811">
        <f t="shared" si="16"/>
        <v>1</v>
      </c>
      <c r="AC36" s="1811">
        <f t="shared" si="17"/>
        <v>1</v>
      </c>
    </row>
    <row r="37" spans="1:29" s="117" customFormat="1" ht="15.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1"/>
      <c r="Q37" s="1795" t="str">
        <f t="shared" si="11"/>
        <v>成新度</v>
      </c>
      <c r="R37" s="770" t="s">
        <v>21</v>
      </c>
      <c r="S37" s="771" t="e">
        <f t="shared" si="12"/>
        <v>#N/A</v>
      </c>
      <c r="T37" s="770" t="s">
        <v>21</v>
      </c>
      <c r="U37" s="771" t="e">
        <f t="shared" si="13"/>
        <v>#N/A</v>
      </c>
      <c r="V37" s="770" t="s">
        <v>21</v>
      </c>
      <c r="W37" s="771" t="e">
        <f t="shared" si="14"/>
        <v>#N/A</v>
      </c>
      <c r="X37" s="772"/>
      <c r="Y37" s="3223"/>
      <c r="Z37" s="55" t="str">
        <f t="shared" si="18"/>
        <v>成新度</v>
      </c>
      <c r="AA37" s="773" t="e">
        <f t="shared" si="15"/>
        <v>#N/A</v>
      </c>
      <c r="AB37" s="773" t="e">
        <f t="shared" si="16"/>
        <v>#N/A</v>
      </c>
      <c r="AC37" s="773" t="e">
        <f t="shared" si="17"/>
        <v>#N/A</v>
      </c>
    </row>
    <row r="38" spans="1:29" ht="15.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21" t="s">
        <v>2562</v>
      </c>
      <c r="Q38" s="1810" t="str">
        <f t="shared" si="11"/>
        <v>物业管理</v>
      </c>
      <c r="R38" s="774" t="s">
        <v>21</v>
      </c>
      <c r="S38" s="775">
        <f t="shared" si="12"/>
        <v>100</v>
      </c>
      <c r="T38" s="774" t="s">
        <v>21</v>
      </c>
      <c r="U38" s="775">
        <f t="shared" si="13"/>
        <v>100</v>
      </c>
      <c r="V38" s="774" t="s">
        <v>21</v>
      </c>
      <c r="W38" s="775">
        <f t="shared" si="14"/>
        <v>100</v>
      </c>
      <c r="X38" s="1813"/>
      <c r="Y38" s="3223" t="s">
        <v>2562</v>
      </c>
      <c r="Z38" s="1814" t="str">
        <f t="shared" si="18"/>
        <v>物业管理</v>
      </c>
      <c r="AA38" s="1811">
        <f t="shared" si="15"/>
        <v>1</v>
      </c>
      <c r="AB38" s="1811">
        <f t="shared" si="16"/>
        <v>1</v>
      </c>
      <c r="AC38" s="1811">
        <f t="shared" si="17"/>
        <v>1</v>
      </c>
    </row>
    <row r="39" spans="1:29" ht="15.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21"/>
      <c r="Q39" s="1810" t="str">
        <f t="shared" si="11"/>
        <v>市政基础设施</v>
      </c>
      <c r="R39" s="774" t="s">
        <v>21</v>
      </c>
      <c r="S39" s="775">
        <f t="shared" si="12"/>
        <v>100</v>
      </c>
      <c r="T39" s="774" t="s">
        <v>21</v>
      </c>
      <c r="U39" s="775">
        <f t="shared" si="13"/>
        <v>100</v>
      </c>
      <c r="V39" s="774" t="s">
        <v>21</v>
      </c>
      <c r="W39" s="775">
        <f t="shared" si="14"/>
        <v>100</v>
      </c>
      <c r="X39" s="1813"/>
      <c r="Y39" s="3223"/>
      <c r="Z39" s="1814" t="str">
        <f t="shared" si="18"/>
        <v>市政基础设施</v>
      </c>
      <c r="AA39" s="1811">
        <f t="shared" si="15"/>
        <v>1</v>
      </c>
      <c r="AB39" s="1811">
        <f t="shared" si="16"/>
        <v>1</v>
      </c>
      <c r="AC39" s="1811">
        <f t="shared" si="17"/>
        <v>1</v>
      </c>
    </row>
    <row r="40" spans="1:29" ht="15.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21"/>
      <c r="Q40" s="1810" t="str">
        <f t="shared" si="11"/>
        <v>房型</v>
      </c>
      <c r="R40" s="774" t="s">
        <v>21</v>
      </c>
      <c r="S40" s="775">
        <f t="shared" si="12"/>
        <v>100</v>
      </c>
      <c r="T40" s="774" t="s">
        <v>21</v>
      </c>
      <c r="U40" s="775">
        <f t="shared" si="13"/>
        <v>100</v>
      </c>
      <c r="V40" s="774" t="s">
        <v>21</v>
      </c>
      <c r="W40" s="775">
        <f t="shared" si="14"/>
        <v>100</v>
      </c>
      <c r="X40" s="1813"/>
      <c r="Y40" s="3223"/>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21"/>
      <c r="Q41" s="776" t="str">
        <f t="shared" si="11"/>
        <v>单套/主力户型建筑面积</v>
      </c>
      <c r="R41" s="777" t="s">
        <v>21</v>
      </c>
      <c r="S41" s="778">
        <f t="shared" si="12"/>
        <v>100</v>
      </c>
      <c r="T41" s="777" t="s">
        <v>21</v>
      </c>
      <c r="U41" s="778">
        <f t="shared" si="13"/>
        <v>100</v>
      </c>
      <c r="V41" s="777" t="s">
        <v>21</v>
      </c>
      <c r="W41" s="778">
        <f t="shared" si="14"/>
        <v>100</v>
      </c>
      <c r="X41" s="779"/>
      <c r="Y41" s="3223"/>
      <c r="Z41" s="780" t="str">
        <f t="shared" si="18"/>
        <v>单套/主力户型建筑面积</v>
      </c>
      <c r="AA41" s="1811">
        <f t="shared" si="15"/>
        <v>1</v>
      </c>
      <c r="AB41" s="1811">
        <f t="shared" si="16"/>
        <v>1</v>
      </c>
      <c r="AC41" s="1811">
        <f t="shared" si="17"/>
        <v>1</v>
      </c>
    </row>
    <row r="42" spans="1:29" ht="15.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21"/>
      <c r="Q42" s="1810" t="str">
        <f t="shared" si="11"/>
        <v>内部装修</v>
      </c>
      <c r="R42" s="774" t="s">
        <v>21</v>
      </c>
      <c r="S42" s="775">
        <f t="shared" si="12"/>
        <v>100</v>
      </c>
      <c r="T42" s="774" t="s">
        <v>21</v>
      </c>
      <c r="U42" s="775">
        <f t="shared" si="13"/>
        <v>100</v>
      </c>
      <c r="V42" s="774" t="s">
        <v>21</v>
      </c>
      <c r="W42" s="775">
        <f t="shared" si="14"/>
        <v>100</v>
      </c>
      <c r="X42" s="1813"/>
      <c r="Y42" s="3223"/>
      <c r="Z42" s="1814" t="str">
        <f t="shared" si="18"/>
        <v>内部装修</v>
      </c>
      <c r="AA42" s="1811">
        <f t="shared" si="15"/>
        <v>1</v>
      </c>
      <c r="AB42" s="1811">
        <f t="shared" si="16"/>
        <v>1</v>
      </c>
      <c r="AC42" s="1811">
        <f t="shared" si="17"/>
        <v>1</v>
      </c>
    </row>
    <row r="43" spans="1:29" ht="28">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21"/>
      <c r="Q43" s="1810" t="str">
        <f t="shared" si="11"/>
        <v>内部装修维护情况</v>
      </c>
      <c r="R43" s="774" t="s">
        <v>21</v>
      </c>
      <c r="S43" s="775">
        <f t="shared" si="12"/>
        <v>100</v>
      </c>
      <c r="T43" s="774" t="s">
        <v>21</v>
      </c>
      <c r="U43" s="775">
        <f t="shared" si="13"/>
        <v>100</v>
      </c>
      <c r="V43" s="774" t="s">
        <v>21</v>
      </c>
      <c r="W43" s="775">
        <f t="shared" si="14"/>
        <v>100</v>
      </c>
      <c r="X43" s="1813"/>
      <c r="Y43" s="3223"/>
      <c r="Z43" s="1814" t="str">
        <f t="shared" si="18"/>
        <v>内部装修维护情况</v>
      </c>
      <c r="AA43" s="1811">
        <f t="shared" si="15"/>
        <v>1</v>
      </c>
      <c r="AB43" s="1811">
        <f t="shared" si="16"/>
        <v>1</v>
      </c>
      <c r="AC43" s="1811">
        <f t="shared" si="17"/>
        <v>1</v>
      </c>
    </row>
    <row r="44" spans="1:29" s="117" customFormat="1" ht="15.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21"/>
      <c r="Q44" s="1795">
        <f t="shared" si="11"/>
        <v>111</v>
      </c>
      <c r="R44" s="770" t="s">
        <v>21</v>
      </c>
      <c r="S44" s="771">
        <f t="shared" si="12"/>
        <v>100</v>
      </c>
      <c r="T44" s="770" t="s">
        <v>21</v>
      </c>
      <c r="U44" s="771">
        <f t="shared" si="13"/>
        <v>100</v>
      </c>
      <c r="V44" s="770" t="s">
        <v>21</v>
      </c>
      <c r="W44" s="771">
        <f t="shared" si="14"/>
        <v>100</v>
      </c>
      <c r="X44" s="772"/>
      <c r="Y44" s="3223"/>
      <c r="Z44" s="55">
        <f t="shared" si="18"/>
        <v>111</v>
      </c>
      <c r="AA44" s="773">
        <f t="shared" si="15"/>
        <v>1</v>
      </c>
      <c r="AB44" s="773">
        <f t="shared" si="16"/>
        <v>1</v>
      </c>
      <c r="AC44" s="773">
        <f t="shared" si="17"/>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21"/>
      <c r="Q45" s="1810">
        <f t="shared" si="11"/>
        <v>111</v>
      </c>
      <c r="R45" s="774" t="s">
        <v>21</v>
      </c>
      <c r="S45" s="775">
        <f t="shared" si="12"/>
        <v>100</v>
      </c>
      <c r="T45" s="774" t="s">
        <v>21</v>
      </c>
      <c r="U45" s="775">
        <f t="shared" si="13"/>
        <v>100</v>
      </c>
      <c r="V45" s="774" t="s">
        <v>21</v>
      </c>
      <c r="W45" s="775">
        <f t="shared" si="14"/>
        <v>100</v>
      </c>
      <c r="X45" s="1813"/>
      <c r="Y45" s="3223"/>
      <c r="Z45" s="1814">
        <f t="shared" si="18"/>
        <v>111</v>
      </c>
      <c r="AA45" s="1811">
        <f t="shared" si="15"/>
        <v>1</v>
      </c>
      <c r="AB45" s="1811">
        <f t="shared" si="16"/>
        <v>1</v>
      </c>
      <c r="AC45" s="1811">
        <f t="shared" si="17"/>
        <v>1</v>
      </c>
    </row>
    <row r="46" spans="1:29" ht="1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22"/>
      <c r="Q46" s="1810">
        <f t="shared" si="11"/>
        <v>111</v>
      </c>
      <c r="R46" s="774" t="s">
        <v>20</v>
      </c>
      <c r="S46" s="775">
        <f t="shared" si="12"/>
        <v>100</v>
      </c>
      <c r="T46" s="774" t="s">
        <v>20</v>
      </c>
      <c r="U46" s="775">
        <f t="shared" si="13"/>
        <v>100</v>
      </c>
      <c r="V46" s="774" t="s">
        <v>20</v>
      </c>
      <c r="W46" s="775">
        <f t="shared" si="14"/>
        <v>100</v>
      </c>
      <c r="X46" s="1813"/>
      <c r="Y46" s="3224"/>
      <c r="Z46" s="1814">
        <f t="shared" si="18"/>
        <v>111</v>
      </c>
      <c r="AA46" s="1811">
        <f t="shared" si="15"/>
        <v>1</v>
      </c>
      <c r="AB46" s="1811">
        <f t="shared" si="16"/>
        <v>1</v>
      </c>
      <c r="AC46" s="1811">
        <f t="shared" si="17"/>
        <v>1</v>
      </c>
    </row>
    <row r="47" spans="1:29">
      <c r="A47" s="479" t="s">
        <v>2574</v>
      </c>
      <c r="B47" s="480"/>
      <c r="C47" s="1407" t="s">
        <v>19</v>
      </c>
      <c r="D47" s="1408"/>
      <c r="E47" s="1409"/>
      <c r="F47" s="1410"/>
      <c r="G47" s="1411"/>
      <c r="H47" s="1412"/>
      <c r="I47" s="1409"/>
      <c r="J47" s="1412"/>
      <c r="K47" s="2623"/>
      <c r="L47" s="1143"/>
      <c r="M47" s="1144"/>
      <c r="N47" s="1131"/>
      <c r="O47" s="1144"/>
      <c r="P47" s="3216" t="str">
        <f>A47</f>
        <v>成交单价（元/平方米）</v>
      </c>
      <c r="Q47" s="3216"/>
      <c r="R47" s="3217">
        <f>E47</f>
        <v>0</v>
      </c>
      <c r="S47" s="3217"/>
      <c r="T47" s="3217">
        <f>G47</f>
        <v>0</v>
      </c>
      <c r="U47" s="3217"/>
      <c r="V47" s="3217">
        <f>I47</f>
        <v>0</v>
      </c>
      <c r="W47" s="3217"/>
      <c r="X47" s="759"/>
      <c r="Y47" s="781"/>
      <c r="Z47" s="759"/>
      <c r="AA47" s="759"/>
      <c r="AB47" s="759"/>
      <c r="AC47" s="759"/>
    </row>
    <row r="48" spans="1:29" ht="14.5" thickBot="1">
      <c r="A48" s="486" t="s">
        <v>2575</v>
      </c>
      <c r="B48" s="487"/>
      <c r="C48" s="1413" t="e">
        <f>R49</f>
        <v>#DIV/0!</v>
      </c>
      <c r="D48" s="1414"/>
      <c r="E48" s="1415" t="e">
        <f>R48</f>
        <v>#DIV/0!</v>
      </c>
      <c r="F48" s="1415"/>
      <c r="G48" s="1413" t="e">
        <f>T48</f>
        <v>#DIV/0!</v>
      </c>
      <c r="H48" s="1414"/>
      <c r="I48" s="1415" t="e">
        <f>V48</f>
        <v>#DIV/0!</v>
      </c>
      <c r="J48" s="1414"/>
      <c r="K48" s="2624"/>
      <c r="L48" s="1143"/>
      <c r="M48" s="1144"/>
      <c r="N48" s="1144"/>
      <c r="O48" s="1144"/>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4.5" thickBot="1">
      <c r="A49" s="492" t="s">
        <v>2576</v>
      </c>
      <c r="B49" s="493"/>
      <c r="C49" s="1416" t="e">
        <f>R49</f>
        <v>#DIV/0!</v>
      </c>
      <c r="D49" s="1417"/>
      <c r="E49" s="1417"/>
      <c r="F49" s="1417"/>
      <c r="G49" s="1417"/>
      <c r="H49" s="1417"/>
      <c r="I49" s="1417"/>
      <c r="J49" s="1417"/>
      <c r="K49" s="2625"/>
      <c r="L49" s="1143"/>
      <c r="M49" s="1144"/>
      <c r="N49" s="1144"/>
      <c r="O49" s="1144"/>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5" thickBot="1">
      <c r="A57" s="763" t="s">
        <v>2580</v>
      </c>
      <c r="B57" s="759"/>
      <c r="C57" s="764"/>
      <c r="D57" s="764"/>
      <c r="E57" s="764"/>
      <c r="F57" s="765"/>
      <c r="G57" s="765"/>
      <c r="H57" s="764"/>
      <c r="I57" s="764"/>
      <c r="J57" s="764"/>
      <c r="K57" s="1160"/>
      <c r="L57" s="1161"/>
      <c r="M57" s="1159"/>
      <c r="N57" s="1159"/>
      <c r="O57" s="1159"/>
      <c r="P57" s="2628"/>
      <c r="Q57" s="504"/>
    </row>
    <row r="58" spans="1:29" s="508" customFormat="1">
      <c r="A58" s="505" t="s">
        <v>2581</v>
      </c>
      <c r="B58" s="506"/>
      <c r="C58" s="1576" t="str">
        <f>YEAR(C7)&amp;"-"&amp;MONTH(C7)</f>
        <v>2020-2</v>
      </c>
      <c r="D58" s="1575">
        <f>EDATE(C58,-1)</f>
        <v>43831</v>
      </c>
      <c r="E58" s="1575">
        <f>EDATE(D58,-1)</f>
        <v>43800</v>
      </c>
      <c r="F58" s="1575">
        <f t="shared" ref="F58:O58" si="19">EDATE(E58,-1)</f>
        <v>43770</v>
      </c>
      <c r="G58" s="1575">
        <f t="shared" si="19"/>
        <v>43739</v>
      </c>
      <c r="H58" s="1575">
        <f t="shared" si="19"/>
        <v>43709</v>
      </c>
      <c r="I58" s="1575">
        <f t="shared" si="19"/>
        <v>43678</v>
      </c>
      <c r="J58" s="1575">
        <f t="shared" si="19"/>
        <v>43647</v>
      </c>
      <c r="K58" s="1575">
        <f t="shared" si="19"/>
        <v>43617</v>
      </c>
      <c r="L58" s="1575">
        <f t="shared" si="19"/>
        <v>43586</v>
      </c>
      <c r="M58" s="1575">
        <f t="shared" si="19"/>
        <v>43556</v>
      </c>
      <c r="N58" s="1575">
        <f t="shared" si="19"/>
        <v>43525</v>
      </c>
      <c r="O58" s="1575">
        <f t="shared" si="19"/>
        <v>43497</v>
      </c>
      <c r="P58" s="1570"/>
    </row>
    <row r="59" spans="1:29" s="117" customFormat="1">
      <c r="A59" s="509"/>
      <c r="B59" s="2629"/>
      <c r="C59" s="1573">
        <v>100</v>
      </c>
      <c r="D59" s="511"/>
      <c r="E59" s="512"/>
      <c r="F59" s="512"/>
      <c r="G59" s="512"/>
      <c r="H59" s="512"/>
      <c r="I59" s="512"/>
      <c r="J59" s="512"/>
      <c r="K59" s="512"/>
      <c r="L59" s="512"/>
      <c r="M59" s="513"/>
      <c r="N59" s="512"/>
      <c r="O59" s="513"/>
      <c r="P59" s="2630"/>
    </row>
    <row r="60" spans="1:29" s="117" customFormat="1" ht="14.5" thickBot="1">
      <c r="A60" s="515" t="s">
        <v>2582</v>
      </c>
      <c r="B60" s="516"/>
      <c r="C60" s="517"/>
      <c r="D60" s="518"/>
      <c r="E60" s="518"/>
      <c r="F60" s="518"/>
      <c r="G60" s="518"/>
      <c r="H60" s="518"/>
      <c r="I60" s="518"/>
      <c r="J60" s="518"/>
      <c r="K60" s="518"/>
      <c r="L60" s="518"/>
      <c r="M60" s="519"/>
      <c r="N60" s="518"/>
      <c r="O60" s="519"/>
      <c r="P60" s="2630"/>
      <c r="Q60" s="504"/>
    </row>
    <row r="61" spans="1:29" s="117" customFormat="1">
      <c r="A61" s="521" t="s">
        <v>2583</v>
      </c>
      <c r="B61" s="510"/>
      <c r="C61" s="522" t="s">
        <v>2584</v>
      </c>
      <c r="D61" s="523"/>
      <c r="E61" s="523"/>
      <c r="F61" s="523"/>
      <c r="G61" s="523"/>
      <c r="H61" s="523"/>
      <c r="I61" s="523"/>
      <c r="J61" s="523"/>
      <c r="K61" s="523"/>
      <c r="L61" s="524"/>
      <c r="M61" s="525"/>
      <c r="N61" s="1151"/>
      <c r="O61" s="1151"/>
      <c r="P61" s="2631"/>
      <c r="Q61" s="504"/>
    </row>
    <row r="62" spans="1:29" s="117" customFormat="1" ht="14.5" thickBot="1">
      <c r="A62" s="521"/>
      <c r="B62" s="510"/>
      <c r="C62" s="511">
        <v>100</v>
      </c>
      <c r="D62" s="512"/>
      <c r="E62" s="512"/>
      <c r="F62" s="512"/>
      <c r="G62" s="512"/>
      <c r="H62" s="512"/>
      <c r="I62" s="512"/>
      <c r="J62" s="512"/>
      <c r="K62" s="512"/>
      <c r="L62" s="512"/>
      <c r="M62" s="514"/>
      <c r="N62" s="1151"/>
      <c r="O62" s="1151"/>
      <c r="P62" s="2630"/>
      <c r="Q62" s="504"/>
    </row>
    <row r="63" spans="1:29">
      <c r="A63" s="527" t="s">
        <v>2585</v>
      </c>
      <c r="B63" s="528" t="s">
        <v>2551</v>
      </c>
      <c r="C63" s="529">
        <f>C9</f>
        <v>0</v>
      </c>
      <c r="D63" s="530"/>
      <c r="E63" s="530"/>
      <c r="F63" s="530"/>
      <c r="G63" s="530"/>
      <c r="H63" s="530"/>
      <c r="I63" s="530"/>
      <c r="J63" s="530"/>
      <c r="K63" s="531"/>
      <c r="L63" s="532"/>
      <c r="M63" s="533"/>
      <c r="N63" s="1152"/>
      <c r="O63" s="1152"/>
      <c r="P63" s="2632"/>
      <c r="Q63" s="504"/>
    </row>
    <row r="64" spans="1:29" ht="14.5" thickBot="1">
      <c r="A64" s="534"/>
      <c r="B64" s="535"/>
      <c r="C64" s="536">
        <v>100</v>
      </c>
      <c r="D64" s="536"/>
      <c r="E64" s="536"/>
      <c r="F64" s="536"/>
      <c r="G64" s="536"/>
      <c r="H64" s="536"/>
      <c r="I64" s="536"/>
      <c r="J64" s="536"/>
      <c r="K64" s="536"/>
      <c r="L64" s="536"/>
      <c r="M64" s="537"/>
      <c r="N64" s="1153"/>
      <c r="O64" s="1153"/>
      <c r="P64" s="2632"/>
      <c r="Q64" s="504"/>
    </row>
    <row r="65" spans="1:17" ht="28.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2"/>
      <c r="Q65" s="504"/>
    </row>
    <row r="66" spans="1:17" ht="14.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4.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4.5" thickTop="1">
      <c r="A70" s="553"/>
      <c r="B70" s="538">
        <f>B12</f>
        <v>111</v>
      </c>
      <c r="C70" s="554"/>
      <c r="D70" s="554"/>
      <c r="E70" s="554"/>
      <c r="F70" s="554"/>
      <c r="G70" s="554"/>
      <c r="H70" s="555"/>
      <c r="I70" s="555"/>
      <c r="J70" s="555"/>
      <c r="K70" s="555"/>
      <c r="L70" s="556"/>
      <c r="M70" s="557"/>
      <c r="N70" s="1154"/>
      <c r="O70" s="1154"/>
      <c r="P70" s="2633"/>
      <c r="Q70" s="559"/>
    </row>
    <row r="71" spans="1:17" s="471" customFormat="1" ht="14.5" thickBot="1">
      <c r="A71" s="553"/>
      <c r="B71" s="543"/>
      <c r="C71" s="560"/>
      <c r="D71" s="536"/>
      <c r="E71" s="536"/>
      <c r="F71" s="536"/>
      <c r="G71" s="536"/>
      <c r="H71" s="536"/>
      <c r="I71" s="536"/>
      <c r="J71" s="536"/>
      <c r="K71" s="536"/>
      <c r="L71" s="536"/>
      <c r="M71" s="537"/>
      <c r="N71" s="1153"/>
      <c r="O71" s="1153"/>
      <c r="P71" s="2633"/>
      <c r="Q71" s="559"/>
    </row>
    <row r="72" spans="1:17" s="471" customFormat="1" ht="14.5" thickTop="1">
      <c r="A72" s="553"/>
      <c r="B72" s="538">
        <f>B13</f>
        <v>111</v>
      </c>
      <c r="C72" s="554"/>
      <c r="D72" s="554"/>
      <c r="E72" s="554"/>
      <c r="F72" s="554"/>
      <c r="G72" s="554"/>
      <c r="H72" s="555"/>
      <c r="I72" s="555"/>
      <c r="J72" s="555"/>
      <c r="K72" s="555"/>
      <c r="L72" s="556"/>
      <c r="M72" s="557"/>
      <c r="N72" s="1154"/>
      <c r="O72" s="1154"/>
      <c r="P72" s="2634"/>
      <c r="Q72" s="561"/>
    </row>
    <row r="73" spans="1:17" s="471" customFormat="1" ht="14.5" thickBot="1">
      <c r="A73" s="553"/>
      <c r="B73" s="543"/>
      <c r="C73" s="560"/>
      <c r="D73" s="560"/>
      <c r="E73" s="560"/>
      <c r="F73" s="560"/>
      <c r="G73" s="560"/>
      <c r="H73" s="562"/>
      <c r="I73" s="562"/>
      <c r="J73" s="562"/>
      <c r="K73" s="562"/>
      <c r="L73" s="562"/>
      <c r="M73" s="563"/>
      <c r="N73" s="1154"/>
      <c r="O73" s="1154"/>
      <c r="P73" s="2633"/>
      <c r="Q73" s="559"/>
    </row>
    <row r="74" spans="1:17" s="471" customFormat="1" ht="14.5" thickTop="1">
      <c r="A74" s="553"/>
      <c r="B74" s="546">
        <f>B14</f>
        <v>111</v>
      </c>
      <c r="C74" s="554"/>
      <c r="D74" s="554"/>
      <c r="E74" s="554"/>
      <c r="F74" s="554"/>
      <c r="G74" s="523"/>
      <c r="H74" s="564"/>
      <c r="I74" s="564"/>
      <c r="J74" s="564"/>
      <c r="K74" s="564"/>
      <c r="L74" s="565"/>
      <c r="M74" s="566"/>
      <c r="N74" s="1154"/>
      <c r="O74" s="1154"/>
      <c r="P74" s="2635"/>
      <c r="Q74" s="559"/>
    </row>
    <row r="75" spans="1:17" s="471" customFormat="1" ht="14.5" thickBot="1">
      <c r="A75" s="568"/>
      <c r="B75" s="569"/>
      <c r="C75" s="570"/>
      <c r="D75" s="570"/>
      <c r="E75" s="570"/>
      <c r="F75" s="570"/>
      <c r="G75" s="570"/>
      <c r="H75" s="571"/>
      <c r="I75" s="571"/>
      <c r="J75" s="571"/>
      <c r="K75" s="571"/>
      <c r="L75" s="571"/>
      <c r="M75" s="572"/>
      <c r="N75" s="1154"/>
      <c r="O75" s="1154"/>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6"/>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4.5" thickTop="1">
      <c r="A78" s="534"/>
      <c r="B78" s="538" t="s">
        <v>2599</v>
      </c>
      <c r="C78" s="578" t="s">
        <v>2594</v>
      </c>
      <c r="D78" s="578" t="s">
        <v>2595</v>
      </c>
      <c r="E78" s="578" t="s">
        <v>2596</v>
      </c>
      <c r="F78" s="578" t="s">
        <v>2597</v>
      </c>
      <c r="G78" s="578" t="s">
        <v>2598</v>
      </c>
      <c r="H78" s="539"/>
      <c r="I78" s="539"/>
      <c r="J78" s="539"/>
      <c r="K78" s="540"/>
      <c r="L78" s="541"/>
      <c r="M78" s="542"/>
      <c r="N78" s="1152"/>
      <c r="O78" s="1152"/>
      <c r="P78" s="2632"/>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4.5" thickTop="1">
      <c r="A80" s="534"/>
      <c r="B80" s="538" t="s">
        <v>2600</v>
      </c>
      <c r="C80" s="578" t="s">
        <v>2594</v>
      </c>
      <c r="D80" s="578" t="s">
        <v>2595</v>
      </c>
      <c r="E80" s="578" t="s">
        <v>2596</v>
      </c>
      <c r="F80" s="578" t="s">
        <v>2597</v>
      </c>
      <c r="G80" s="578" t="s">
        <v>2598</v>
      </c>
      <c r="H80" s="539"/>
      <c r="I80" s="539"/>
      <c r="J80" s="539"/>
      <c r="K80" s="540"/>
      <c r="L80" s="541"/>
      <c r="M80" s="542"/>
      <c r="N80" s="1152"/>
      <c r="O80" s="1152"/>
      <c r="P80" s="2632"/>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4.5" thickTop="1">
      <c r="A82" s="534"/>
      <c r="B82" s="546" t="s">
        <v>2096</v>
      </c>
      <c r="C82" s="539" t="s">
        <v>2601</v>
      </c>
      <c r="D82" s="539" t="s">
        <v>2602</v>
      </c>
      <c r="E82" s="539" t="s">
        <v>2603</v>
      </c>
      <c r="F82" s="539" t="s">
        <v>2604</v>
      </c>
      <c r="G82" s="539" t="s">
        <v>2605</v>
      </c>
      <c r="H82" s="539"/>
      <c r="I82" s="539"/>
      <c r="J82" s="539"/>
      <c r="K82" s="539"/>
      <c r="L82" s="539"/>
      <c r="M82" s="1382"/>
      <c r="N82" s="1153"/>
      <c r="O82" s="1153"/>
      <c r="P82" s="2632"/>
      <c r="Q82" s="504"/>
    </row>
    <row r="83" spans="1:17" ht="14.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4.5" thickTop="1">
      <c r="A84" s="534"/>
      <c r="B84" s="538" t="s">
        <v>2606</v>
      </c>
      <c r="C84" s="578" t="s">
        <v>2594</v>
      </c>
      <c r="D84" s="578" t="s">
        <v>2595</v>
      </c>
      <c r="E84" s="578" t="s">
        <v>2596</v>
      </c>
      <c r="F84" s="578" t="s">
        <v>2597</v>
      </c>
      <c r="G84" s="578" t="s">
        <v>2598</v>
      </c>
      <c r="H84" s="539"/>
      <c r="I84" s="539"/>
      <c r="J84" s="539"/>
      <c r="K84" s="540"/>
      <c r="L84" s="541"/>
      <c r="M84" s="542"/>
      <c r="N84" s="1152"/>
      <c r="O84" s="1152"/>
      <c r="P84" s="2632"/>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2607</v>
      </c>
      <c r="C86" s="554"/>
      <c r="D86" s="554"/>
      <c r="E86" s="554"/>
      <c r="F86" s="554"/>
      <c r="G86" s="554"/>
      <c r="H86" s="554"/>
      <c r="I86" s="554"/>
      <c r="J86" s="554"/>
      <c r="K86" s="554"/>
      <c r="L86" s="580"/>
      <c r="M86" s="581"/>
      <c r="N86" s="1151"/>
      <c r="O86" s="1151"/>
      <c r="P86" s="2632"/>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4.5" thickTop="1">
      <c r="A88" s="579"/>
      <c r="B88" s="538" t="s">
        <v>2608</v>
      </c>
      <c r="C88" s="554"/>
      <c r="D88" s="554"/>
      <c r="E88" s="554"/>
      <c r="F88" s="2637"/>
      <c r="G88" s="554"/>
      <c r="H88" s="554"/>
      <c r="I88" s="554"/>
      <c r="J88" s="554"/>
      <c r="K88" s="554"/>
      <c r="L88" s="554"/>
      <c r="M88" s="581"/>
      <c r="N88" s="1151"/>
      <c r="O88" s="1151"/>
      <c r="P88" s="2632"/>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4.5" thickTop="1">
      <c r="A90" s="553"/>
      <c r="B90" s="538">
        <f>B27</f>
        <v>111</v>
      </c>
      <c r="C90" s="554"/>
      <c r="D90" s="554"/>
      <c r="E90" s="554"/>
      <c r="F90" s="554"/>
      <c r="G90" s="554"/>
      <c r="H90" s="555"/>
      <c r="I90" s="555"/>
      <c r="J90" s="555"/>
      <c r="K90" s="555"/>
      <c r="L90" s="556"/>
      <c r="M90" s="557"/>
      <c r="N90" s="1154"/>
      <c r="O90" s="1154"/>
      <c r="P90" s="2633"/>
      <c r="Q90" s="559"/>
    </row>
    <row r="91" spans="1:17" s="471" customFormat="1" ht="14.5" thickBot="1">
      <c r="A91" s="553"/>
      <c r="B91" s="543"/>
      <c r="C91" s="560"/>
      <c r="D91" s="560"/>
      <c r="E91" s="560"/>
      <c r="F91" s="560"/>
      <c r="G91" s="560"/>
      <c r="H91" s="562"/>
      <c r="I91" s="562"/>
      <c r="J91" s="562"/>
      <c r="K91" s="562"/>
      <c r="L91" s="562"/>
      <c r="M91" s="563"/>
      <c r="N91" s="1154"/>
      <c r="O91" s="1154"/>
      <c r="P91" s="2633"/>
      <c r="Q91" s="559"/>
    </row>
    <row r="92" spans="1:17" ht="14.5" thickTop="1">
      <c r="A92" s="534"/>
      <c r="B92" s="538">
        <f>B28</f>
        <v>111</v>
      </c>
      <c r="C92" s="554"/>
      <c r="D92" s="554"/>
      <c r="E92" s="554"/>
      <c r="F92" s="554"/>
      <c r="G92" s="583"/>
      <c r="H92" s="583"/>
      <c r="I92" s="583"/>
      <c r="J92" s="583"/>
      <c r="K92" s="584"/>
      <c r="L92" s="585"/>
      <c r="M92" s="586"/>
      <c r="N92" s="1152"/>
      <c r="O92" s="1152"/>
      <c r="P92" s="2632"/>
      <c r="Q92" s="504"/>
    </row>
    <row r="93" spans="1:17" ht="14.5" thickBot="1">
      <c r="A93" s="534"/>
      <c r="B93" s="543"/>
      <c r="C93" s="560"/>
      <c r="D93" s="536"/>
      <c r="E93" s="536"/>
      <c r="F93" s="536"/>
      <c r="G93" s="536"/>
      <c r="H93" s="536"/>
      <c r="I93" s="536"/>
      <c r="J93" s="536"/>
      <c r="K93" s="536"/>
      <c r="L93" s="536"/>
      <c r="M93" s="537"/>
      <c r="N93" s="1153"/>
      <c r="O93" s="1153"/>
      <c r="P93" s="2632"/>
      <c r="Q93" s="504"/>
    </row>
    <row r="94" spans="1:17" ht="14.5" thickTop="1">
      <c r="A94" s="534"/>
      <c r="B94" s="538">
        <f>B29</f>
        <v>111</v>
      </c>
      <c r="C94" s="554"/>
      <c r="D94" s="554"/>
      <c r="E94" s="554"/>
      <c r="F94" s="554"/>
      <c r="G94" s="583"/>
      <c r="H94" s="583"/>
      <c r="I94" s="583"/>
      <c r="J94" s="583"/>
      <c r="K94" s="584"/>
      <c r="L94" s="585"/>
      <c r="M94" s="586"/>
      <c r="N94" s="1152"/>
      <c r="O94" s="1152"/>
      <c r="P94" s="2632"/>
      <c r="Q94" s="504"/>
    </row>
    <row r="95" spans="1:17" ht="14.5" thickBot="1">
      <c r="A95" s="534"/>
      <c r="B95" s="543"/>
      <c r="C95" s="560"/>
      <c r="D95" s="560"/>
      <c r="E95" s="560"/>
      <c r="F95" s="560"/>
      <c r="G95" s="536"/>
      <c r="H95" s="536"/>
      <c r="I95" s="536"/>
      <c r="J95" s="536"/>
      <c r="K95" s="536"/>
      <c r="L95" s="536"/>
      <c r="M95" s="537"/>
      <c r="N95" s="1153"/>
      <c r="O95" s="1153"/>
      <c r="P95" s="2632"/>
      <c r="Q95" s="504"/>
    </row>
    <row r="96" spans="1:17" ht="14.5" thickTop="1">
      <c r="A96" s="534"/>
      <c r="B96" s="538">
        <f>B30</f>
        <v>111</v>
      </c>
      <c r="C96" s="554"/>
      <c r="D96" s="554"/>
      <c r="E96" s="554"/>
      <c r="F96" s="554"/>
      <c r="G96" s="583"/>
      <c r="H96" s="583"/>
      <c r="I96" s="583"/>
      <c r="J96" s="583"/>
      <c r="K96" s="584"/>
      <c r="L96" s="585"/>
      <c r="M96" s="586"/>
      <c r="N96" s="1152"/>
      <c r="O96" s="1152"/>
      <c r="P96" s="2632"/>
      <c r="Q96" s="504"/>
    </row>
    <row r="97" spans="1:17" ht="14.5" thickBot="1">
      <c r="A97" s="534"/>
      <c r="B97" s="543"/>
      <c r="C97" s="570"/>
      <c r="D97" s="570"/>
      <c r="E97" s="570"/>
      <c r="F97" s="570"/>
      <c r="G97" s="536"/>
      <c r="H97" s="536"/>
      <c r="I97" s="536"/>
      <c r="J97" s="536"/>
      <c r="K97" s="536"/>
      <c r="L97" s="536"/>
      <c r="M97" s="537"/>
      <c r="N97" s="1153"/>
      <c r="O97" s="1153"/>
      <c r="P97" s="2632"/>
      <c r="Q97" s="504"/>
    </row>
    <row r="98" spans="1:17" ht="14.5" thickTop="1">
      <c r="A98" s="534"/>
      <c r="B98" s="546">
        <f>B31</f>
        <v>111</v>
      </c>
      <c r="C98" s="587"/>
      <c r="D98" s="587"/>
      <c r="E98" s="587"/>
      <c r="F98" s="587"/>
      <c r="G98" s="587"/>
      <c r="H98" s="587"/>
      <c r="I98" s="587"/>
      <c r="J98" s="587"/>
      <c r="K98" s="588"/>
      <c r="L98" s="589"/>
      <c r="M98" s="590"/>
      <c r="N98" s="1152"/>
      <c r="O98" s="1152"/>
      <c r="P98" s="2632"/>
      <c r="Q98" s="504"/>
    </row>
    <row r="99" spans="1:17" ht="14.5" thickBot="1">
      <c r="A99" s="2638"/>
      <c r="B99" s="569"/>
      <c r="C99" s="591"/>
      <c r="D99" s="591"/>
      <c r="E99" s="591"/>
      <c r="F99" s="591"/>
      <c r="G99" s="591"/>
      <c r="H99" s="591"/>
      <c r="I99" s="591"/>
      <c r="J99" s="591"/>
      <c r="K99" s="591"/>
      <c r="L99" s="591"/>
      <c r="M99" s="592"/>
      <c r="N99" s="1153"/>
      <c r="O99" s="1153"/>
      <c r="P99" s="2632"/>
      <c r="Q99" s="504"/>
    </row>
    <row r="100" spans="1:17">
      <c r="A100" s="527" t="s">
        <v>2560</v>
      </c>
      <c r="B100" s="528" t="s">
        <v>2609</v>
      </c>
      <c r="C100" s="530"/>
      <c r="D100" s="530"/>
      <c r="E100" s="530"/>
      <c r="F100" s="530"/>
      <c r="G100" s="530"/>
      <c r="H100" s="530"/>
      <c r="I100" s="530"/>
      <c r="J100" s="530"/>
      <c r="K100" s="531"/>
      <c r="L100" s="532"/>
      <c r="M100" s="533"/>
      <c r="N100" s="1152"/>
      <c r="O100" s="1152"/>
      <c r="P100" s="2632"/>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4.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5" thickBot="1">
      <c r="A104" s="553"/>
      <c r="B104" s="543"/>
      <c r="C104" s="560"/>
      <c r="D104" s="536"/>
      <c r="E104" s="536"/>
      <c r="F104" s="536"/>
      <c r="G104" s="536"/>
      <c r="H104" s="536"/>
      <c r="I104" s="536"/>
      <c r="J104" s="536"/>
      <c r="K104" s="536"/>
      <c r="L104" s="536"/>
      <c r="M104" s="536"/>
      <c r="N104" s="1153"/>
      <c r="O104" s="1153"/>
      <c r="P104" s="2633"/>
      <c r="Q104" s="559"/>
    </row>
    <row r="105" spans="1:17" ht="14.5" thickTop="1">
      <c r="A105" s="599"/>
      <c r="B105" s="538" t="s">
        <v>2611</v>
      </c>
      <c r="C105" s="554"/>
      <c r="D105" s="554"/>
      <c r="E105" s="583"/>
      <c r="F105" s="583"/>
      <c r="G105" s="583"/>
      <c r="H105" s="583"/>
      <c r="I105" s="583"/>
      <c r="J105" s="583"/>
      <c r="K105" s="584"/>
      <c r="L105" s="585"/>
      <c r="M105" s="586"/>
      <c r="N105" s="1152"/>
      <c r="O105" s="1152"/>
      <c r="P105" s="2632"/>
      <c r="Q105" s="504"/>
    </row>
    <row r="106" spans="1:17" ht="14.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4.5" thickTop="1">
      <c r="A107" s="599"/>
      <c r="B107" s="538" t="s">
        <v>2612</v>
      </c>
      <c r="C107" s="583"/>
      <c r="D107" s="583"/>
      <c r="E107" s="583"/>
      <c r="F107" s="583"/>
      <c r="G107" s="583"/>
      <c r="H107" s="583"/>
      <c r="I107" s="583"/>
      <c r="J107" s="583"/>
      <c r="K107" s="584"/>
      <c r="L107" s="585"/>
      <c r="M107" s="586"/>
      <c r="N107" s="1152"/>
      <c r="O107" s="1152"/>
      <c r="P107" s="2632"/>
      <c r="Q107" s="504"/>
    </row>
    <row r="108" spans="1:17" ht="14.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4.5" thickTop="1">
      <c r="A109" s="599"/>
      <c r="B109" s="538" t="s">
        <v>2613</v>
      </c>
      <c r="C109" s="554"/>
      <c r="D109" s="554"/>
      <c r="E109" s="554"/>
      <c r="F109" s="583"/>
      <c r="G109" s="583"/>
      <c r="H109" s="583"/>
      <c r="I109" s="583"/>
      <c r="J109" s="583"/>
      <c r="K109" s="584"/>
      <c r="L109" s="585"/>
      <c r="M109" s="586"/>
      <c r="N109" s="1152"/>
      <c r="O109" s="1152"/>
      <c r="P109" s="2632"/>
      <c r="Q109" s="504"/>
    </row>
    <row r="110" spans="1:17" ht="14.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4.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4.5" thickTop="1">
      <c r="A114" s="599"/>
      <c r="B114" s="538" t="s">
        <v>2614</v>
      </c>
      <c r="C114" s="554"/>
      <c r="D114" s="554"/>
      <c r="E114" s="583"/>
      <c r="F114" s="583"/>
      <c r="G114" s="583"/>
      <c r="H114" s="583"/>
      <c r="I114" s="583"/>
      <c r="J114" s="583"/>
      <c r="K114" s="584"/>
      <c r="L114" s="585"/>
      <c r="M114" s="586"/>
      <c r="N114" s="1152"/>
      <c r="O114" s="1152"/>
      <c r="P114" s="2632"/>
      <c r="Q114" s="504"/>
    </row>
    <row r="115" spans="1:17" ht="14.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4.5" thickTop="1">
      <c r="A116" s="599"/>
      <c r="B116" s="538" t="s">
        <v>2615</v>
      </c>
      <c r="C116" s="554"/>
      <c r="D116" s="554"/>
      <c r="E116" s="554"/>
      <c r="F116" s="554"/>
      <c r="G116" s="554"/>
      <c r="H116" s="583"/>
      <c r="I116" s="583"/>
      <c r="J116" s="583"/>
      <c r="K116" s="584"/>
      <c r="L116" s="585"/>
      <c r="M116" s="586"/>
      <c r="N116" s="1152"/>
      <c r="O116" s="1152"/>
      <c r="P116" s="2632"/>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4.5" thickTop="1">
      <c r="A118" s="599"/>
      <c r="B118" s="538" t="s">
        <v>2616</v>
      </c>
      <c r="C118" s="583"/>
      <c r="D118" s="583"/>
      <c r="E118" s="583"/>
      <c r="F118" s="583"/>
      <c r="G118" s="583"/>
      <c r="H118" s="583"/>
      <c r="I118" s="583"/>
      <c r="J118" s="583"/>
      <c r="K118" s="584"/>
      <c r="L118" s="585"/>
      <c r="M118" s="586"/>
      <c r="N118" s="1152"/>
      <c r="O118" s="1152"/>
      <c r="P118" s="2632"/>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9" thickTop="1">
      <c r="A120" s="593"/>
      <c r="B120" s="538" t="s">
        <v>2571</v>
      </c>
      <c r="C120" s="554"/>
      <c r="D120" s="554"/>
      <c r="E120" s="554"/>
      <c r="F120" s="554"/>
      <c r="G120" s="554"/>
      <c r="H120" s="554"/>
      <c r="I120" s="554"/>
      <c r="J120" s="554"/>
      <c r="K120" s="554"/>
      <c r="L120" s="580"/>
      <c r="M120" s="581"/>
      <c r="N120" s="1154"/>
      <c r="O120" s="1154"/>
      <c r="P120" s="2633"/>
      <c r="Q120" s="559"/>
    </row>
    <row r="121" spans="1:17" s="471" customFormat="1" ht="14.5" thickBot="1">
      <c r="A121" s="553"/>
      <c r="B121" s="535"/>
      <c r="C121" s="560"/>
      <c r="D121" s="536"/>
      <c r="E121" s="536"/>
      <c r="F121" s="536"/>
      <c r="G121" s="536"/>
      <c r="H121" s="536"/>
      <c r="I121" s="536"/>
      <c r="J121" s="536"/>
      <c r="K121" s="536"/>
      <c r="L121" s="536"/>
      <c r="M121" s="536"/>
      <c r="N121" s="1154"/>
      <c r="O121" s="1154"/>
      <c r="P121" s="2633"/>
      <c r="Q121" s="559"/>
    </row>
    <row r="122" spans="1:17" ht="14.5" thickTop="1">
      <c r="A122" s="599"/>
      <c r="B122" s="538" t="s">
        <v>2617</v>
      </c>
      <c r="C122" s="554"/>
      <c r="D122" s="554"/>
      <c r="E122" s="554"/>
      <c r="F122" s="583"/>
      <c r="G122" s="583"/>
      <c r="H122" s="583"/>
      <c r="I122" s="583"/>
      <c r="J122" s="583"/>
      <c r="K122" s="584"/>
      <c r="L122" s="585"/>
      <c r="M122" s="586"/>
      <c r="N122" s="1152"/>
      <c r="O122" s="1152"/>
      <c r="P122" s="2632"/>
      <c r="Q122" s="504"/>
    </row>
    <row r="123" spans="1:17" ht="14.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28.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3"/>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3"/>
      <c r="Q127" s="559"/>
    </row>
    <row r="128" spans="1:17" ht="14.5" thickTop="1">
      <c r="A128" s="599"/>
      <c r="B128" s="538">
        <f>B45</f>
        <v>111</v>
      </c>
      <c r="C128" s="554"/>
      <c r="D128" s="554"/>
      <c r="E128" s="554"/>
      <c r="F128" s="554"/>
      <c r="G128" s="583"/>
      <c r="H128" s="583"/>
      <c r="I128" s="583"/>
      <c r="J128" s="583"/>
      <c r="K128" s="584"/>
      <c r="L128" s="585"/>
      <c r="M128" s="586"/>
      <c r="N128" s="1152"/>
      <c r="O128" s="1152"/>
      <c r="P128" s="2632"/>
      <c r="Q128" s="504"/>
    </row>
    <row r="129" spans="1:17" ht="14.5" thickBot="1">
      <c r="A129" s="534"/>
      <c r="B129" s="543"/>
      <c r="C129" s="560"/>
      <c r="D129" s="560"/>
      <c r="E129" s="560"/>
      <c r="F129" s="560"/>
      <c r="G129" s="536"/>
      <c r="H129" s="536"/>
      <c r="I129" s="536"/>
      <c r="J129" s="536"/>
      <c r="K129" s="536"/>
      <c r="L129" s="536"/>
      <c r="M129" s="537"/>
      <c r="N129" s="1153"/>
      <c r="O129" s="1153"/>
      <c r="P129" s="2632"/>
      <c r="Q129" s="504"/>
    </row>
    <row r="130" spans="1:17" ht="14.5" thickTop="1">
      <c r="A130" s="599"/>
      <c r="B130" s="546">
        <f>B46</f>
        <v>111</v>
      </c>
      <c r="C130" s="554"/>
      <c r="D130" s="554"/>
      <c r="E130" s="554"/>
      <c r="F130" s="554"/>
      <c r="G130" s="587"/>
      <c r="H130" s="587"/>
      <c r="I130" s="587"/>
      <c r="J130" s="587"/>
      <c r="K130" s="523"/>
      <c r="L130" s="524"/>
      <c r="M130" s="590"/>
      <c r="N130" s="1152"/>
      <c r="O130" s="1152"/>
      <c r="P130" s="2632"/>
      <c r="Q130" s="504"/>
    </row>
    <row r="131" spans="1:17" ht="14.5" thickBot="1">
      <c r="A131" s="2638"/>
      <c r="B131" s="569"/>
      <c r="C131" s="570"/>
      <c r="D131" s="570"/>
      <c r="E131" s="570"/>
      <c r="F131" s="570"/>
      <c r="G131" s="591"/>
      <c r="H131" s="591"/>
      <c r="I131" s="591"/>
      <c r="J131" s="591"/>
      <c r="K131" s="591"/>
      <c r="L131" s="591"/>
      <c r="M131" s="592"/>
      <c r="N131" s="1153"/>
      <c r="O131" s="1153"/>
      <c r="P131" s="2632"/>
      <c r="Q131" s="504"/>
    </row>
    <row r="136" spans="1:17" ht="14.5" thickBot="1">
      <c r="B136" s="2639" t="s">
        <v>2619</v>
      </c>
    </row>
    <row r="137" spans="1:17" ht="15.5">
      <c r="B137" s="2640" t="s">
        <v>2620</v>
      </c>
      <c r="C137" s="2641"/>
      <c r="D137" s="2641"/>
      <c r="E137" s="2641"/>
      <c r="F137" s="2641"/>
      <c r="G137" s="2642"/>
      <c r="H137" s="2643"/>
      <c r="I137" s="2644" t="s">
        <v>2621</v>
      </c>
      <c r="J137" s="2641"/>
      <c r="K137" s="2645"/>
    </row>
    <row r="138" spans="1:17" ht="15.5">
      <c r="B138" s="2646"/>
      <c r="C138" s="146" t="s">
        <v>2622</v>
      </c>
      <c r="D138" s="146" t="s">
        <v>2623</v>
      </c>
      <c r="E138" s="2647" t="s">
        <v>2624</v>
      </c>
      <c r="F138" s="2648" t="s">
        <v>2625</v>
      </c>
      <c r="G138" s="146" t="s">
        <v>2623</v>
      </c>
      <c r="H138" s="147" t="s">
        <v>2624</v>
      </c>
      <c r="I138" s="2649"/>
      <c r="J138" s="146" t="s">
        <v>2626</v>
      </c>
      <c r="K138" s="147" t="s">
        <v>2627</v>
      </c>
    </row>
    <row r="139" spans="1:17" ht="15.5">
      <c r="B139" s="1084">
        <v>6</v>
      </c>
      <c r="C139" s="1085">
        <v>96</v>
      </c>
      <c r="D139" s="2650" t="s">
        <v>2628</v>
      </c>
      <c r="E139" s="1086">
        <v>100</v>
      </c>
      <c r="F139" s="1087">
        <v>102.5</v>
      </c>
      <c r="G139" s="2650" t="s">
        <v>2628</v>
      </c>
      <c r="H139" s="1088">
        <v>105</v>
      </c>
      <c r="I139" s="2651" t="s">
        <v>2629</v>
      </c>
      <c r="J139" s="1085">
        <v>20</v>
      </c>
      <c r="K139" s="1089">
        <f>C145/(J139-2)</f>
        <v>4.0555555555555553E-3</v>
      </c>
    </row>
    <row r="140" spans="1:17" ht="15.5">
      <c r="B140" s="1090">
        <v>5</v>
      </c>
      <c r="C140" s="1091">
        <v>100</v>
      </c>
      <c r="D140" s="1091"/>
      <c r="E140" s="1092"/>
      <c r="F140" s="1093">
        <v>102</v>
      </c>
      <c r="G140" s="1091"/>
      <c r="H140" s="1094"/>
      <c r="I140" s="2652" t="s">
        <v>2630</v>
      </c>
      <c r="J140" s="315">
        <f>ROUNDUP((J139-1)/2,0)</f>
        <v>10</v>
      </c>
      <c r="K140" s="1095">
        <v>100</v>
      </c>
    </row>
    <row r="141" spans="1:17" ht="15.5">
      <c r="B141" s="1090">
        <v>4</v>
      </c>
      <c r="C141" s="1091">
        <v>102</v>
      </c>
      <c r="D141" s="1091"/>
      <c r="E141" s="1092"/>
      <c r="F141" s="1093">
        <v>101.5</v>
      </c>
      <c r="G141" s="1091"/>
      <c r="H141" s="1094"/>
      <c r="I141" s="2652" t="s">
        <v>2631</v>
      </c>
      <c r="J141" s="315">
        <v>1</v>
      </c>
      <c r="K141" s="1096">
        <f>ROUND(100+(J141-J140)*K139*100,1)</f>
        <v>96.4</v>
      </c>
    </row>
    <row r="142" spans="1:17" ht="15.5">
      <c r="B142" s="1090">
        <v>3</v>
      </c>
      <c r="C142" s="1091">
        <v>103</v>
      </c>
      <c r="D142" s="1091"/>
      <c r="E142" s="1092"/>
      <c r="F142" s="1093">
        <v>101</v>
      </c>
      <c r="G142" s="1091"/>
      <c r="H142" s="1094"/>
      <c r="I142" s="2652" t="s">
        <v>2632</v>
      </c>
      <c r="J142" s="315">
        <f>J139</f>
        <v>20</v>
      </c>
      <c r="K142" s="1097">
        <v>95</v>
      </c>
    </row>
    <row r="143" spans="1:17" ht="15.5">
      <c r="B143" s="1090">
        <v>2</v>
      </c>
      <c r="C143" s="1091">
        <v>100</v>
      </c>
      <c r="D143" s="1091"/>
      <c r="E143" s="1092"/>
      <c r="F143" s="1093">
        <v>100.5</v>
      </c>
      <c r="G143" s="1091"/>
      <c r="H143" s="1094"/>
      <c r="I143" s="2652" t="s">
        <v>2633</v>
      </c>
      <c r="J143" s="1091">
        <v>15</v>
      </c>
      <c r="K143" s="1096">
        <f>ROUND(100+(J143-J140)*K139*100,1)</f>
        <v>102</v>
      </c>
    </row>
    <row r="144" spans="1:17" ht="15.5">
      <c r="B144" s="1090">
        <v>1</v>
      </c>
      <c r="C144" s="1091">
        <v>98</v>
      </c>
      <c r="D144" s="2653" t="s">
        <v>2634</v>
      </c>
      <c r="E144" s="1092">
        <v>102</v>
      </c>
      <c r="F144" s="1098">
        <v>100</v>
      </c>
      <c r="G144" s="2653" t="s">
        <v>2634</v>
      </c>
      <c r="H144" s="1094">
        <v>105</v>
      </c>
      <c r="I144" s="2652" t="s">
        <v>2633</v>
      </c>
      <c r="J144" s="1091">
        <v>18</v>
      </c>
      <c r="K144" s="1096">
        <f>ROUND(100+(J144-J140)*K139*100,1)</f>
        <v>103.2</v>
      </c>
    </row>
    <row r="145" spans="2:11" ht="16" thickBot="1">
      <c r="B145" s="2654" t="s">
        <v>2635</v>
      </c>
      <c r="C145" s="1099">
        <f>ROUND(MAX(C139:C144)/MIN(C139:C144)-1,3)</f>
        <v>7.2999999999999995E-2</v>
      </c>
      <c r="D145" s="1100"/>
      <c r="E145" s="1100"/>
      <c r="F145" s="2655" t="s">
        <v>2636</v>
      </c>
      <c r="G145" s="2656"/>
      <c r="H145" s="2657"/>
      <c r="I145" s="2658" t="s">
        <v>2633</v>
      </c>
      <c r="J145" s="1101">
        <v>8</v>
      </c>
      <c r="K145" s="1102">
        <f>ROUND(100+(J145-J140)*K139*100,1)</f>
        <v>99.2</v>
      </c>
    </row>
    <row r="147" spans="2:11">
      <c r="B147" s="2639" t="s">
        <v>2637</v>
      </c>
    </row>
    <row r="148" spans="2:11">
      <c r="B148" s="263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3" customWidth="1"/>
    <col min="2" max="2" width="15.81640625" style="403" customWidth="1"/>
    <col min="3" max="3" width="15.0898437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2626"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2525</v>
      </c>
      <c r="B1" s="2584" t="s">
        <v>2639</v>
      </c>
      <c r="C1" s="1634" t="s">
        <v>2527</v>
      </c>
      <c r="D1" s="1621"/>
      <c r="E1" s="2659"/>
      <c r="F1" s="2586"/>
      <c r="G1" s="1631" t="s">
        <v>2640</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2327</v>
      </c>
      <c r="B2" s="1418" t="e">
        <f ca="1">IF(C2="——",ROUND(C49*D3/10000,0),ROUND(C49*D3/10000,0)-D2)</f>
        <v>#DIV/0!</v>
      </c>
      <c r="C2" s="2588"/>
      <c r="D2" s="1365"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t="e">
        <f ca="1">IF(C2="——",C49,ROUND(B2*10000/D3,0))</f>
        <v>#DIV/0!</v>
      </c>
      <c r="C3" s="400" t="s">
        <v>2641</v>
      </c>
      <c r="D3" s="399">
        <f>IF(D1="",'数据-汇总表'!E3,SUMIF('数据-汇总表'!$C19:$C33,D1,'数据-汇总表'!$E19:$E33))</f>
        <v>70116</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c r="A4" s="401" t="s">
        <v>2642</v>
      </c>
      <c r="B4" s="402"/>
      <c r="C4" s="3199" t="s">
        <v>2643</v>
      </c>
      <c r="D4" s="3200"/>
      <c r="E4" s="3201" t="s">
        <v>2644</v>
      </c>
      <c r="F4" s="3202"/>
      <c r="G4" s="3199" t="s">
        <v>2645</v>
      </c>
      <c r="H4" s="3200"/>
      <c r="I4" s="3199" t="s">
        <v>2646</v>
      </c>
      <c r="J4" s="3200"/>
      <c r="K4" s="610" t="s">
        <v>2647</v>
      </c>
      <c r="L4" s="1130"/>
      <c r="M4" s="1131"/>
      <c r="N4" s="1131"/>
      <c r="O4" s="1131"/>
      <c r="P4" s="3203" t="s">
        <v>2648</v>
      </c>
      <c r="Q4" s="3204"/>
      <c r="R4" s="3186" t="s">
        <v>2644</v>
      </c>
      <c r="S4" s="3187"/>
      <c r="T4" s="3186" t="s">
        <v>2645</v>
      </c>
      <c r="U4" s="3187"/>
      <c r="V4" s="3211" t="s">
        <v>2646</v>
      </c>
      <c r="W4" s="3211"/>
      <c r="X4" s="1813"/>
      <c r="Y4" s="3186" t="s">
        <v>2648</v>
      </c>
      <c r="Z4" s="3187"/>
      <c r="AA4" s="3181" t="s">
        <v>2644</v>
      </c>
      <c r="AB4" s="3211" t="s">
        <v>2645</v>
      </c>
      <c r="AC4" s="3181" t="s">
        <v>2646</v>
      </c>
    </row>
    <row r="5" spans="1:29">
      <c r="A5" s="404"/>
      <c r="B5" s="405"/>
      <c r="C5" s="3192" t="s">
        <v>2539</v>
      </c>
      <c r="D5" s="3193"/>
      <c r="E5" s="3190" t="s">
        <v>2540</v>
      </c>
      <c r="F5" s="3191"/>
      <c r="G5" s="3192" t="s">
        <v>2541</v>
      </c>
      <c r="H5" s="3193"/>
      <c r="I5" s="3192" t="s">
        <v>2542</v>
      </c>
      <c r="J5" s="3193"/>
      <c r="K5" s="610"/>
      <c r="L5" s="1130"/>
      <c r="M5" s="1131"/>
      <c r="N5" s="1131"/>
      <c r="O5" s="1131"/>
      <c r="P5" s="3205"/>
      <c r="Q5" s="3206"/>
      <c r="R5" s="3188"/>
      <c r="S5" s="3189"/>
      <c r="T5" s="3188"/>
      <c r="U5" s="3189"/>
      <c r="V5" s="3211"/>
      <c r="W5" s="3211"/>
      <c r="X5" s="1813"/>
      <c r="Y5" s="3188"/>
      <c r="Z5" s="3189"/>
      <c r="AA5" s="3182"/>
      <c r="AB5" s="3211"/>
      <c r="AC5" s="3182"/>
    </row>
    <row r="6" spans="1:29" ht="15" thickBot="1">
      <c r="A6" s="406"/>
      <c r="B6" s="407"/>
      <c r="C6" s="3194" t="s">
        <v>2543</v>
      </c>
      <c r="D6" s="3195"/>
      <c r="E6" s="3196" t="s">
        <v>2543</v>
      </c>
      <c r="F6" s="3197"/>
      <c r="G6" s="3194" t="s">
        <v>2543</v>
      </c>
      <c r="H6" s="3195"/>
      <c r="I6" s="3194" t="s">
        <v>2543</v>
      </c>
      <c r="J6" s="3195"/>
      <c r="K6" s="610" t="s">
        <v>2544</v>
      </c>
      <c r="L6" s="1130"/>
      <c r="M6" s="1131"/>
      <c r="N6" s="1131"/>
      <c r="O6" s="1131"/>
      <c r="P6" s="3207"/>
      <c r="Q6" s="3208"/>
      <c r="R6" s="3188"/>
      <c r="S6" s="3189"/>
      <c r="T6" s="3209"/>
      <c r="U6" s="3210"/>
      <c r="V6" s="3211"/>
      <c r="W6" s="3211"/>
      <c r="X6" s="1813"/>
      <c r="Y6" s="3209"/>
      <c r="Z6" s="3210"/>
      <c r="AA6" s="3183"/>
      <c r="AB6" s="3211"/>
      <c r="AC6" s="3183"/>
    </row>
    <row r="7" spans="1:29" s="117" customFormat="1" ht="14.5" thickBot="1">
      <c r="A7" s="408" t="s">
        <v>2545</v>
      </c>
      <c r="B7" s="409"/>
      <c r="C7" s="410">
        <f>'数据-取费表'!B2</f>
        <v>43868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2546</v>
      </c>
      <c r="Q7" s="3212"/>
      <c r="R7" s="770" t="s">
        <v>17</v>
      </c>
      <c r="S7" s="771">
        <f t="shared" ref="S7:S15" si="0">F7</f>
        <v>0</v>
      </c>
      <c r="T7" s="770" t="s">
        <v>17</v>
      </c>
      <c r="U7" s="771">
        <f t="shared" ref="U7:U15" si="1">H7</f>
        <v>0</v>
      </c>
      <c r="V7" s="770" t="s">
        <v>17</v>
      </c>
      <c r="W7" s="771">
        <f t="shared" ref="W7:W15" si="2">J7</f>
        <v>0</v>
      </c>
      <c r="X7" s="772"/>
      <c r="Y7" s="3184" t="s">
        <v>2546</v>
      </c>
      <c r="Z7" s="3185"/>
      <c r="AA7" s="773" t="e">
        <f>D7/F7</f>
        <v>#DIV/0!</v>
      </c>
      <c r="AB7" s="773" t="e">
        <f>D7/H7</f>
        <v>#DIV/0!</v>
      </c>
      <c r="AC7" s="773" t="e">
        <f>D7/J7</f>
        <v>#DIV/0!</v>
      </c>
    </row>
    <row r="8" spans="1:29" s="117" customFormat="1" ht="14.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2549</v>
      </c>
      <c r="Q8" s="3185"/>
      <c r="R8" s="770" t="s">
        <v>17</v>
      </c>
      <c r="S8" s="771">
        <f t="shared" si="0"/>
        <v>0</v>
      </c>
      <c r="T8" s="770" t="s">
        <v>17</v>
      </c>
      <c r="U8" s="771">
        <f t="shared" si="1"/>
        <v>0</v>
      </c>
      <c r="V8" s="770" t="s">
        <v>17</v>
      </c>
      <c r="W8" s="771">
        <f t="shared" si="2"/>
        <v>0</v>
      </c>
      <c r="X8" s="772"/>
      <c r="Y8" s="3184" t="s">
        <v>2549</v>
      </c>
      <c r="Z8" s="3185"/>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8" t="s">
        <v>2552</v>
      </c>
      <c r="Q9" s="1795" t="str">
        <f t="shared" ref="Q9:Q15" si="6">B9</f>
        <v>用途</v>
      </c>
      <c r="R9" s="770" t="s">
        <v>17</v>
      </c>
      <c r="S9" s="771">
        <f t="shared" si="0"/>
        <v>100</v>
      </c>
      <c r="T9" s="770" t="s">
        <v>17</v>
      </c>
      <c r="U9" s="771">
        <f t="shared" si="1"/>
        <v>100</v>
      </c>
      <c r="V9" s="770" t="s">
        <v>17</v>
      </c>
      <c r="W9" s="771">
        <f t="shared" si="2"/>
        <v>100</v>
      </c>
      <c r="X9" s="772"/>
      <c r="Y9" s="3031" t="s">
        <v>2553</v>
      </c>
      <c r="Z9" s="55" t="str">
        <f t="shared" ref="Z9:Z15" si="7">Q9</f>
        <v>用途</v>
      </c>
      <c r="AA9" s="773">
        <f t="shared" si="3"/>
        <v>1</v>
      </c>
      <c r="AB9" s="773">
        <f t="shared" si="4"/>
        <v>1</v>
      </c>
      <c r="AC9" s="773">
        <f t="shared" si="5"/>
        <v>1</v>
      </c>
    </row>
    <row r="10" spans="1:29" s="427" customFormat="1" ht="2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8"/>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8"/>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8"/>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8"/>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8"/>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0">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5" t="s">
        <v>2557</v>
      </c>
      <c r="Q15" s="1810" t="str">
        <f t="shared" si="6"/>
        <v>商业繁华度</v>
      </c>
      <c r="R15" s="774" t="s">
        <v>17</v>
      </c>
      <c r="S15" s="775">
        <f t="shared" si="0"/>
        <v>100</v>
      </c>
      <c r="T15" s="774" t="s">
        <v>17</v>
      </c>
      <c r="U15" s="775">
        <f t="shared" si="1"/>
        <v>100</v>
      </c>
      <c r="V15" s="774" t="s">
        <v>17</v>
      </c>
      <c r="W15" s="775">
        <f t="shared" si="2"/>
        <v>100</v>
      </c>
      <c r="X15" s="1813"/>
      <c r="Y15" s="3218" t="s">
        <v>2557</v>
      </c>
      <c r="Z15" s="1814" t="str">
        <f t="shared" si="7"/>
        <v>商业繁华度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1"/>
      <c r="P16" s="3226"/>
      <c r="Q16" s="1810"/>
      <c r="R16" s="774"/>
      <c r="S16" s="775"/>
      <c r="T16" s="774"/>
      <c r="U16" s="775"/>
      <c r="V16" s="774"/>
      <c r="W16" s="775"/>
      <c r="X16" s="1813"/>
      <c r="Y16" s="3219"/>
      <c r="Z16" s="1814"/>
      <c r="AA16" s="1811">
        <v>1</v>
      </c>
      <c r="AB16" s="1811">
        <v>1</v>
      </c>
      <c r="AC16" s="1811">
        <v>1</v>
      </c>
    </row>
    <row r="17" spans="1:29" ht="84">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6"/>
      <c r="Q17" s="1810" t="str">
        <f>B17</f>
        <v>交通便捷度</v>
      </c>
      <c r="R17" s="774" t="s">
        <v>17</v>
      </c>
      <c r="S17" s="775">
        <f>F17</f>
        <v>100</v>
      </c>
      <c r="T17" s="774" t="s">
        <v>17</v>
      </c>
      <c r="U17" s="775">
        <f>H17</f>
        <v>100</v>
      </c>
      <c r="V17" s="774" t="s">
        <v>17</v>
      </c>
      <c r="W17" s="775">
        <f>J17</f>
        <v>100</v>
      </c>
      <c r="X17" s="1813"/>
      <c r="Y17" s="3219"/>
      <c r="Z17" s="1814" t="str">
        <f>Q17</f>
        <v>交通便捷度</v>
      </c>
      <c r="AA17" s="1811">
        <f t="shared" si="3"/>
        <v>1</v>
      </c>
      <c r="AB17" s="1811">
        <f t="shared" si="4"/>
        <v>1</v>
      </c>
      <c r="AC17" s="1811">
        <f t="shared" si="5"/>
        <v>1</v>
      </c>
    </row>
    <row r="18" spans="1:29" ht="15.5">
      <c r="A18" s="428"/>
      <c r="B18" s="456"/>
      <c r="C18" s="2610"/>
      <c r="D18" s="450"/>
      <c r="E18" s="2612"/>
      <c r="F18" s="453"/>
      <c r="G18" s="2611"/>
      <c r="H18" s="448"/>
      <c r="I18" s="2612"/>
      <c r="J18" s="448"/>
      <c r="K18" s="615"/>
      <c r="L18" s="1140"/>
      <c r="M18" s="1131"/>
      <c r="N18" s="1131"/>
      <c r="O18" s="1131"/>
      <c r="P18" s="3226"/>
      <c r="Q18" s="1810"/>
      <c r="R18" s="774"/>
      <c r="S18" s="775"/>
      <c r="T18" s="774"/>
      <c r="U18" s="775"/>
      <c r="V18" s="774"/>
      <c r="W18" s="775"/>
      <c r="X18" s="1813"/>
      <c r="Y18" s="3219"/>
      <c r="Z18" s="1814"/>
      <c r="AA18" s="1811">
        <v>1</v>
      </c>
      <c r="AB18" s="1811">
        <v>1</v>
      </c>
      <c r="AC18" s="1811">
        <v>1</v>
      </c>
    </row>
    <row r="19" spans="1:29" ht="42">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6"/>
      <c r="Q19" s="1810" t="str">
        <f>B19</f>
        <v>公共配套设施</v>
      </c>
      <c r="R19" s="774" t="s">
        <v>17</v>
      </c>
      <c r="S19" s="775">
        <f>F19</f>
        <v>100</v>
      </c>
      <c r="T19" s="774" t="s">
        <v>17</v>
      </c>
      <c r="U19" s="775">
        <f>H19</f>
        <v>100</v>
      </c>
      <c r="V19" s="774" t="s">
        <v>17</v>
      </c>
      <c r="W19" s="775">
        <f>J19</f>
        <v>100</v>
      </c>
      <c r="X19" s="1813"/>
      <c r="Y19" s="3219"/>
      <c r="Z19" s="1814" t="str">
        <f>Q19</f>
        <v>公共配套设施</v>
      </c>
      <c r="AA19" s="1811">
        <f t="shared" si="3"/>
        <v>1</v>
      </c>
      <c r="AB19" s="1811">
        <f t="shared" si="4"/>
        <v>1</v>
      </c>
      <c r="AC19" s="1811">
        <f t="shared" si="5"/>
        <v>1</v>
      </c>
    </row>
    <row r="20" spans="1:29" ht="15.5">
      <c r="A20" s="428"/>
      <c r="B20" s="456"/>
      <c r="C20" s="447"/>
      <c r="D20" s="448"/>
      <c r="E20" s="2607"/>
      <c r="F20" s="449"/>
      <c r="G20" s="2606"/>
      <c r="H20" s="448"/>
      <c r="I20" s="2607"/>
      <c r="J20" s="448"/>
      <c r="K20" s="615"/>
      <c r="L20" s="1140"/>
      <c r="M20" s="1131"/>
      <c r="N20" s="1131"/>
      <c r="O20" s="1131"/>
      <c r="P20" s="3226"/>
      <c r="Q20" s="1810"/>
      <c r="R20" s="774"/>
      <c r="S20" s="775"/>
      <c r="T20" s="774"/>
      <c r="U20" s="775"/>
      <c r="V20" s="774"/>
      <c r="W20" s="775"/>
      <c r="X20" s="1813"/>
      <c r="Y20" s="3219"/>
      <c r="Z20" s="1814"/>
      <c r="AA20" s="1811">
        <v>1</v>
      </c>
      <c r="AB20" s="1811">
        <v>1</v>
      </c>
      <c r="AC20" s="1811">
        <v>1</v>
      </c>
    </row>
    <row r="21" spans="1:29" ht="28">
      <c r="A21" s="428"/>
      <c r="B21" s="1384"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6"/>
      <c r="Q21" s="1810" t="str">
        <f>B21</f>
        <v>基础设施水平</v>
      </c>
      <c r="R21" s="774" t="s">
        <v>17</v>
      </c>
      <c r="S21" s="775">
        <f>F21</f>
        <v>100</v>
      </c>
      <c r="T21" s="774" t="s">
        <v>17</v>
      </c>
      <c r="U21" s="775">
        <f>H21</f>
        <v>100</v>
      </c>
      <c r="V21" s="774" t="s">
        <v>17</v>
      </c>
      <c r="W21" s="775">
        <f>J21</f>
        <v>100</v>
      </c>
      <c r="X21" s="1813"/>
      <c r="Y21" s="3219"/>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9"/>
      <c r="G22" s="447"/>
      <c r="H22" s="448"/>
      <c r="I22" s="447"/>
      <c r="J22" s="448"/>
      <c r="K22" s="1383"/>
      <c r="L22" s="1140"/>
      <c r="M22" s="1131"/>
      <c r="N22" s="1131"/>
      <c r="O22" s="1131"/>
      <c r="P22" s="3226"/>
      <c r="Q22" s="1810"/>
      <c r="R22" s="774"/>
      <c r="S22" s="775"/>
      <c r="T22" s="774"/>
      <c r="U22" s="775"/>
      <c r="V22" s="774"/>
      <c r="W22" s="775"/>
      <c r="X22" s="1813"/>
      <c r="Y22" s="3219"/>
      <c r="Z22" s="1814"/>
      <c r="AA22" s="1811">
        <v>1</v>
      </c>
      <c r="AB22" s="1811">
        <v>1</v>
      </c>
      <c r="AC22" s="1811">
        <v>1</v>
      </c>
    </row>
    <row r="23" spans="1:29" ht="56">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6"/>
      <c r="Q23" s="1810" t="str">
        <f>B23</f>
        <v>自然及人文环境</v>
      </c>
      <c r="R23" s="774" t="s">
        <v>17</v>
      </c>
      <c r="S23" s="775">
        <f>F23</f>
        <v>100</v>
      </c>
      <c r="T23" s="774" t="s">
        <v>17</v>
      </c>
      <c r="U23" s="775">
        <f>H23</f>
        <v>100</v>
      </c>
      <c r="V23" s="774" t="s">
        <v>17</v>
      </c>
      <c r="W23" s="775">
        <f>J23</f>
        <v>100</v>
      </c>
      <c r="X23" s="1813"/>
      <c r="Y23" s="3219"/>
      <c r="Z23" s="1814" t="str">
        <f>Q23</f>
        <v>自然及人文环境</v>
      </c>
      <c r="AA23" s="1811">
        <f t="shared" si="3"/>
        <v>1</v>
      </c>
      <c r="AB23" s="1811">
        <f t="shared" si="4"/>
        <v>1</v>
      </c>
      <c r="AC23" s="1811">
        <f t="shared" si="5"/>
        <v>1</v>
      </c>
    </row>
    <row r="24" spans="1:29" ht="15.5">
      <c r="A24" s="428"/>
      <c r="B24" s="456"/>
      <c r="C24" s="447"/>
      <c r="D24" s="448"/>
      <c r="E24" s="2607"/>
      <c r="F24" s="449"/>
      <c r="G24" s="2606"/>
      <c r="H24" s="448"/>
      <c r="I24" s="2607"/>
      <c r="J24" s="448"/>
      <c r="K24" s="615"/>
      <c r="L24" s="1140"/>
      <c r="M24" s="1131"/>
      <c r="N24" s="1131"/>
      <c r="O24" s="1131"/>
      <c r="P24" s="3226"/>
      <c r="Q24" s="1810"/>
      <c r="R24" s="774"/>
      <c r="S24" s="775"/>
      <c r="T24" s="774"/>
      <c r="U24" s="775"/>
      <c r="V24" s="774"/>
      <c r="W24" s="775"/>
      <c r="X24" s="1813"/>
      <c r="Y24" s="3219"/>
      <c r="Z24" s="1814"/>
      <c r="AA24" s="1811">
        <v>1</v>
      </c>
      <c r="AB24" s="1811">
        <v>1</v>
      </c>
      <c r="AC24" s="1811">
        <v>1</v>
      </c>
    </row>
    <row r="25" spans="1:29" ht="15.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6"/>
      <c r="Q25" s="1810" t="str">
        <f t="shared" ref="Q25:Q46" si="11">B25</f>
        <v>临街状况</v>
      </c>
      <c r="R25" s="774" t="s">
        <v>17</v>
      </c>
      <c r="S25" s="775">
        <f>F25</f>
        <v>100</v>
      </c>
      <c r="T25" s="774" t="s">
        <v>17</v>
      </c>
      <c r="U25" s="775">
        <f>H25</f>
        <v>100</v>
      </c>
      <c r="V25" s="774" t="s">
        <v>17</v>
      </c>
      <c r="W25" s="775">
        <f>J25</f>
        <v>100</v>
      </c>
      <c r="X25" s="1813"/>
      <c r="Y25" s="3219"/>
      <c r="Z25" s="1814" t="str">
        <f>Q25</f>
        <v>临街状况</v>
      </c>
      <c r="AA25" s="1811">
        <f t="shared" si="3"/>
        <v>1</v>
      </c>
      <c r="AB25" s="1811">
        <f t="shared" si="4"/>
        <v>1</v>
      </c>
      <c r="AC25" s="1811">
        <f t="shared" si="5"/>
        <v>1</v>
      </c>
    </row>
    <row r="26" spans="1:29" ht="15.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6"/>
      <c r="Q26" s="1810" t="str">
        <f t="shared" si="11"/>
        <v>平面位置/可视性</v>
      </c>
      <c r="R26" s="774" t="s">
        <v>17</v>
      </c>
      <c r="S26" s="775">
        <f>F26</f>
        <v>100</v>
      </c>
      <c r="T26" s="774" t="s">
        <v>17</v>
      </c>
      <c r="U26" s="775">
        <f>H26</f>
        <v>100</v>
      </c>
      <c r="V26" s="774" t="s">
        <v>17</v>
      </c>
      <c r="W26" s="775">
        <f>J26</f>
        <v>100</v>
      </c>
      <c r="X26" s="1813"/>
      <c r="Y26" s="3219"/>
      <c r="Z26" s="1814" t="str">
        <f>Q26</f>
        <v>平面位置/可视性</v>
      </c>
      <c r="AA26" s="1811">
        <f t="shared" si="3"/>
        <v>1</v>
      </c>
      <c r="AB26" s="1811">
        <f t="shared" si="4"/>
        <v>1</v>
      </c>
      <c r="AC26" s="1811">
        <f t="shared" si="5"/>
        <v>1</v>
      </c>
    </row>
    <row r="27" spans="1:29" s="117" customFormat="1" ht="15.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26"/>
      <c r="Q27" s="1795" t="str">
        <f t="shared" si="11"/>
        <v>人流量</v>
      </c>
      <c r="R27" s="770" t="s">
        <v>17</v>
      </c>
      <c r="S27" s="771">
        <f>F27</f>
        <v>100</v>
      </c>
      <c r="T27" s="770" t="s">
        <v>17</v>
      </c>
      <c r="U27" s="771">
        <f>H27</f>
        <v>100</v>
      </c>
      <c r="V27" s="770" t="s">
        <v>17</v>
      </c>
      <c r="W27" s="771">
        <f>J27</f>
        <v>100</v>
      </c>
      <c r="X27" s="772"/>
      <c r="Y27" s="3219"/>
      <c r="Z27" s="55" t="str">
        <f>Q27</f>
        <v>人流量</v>
      </c>
      <c r="AA27" s="1811">
        <f>D27/F27</f>
        <v>1</v>
      </c>
      <c r="AB27" s="1811">
        <f>D27/H27</f>
        <v>1</v>
      </c>
      <c r="AC27" s="1811">
        <f>D27/J27</f>
        <v>1</v>
      </c>
    </row>
    <row r="28" spans="1:29" ht="15.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9"/>
      <c r="Z28" s="1814" t="str">
        <f t="shared" ref="Z28:Z46" si="15">Q28</f>
        <v>楼层</v>
      </c>
      <c r="AA28" s="1811">
        <f t="shared" si="3"/>
        <v>1</v>
      </c>
      <c r="AB28" s="1811">
        <f t="shared" si="4"/>
        <v>1</v>
      </c>
      <c r="AC28" s="1811">
        <f t="shared" si="5"/>
        <v>1</v>
      </c>
    </row>
    <row r="29" spans="1:29" ht="15.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6"/>
      <c r="Q29" s="1810">
        <f t="shared" si="11"/>
        <v>111</v>
      </c>
      <c r="R29" s="774" t="s">
        <v>17</v>
      </c>
      <c r="S29" s="775">
        <f t="shared" si="12"/>
        <v>100</v>
      </c>
      <c r="T29" s="774" t="s">
        <v>17</v>
      </c>
      <c r="U29" s="775">
        <f t="shared" si="13"/>
        <v>100</v>
      </c>
      <c r="V29" s="774" t="s">
        <v>17</v>
      </c>
      <c r="W29" s="775">
        <f t="shared" si="14"/>
        <v>100</v>
      </c>
      <c r="X29" s="1813"/>
      <c r="Y29" s="3219"/>
      <c r="Z29" s="1814">
        <f t="shared" si="15"/>
        <v>111</v>
      </c>
      <c r="AA29" s="1811">
        <f t="shared" si="3"/>
        <v>1</v>
      </c>
      <c r="AB29" s="1811">
        <f t="shared" si="4"/>
        <v>1</v>
      </c>
      <c r="AC29" s="1811">
        <f t="shared" si="5"/>
        <v>1</v>
      </c>
    </row>
    <row r="30" spans="1:29" ht="15.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6"/>
      <c r="Q30" s="1810">
        <f t="shared" si="11"/>
        <v>111</v>
      </c>
      <c r="R30" s="774" t="s">
        <v>17</v>
      </c>
      <c r="S30" s="775">
        <f t="shared" si="12"/>
        <v>100</v>
      </c>
      <c r="T30" s="774" t="s">
        <v>17</v>
      </c>
      <c r="U30" s="775">
        <f t="shared" si="13"/>
        <v>100</v>
      </c>
      <c r="V30" s="774" t="s">
        <v>17</v>
      </c>
      <c r="W30" s="775">
        <f t="shared" si="14"/>
        <v>100</v>
      </c>
      <c r="X30" s="1813"/>
      <c r="Y30" s="3219"/>
      <c r="Z30" s="1814">
        <f t="shared" si="15"/>
        <v>111</v>
      </c>
      <c r="AA30" s="1811">
        <f t="shared" si="3"/>
        <v>1</v>
      </c>
      <c r="AB30" s="1811">
        <f t="shared" si="4"/>
        <v>1</v>
      </c>
      <c r="AC30" s="1811">
        <f t="shared" si="5"/>
        <v>1</v>
      </c>
    </row>
    <row r="31" spans="1:29" ht="1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6"/>
      <c r="Q31" s="1810">
        <f t="shared" si="11"/>
        <v>111</v>
      </c>
      <c r="R31" s="774" t="s">
        <v>17</v>
      </c>
      <c r="S31" s="775">
        <f t="shared" si="12"/>
        <v>100</v>
      </c>
      <c r="T31" s="774" t="s">
        <v>17</v>
      </c>
      <c r="U31" s="775">
        <f t="shared" si="13"/>
        <v>100</v>
      </c>
      <c r="V31" s="774" t="s">
        <v>17</v>
      </c>
      <c r="W31" s="775">
        <f t="shared" si="14"/>
        <v>100</v>
      </c>
      <c r="X31" s="1813"/>
      <c r="Y31" s="3219"/>
      <c r="Z31" s="1814">
        <f t="shared" si="15"/>
        <v>111</v>
      </c>
      <c r="AA31" s="1811">
        <f t="shared" si="3"/>
        <v>1</v>
      </c>
      <c r="AB31" s="1811">
        <f t="shared" si="4"/>
        <v>1</v>
      </c>
      <c r="AC31" s="1811">
        <f t="shared" si="5"/>
        <v>1</v>
      </c>
    </row>
    <row r="32" spans="1:29" ht="15.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20" t="s">
        <v>2562</v>
      </c>
      <c r="Q32" s="1810" t="str">
        <f t="shared" si="11"/>
        <v>商业类型</v>
      </c>
      <c r="R32" s="774" t="s">
        <v>17</v>
      </c>
      <c r="S32" s="775">
        <f t="shared" si="12"/>
        <v>100</v>
      </c>
      <c r="T32" s="774" t="s">
        <v>17</v>
      </c>
      <c r="U32" s="775">
        <f t="shared" si="13"/>
        <v>100</v>
      </c>
      <c r="V32" s="774" t="s">
        <v>17</v>
      </c>
      <c r="W32" s="775">
        <f t="shared" si="14"/>
        <v>100</v>
      </c>
      <c r="X32" s="1813"/>
      <c r="Y32" s="3223" t="s">
        <v>2562</v>
      </c>
      <c r="Z32" s="1814" t="str">
        <f t="shared" si="15"/>
        <v>商业类型</v>
      </c>
      <c r="AA32" s="1811">
        <f t="shared" si="3"/>
        <v>1</v>
      </c>
      <c r="AB32" s="1811">
        <f t="shared" si="4"/>
        <v>1</v>
      </c>
      <c r="AC32" s="1811">
        <f t="shared" si="5"/>
        <v>1</v>
      </c>
    </row>
    <row r="33" spans="1:29" s="471" customFormat="1" ht="15.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1"/>
      <c r="Q33" s="776" t="str">
        <f t="shared" si="11"/>
        <v>项目建筑规模</v>
      </c>
      <c r="R33" s="777" t="s">
        <v>17</v>
      </c>
      <c r="S33" s="778" t="e">
        <f t="shared" si="12"/>
        <v>#N/A</v>
      </c>
      <c r="T33" s="777" t="s">
        <v>17</v>
      </c>
      <c r="U33" s="778" t="e">
        <f t="shared" si="13"/>
        <v>#N/A</v>
      </c>
      <c r="V33" s="777" t="s">
        <v>17</v>
      </c>
      <c r="W33" s="778" t="e">
        <f t="shared" si="14"/>
        <v>#N/A</v>
      </c>
      <c r="X33" s="779"/>
      <c r="Y33" s="3223"/>
      <c r="Z33" s="780" t="str">
        <f t="shared" si="15"/>
        <v>项目建筑规模</v>
      </c>
      <c r="AA33" s="1811" t="e">
        <f t="shared" si="3"/>
        <v>#N/A</v>
      </c>
      <c r="AB33" s="1811" t="e">
        <f t="shared" si="4"/>
        <v>#N/A</v>
      </c>
      <c r="AC33" s="1811" t="e">
        <f t="shared" si="5"/>
        <v>#N/A</v>
      </c>
    </row>
    <row r="34" spans="1:29" ht="15.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21"/>
      <c r="Q34" s="1810" t="str">
        <f t="shared" si="11"/>
        <v>建筑结构</v>
      </c>
      <c r="R34" s="774" t="s">
        <v>17</v>
      </c>
      <c r="S34" s="775">
        <f t="shared" si="12"/>
        <v>100</v>
      </c>
      <c r="T34" s="774" t="s">
        <v>17</v>
      </c>
      <c r="U34" s="775">
        <f t="shared" si="13"/>
        <v>100</v>
      </c>
      <c r="V34" s="774" t="s">
        <v>17</v>
      </c>
      <c r="W34" s="775">
        <f t="shared" si="14"/>
        <v>100</v>
      </c>
      <c r="X34" s="1813"/>
      <c r="Y34" s="3223"/>
      <c r="Z34" s="1814" t="str">
        <f t="shared" si="15"/>
        <v>建筑结构</v>
      </c>
      <c r="AA34" s="1811">
        <f t="shared" si="3"/>
        <v>1</v>
      </c>
      <c r="AB34" s="1811">
        <f t="shared" si="4"/>
        <v>1</v>
      </c>
      <c r="AC34" s="1811">
        <f t="shared" si="5"/>
        <v>1</v>
      </c>
    </row>
    <row r="35" spans="1:29" ht="15.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21"/>
      <c r="Q35" s="1810" t="str">
        <f t="shared" si="11"/>
        <v>公共部分装修</v>
      </c>
      <c r="R35" s="774" t="s">
        <v>17</v>
      </c>
      <c r="S35" s="775">
        <f t="shared" si="12"/>
        <v>100</v>
      </c>
      <c r="T35" s="774" t="s">
        <v>17</v>
      </c>
      <c r="U35" s="775">
        <f t="shared" si="13"/>
        <v>100</v>
      </c>
      <c r="V35" s="774" t="s">
        <v>17</v>
      </c>
      <c r="W35" s="775">
        <f t="shared" si="14"/>
        <v>100</v>
      </c>
      <c r="X35" s="1813"/>
      <c r="Y35" s="3223"/>
      <c r="Z35" s="1814" t="str">
        <f t="shared" si="15"/>
        <v>公共部分装修</v>
      </c>
      <c r="AA35" s="1811">
        <f t="shared" si="3"/>
        <v>1</v>
      </c>
      <c r="AB35" s="1811">
        <f t="shared" si="4"/>
        <v>1</v>
      </c>
      <c r="AC35" s="1811">
        <f t="shared" si="5"/>
        <v>1</v>
      </c>
    </row>
    <row r="36" spans="1:29" ht="15.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1"/>
      <c r="Q36" s="1810" t="str">
        <f t="shared" si="11"/>
        <v>成新度</v>
      </c>
      <c r="R36" s="774" t="s">
        <v>17</v>
      </c>
      <c r="S36" s="775" t="e">
        <f t="shared" si="12"/>
        <v>#N/A</v>
      </c>
      <c r="T36" s="774" t="s">
        <v>17</v>
      </c>
      <c r="U36" s="775" t="e">
        <f t="shared" si="13"/>
        <v>#N/A</v>
      </c>
      <c r="V36" s="774" t="s">
        <v>17</v>
      </c>
      <c r="W36" s="775" t="e">
        <f t="shared" si="14"/>
        <v>#N/A</v>
      </c>
      <c r="X36" s="1813"/>
      <c r="Y36" s="3223"/>
      <c r="Z36" s="1814" t="str">
        <f t="shared" si="15"/>
        <v>成新度</v>
      </c>
      <c r="AA36" s="1811" t="e">
        <f t="shared" si="3"/>
        <v>#N/A</v>
      </c>
      <c r="AB36" s="1811" t="e">
        <f t="shared" si="4"/>
        <v>#N/A</v>
      </c>
      <c r="AC36" s="1811" t="e">
        <f t="shared" si="5"/>
        <v>#N/A</v>
      </c>
    </row>
    <row r="37" spans="1:29" s="117" customFormat="1" ht="15.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21"/>
      <c r="Q37" s="1795" t="str">
        <f t="shared" si="11"/>
        <v>市政基础设施</v>
      </c>
      <c r="R37" s="770" t="s">
        <v>17</v>
      </c>
      <c r="S37" s="771">
        <f t="shared" si="12"/>
        <v>100</v>
      </c>
      <c r="T37" s="770" t="s">
        <v>17</v>
      </c>
      <c r="U37" s="771">
        <f t="shared" si="13"/>
        <v>100</v>
      </c>
      <c r="V37" s="770" t="s">
        <v>17</v>
      </c>
      <c r="W37" s="771">
        <f t="shared" si="14"/>
        <v>100</v>
      </c>
      <c r="X37" s="772"/>
      <c r="Y37" s="3223"/>
      <c r="Z37" s="55" t="str">
        <f t="shared" si="15"/>
        <v>市政基础设施</v>
      </c>
      <c r="AA37" s="773">
        <f t="shared" si="3"/>
        <v>1</v>
      </c>
      <c r="AB37" s="773">
        <f t="shared" si="4"/>
        <v>1</v>
      </c>
      <c r="AC37" s="773">
        <f t="shared" si="5"/>
        <v>1</v>
      </c>
    </row>
    <row r="38" spans="1:29" ht="15.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21" t="s">
        <v>2562</v>
      </c>
      <c r="Q38" s="1810" t="str">
        <f t="shared" si="11"/>
        <v>业态</v>
      </c>
      <c r="R38" s="774" t="s">
        <v>17</v>
      </c>
      <c r="S38" s="775">
        <f t="shared" si="12"/>
        <v>100</v>
      </c>
      <c r="T38" s="774" t="s">
        <v>17</v>
      </c>
      <c r="U38" s="775">
        <f t="shared" si="13"/>
        <v>100</v>
      </c>
      <c r="V38" s="774" t="s">
        <v>17</v>
      </c>
      <c r="W38" s="775">
        <f t="shared" si="14"/>
        <v>100</v>
      </c>
      <c r="X38" s="1813"/>
      <c r="Y38" s="3223" t="s">
        <v>2562</v>
      </c>
      <c r="Z38" s="1814" t="str">
        <f t="shared" si="15"/>
        <v>业态</v>
      </c>
      <c r="AA38" s="1811">
        <f t="shared" si="3"/>
        <v>1</v>
      </c>
      <c r="AB38" s="1811">
        <f t="shared" si="4"/>
        <v>1</v>
      </c>
      <c r="AC38" s="1811">
        <f t="shared" si="5"/>
        <v>1</v>
      </c>
    </row>
    <row r="39" spans="1:29" ht="15.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21"/>
      <c r="Q39" s="1810" t="str">
        <f t="shared" si="11"/>
        <v>层高</v>
      </c>
      <c r="R39" s="774" t="s">
        <v>17</v>
      </c>
      <c r="S39" s="775">
        <f t="shared" si="12"/>
        <v>100</v>
      </c>
      <c r="T39" s="774" t="s">
        <v>17</v>
      </c>
      <c r="U39" s="775">
        <f t="shared" si="13"/>
        <v>100</v>
      </c>
      <c r="V39" s="774" t="s">
        <v>17</v>
      </c>
      <c r="W39" s="775">
        <f t="shared" si="14"/>
        <v>100</v>
      </c>
      <c r="X39" s="1813"/>
      <c r="Y39" s="3223"/>
      <c r="Z39" s="1814" t="str">
        <f t="shared" si="15"/>
        <v>层高</v>
      </c>
      <c r="AA39" s="1811">
        <f t="shared" si="3"/>
        <v>1</v>
      </c>
      <c r="AB39" s="1811">
        <f t="shared" si="4"/>
        <v>1</v>
      </c>
      <c r="AC39" s="1811">
        <f t="shared" si="5"/>
        <v>1</v>
      </c>
    </row>
    <row r="40" spans="1:29" ht="15.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1"/>
      <c r="Q40" s="1810" t="str">
        <f t="shared" si="11"/>
        <v>单套建筑面积</v>
      </c>
      <c r="R40" s="774" t="s">
        <v>17</v>
      </c>
      <c r="S40" s="775">
        <f t="shared" si="12"/>
        <v>100</v>
      </c>
      <c r="T40" s="774" t="s">
        <v>17</v>
      </c>
      <c r="U40" s="775">
        <f t="shared" si="13"/>
        <v>100</v>
      </c>
      <c r="V40" s="774" t="s">
        <v>17</v>
      </c>
      <c r="W40" s="775">
        <f t="shared" si="14"/>
        <v>100</v>
      </c>
      <c r="X40" s="1813"/>
      <c r="Y40" s="3223"/>
      <c r="Z40" s="1814" t="str">
        <f t="shared" si="15"/>
        <v>单套建筑面积</v>
      </c>
      <c r="AA40" s="1811">
        <f t="shared" si="3"/>
        <v>1</v>
      </c>
      <c r="AB40" s="1811">
        <f t="shared" si="4"/>
        <v>1</v>
      </c>
      <c r="AC40" s="1811">
        <f t="shared" si="5"/>
        <v>1</v>
      </c>
    </row>
    <row r="41" spans="1:29" s="471" customFormat="1" ht="15.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1"/>
      <c r="Q41" s="776" t="str">
        <f t="shared" si="11"/>
        <v>进深比</v>
      </c>
      <c r="R41" s="777" t="s">
        <v>17</v>
      </c>
      <c r="S41" s="778">
        <f t="shared" si="12"/>
        <v>100</v>
      </c>
      <c r="T41" s="777" t="s">
        <v>17</v>
      </c>
      <c r="U41" s="778">
        <f t="shared" si="13"/>
        <v>100</v>
      </c>
      <c r="V41" s="777" t="s">
        <v>17</v>
      </c>
      <c r="W41" s="778">
        <f t="shared" si="14"/>
        <v>100</v>
      </c>
      <c r="X41" s="779"/>
      <c r="Y41" s="3223"/>
      <c r="Z41" s="780" t="str">
        <f t="shared" si="15"/>
        <v>进深比</v>
      </c>
      <c r="AA41" s="1811">
        <f t="shared" si="3"/>
        <v>1</v>
      </c>
      <c r="AB41" s="1811">
        <f t="shared" si="4"/>
        <v>1</v>
      </c>
      <c r="AC41" s="1811">
        <f t="shared" si="5"/>
        <v>1</v>
      </c>
    </row>
    <row r="42" spans="1:29" ht="15.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21"/>
      <c r="Q42" s="1810" t="str">
        <f t="shared" si="11"/>
        <v>内部装修</v>
      </c>
      <c r="R42" s="774" t="s">
        <v>17</v>
      </c>
      <c r="S42" s="775">
        <f t="shared" si="12"/>
        <v>100</v>
      </c>
      <c r="T42" s="774" t="s">
        <v>17</v>
      </c>
      <c r="U42" s="775">
        <f t="shared" si="13"/>
        <v>100</v>
      </c>
      <c r="V42" s="774" t="s">
        <v>17</v>
      </c>
      <c r="W42" s="775">
        <f t="shared" si="14"/>
        <v>100</v>
      </c>
      <c r="X42" s="1813"/>
      <c r="Y42" s="3223"/>
      <c r="Z42" s="1814" t="str">
        <f t="shared" si="15"/>
        <v>内部装修</v>
      </c>
      <c r="AA42" s="1811">
        <f t="shared" si="3"/>
        <v>1</v>
      </c>
      <c r="AB42" s="1811">
        <f t="shared" si="4"/>
        <v>1</v>
      </c>
      <c r="AC42" s="1811">
        <f t="shared" si="5"/>
        <v>1</v>
      </c>
    </row>
    <row r="43" spans="1:29" ht="28">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21"/>
      <c r="Q43" s="1810" t="str">
        <f t="shared" si="11"/>
        <v>内部装修维护情况</v>
      </c>
      <c r="R43" s="774" t="s">
        <v>17</v>
      </c>
      <c r="S43" s="775">
        <f t="shared" si="12"/>
        <v>100</v>
      </c>
      <c r="T43" s="774" t="s">
        <v>17</v>
      </c>
      <c r="U43" s="775">
        <f t="shared" si="13"/>
        <v>100</v>
      </c>
      <c r="V43" s="774" t="s">
        <v>17</v>
      </c>
      <c r="W43" s="775">
        <f t="shared" si="14"/>
        <v>100</v>
      </c>
      <c r="X43" s="1813"/>
      <c r="Y43" s="3223"/>
      <c r="Z43" s="1814" t="str">
        <f t="shared" si="15"/>
        <v>内部装修维护情况</v>
      </c>
      <c r="AA43" s="1811">
        <f t="shared" si="3"/>
        <v>1</v>
      </c>
      <c r="AB43" s="1811">
        <f t="shared" si="4"/>
        <v>1</v>
      </c>
      <c r="AC43" s="1811">
        <f t="shared" si="5"/>
        <v>1</v>
      </c>
    </row>
    <row r="44" spans="1:29" s="117" customFormat="1" ht="15.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1"/>
      <c r="Q44" s="1795">
        <f t="shared" si="11"/>
        <v>111</v>
      </c>
      <c r="R44" s="770" t="s">
        <v>17</v>
      </c>
      <c r="S44" s="771">
        <f t="shared" si="12"/>
        <v>100</v>
      </c>
      <c r="T44" s="770" t="s">
        <v>17</v>
      </c>
      <c r="U44" s="771">
        <f t="shared" si="13"/>
        <v>100</v>
      </c>
      <c r="V44" s="770" t="s">
        <v>17</v>
      </c>
      <c r="W44" s="771">
        <f t="shared" si="14"/>
        <v>100</v>
      </c>
      <c r="X44" s="772"/>
      <c r="Y44" s="3223"/>
      <c r="Z44" s="55">
        <f t="shared" si="15"/>
        <v>111</v>
      </c>
      <c r="AA44" s="773">
        <f t="shared" si="3"/>
        <v>1</v>
      </c>
      <c r="AB44" s="773">
        <f t="shared" si="4"/>
        <v>1</v>
      </c>
      <c r="AC44" s="773">
        <f t="shared" si="5"/>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1"/>
      <c r="Q45" s="1810">
        <f t="shared" si="11"/>
        <v>111</v>
      </c>
      <c r="R45" s="774" t="s">
        <v>17</v>
      </c>
      <c r="S45" s="775">
        <f t="shared" si="12"/>
        <v>100</v>
      </c>
      <c r="T45" s="774" t="s">
        <v>17</v>
      </c>
      <c r="U45" s="775">
        <f t="shared" si="13"/>
        <v>100</v>
      </c>
      <c r="V45" s="774" t="s">
        <v>17</v>
      </c>
      <c r="W45" s="775">
        <f t="shared" si="14"/>
        <v>100</v>
      </c>
      <c r="X45" s="1813"/>
      <c r="Y45" s="3223"/>
      <c r="Z45" s="1814">
        <f t="shared" si="15"/>
        <v>111</v>
      </c>
      <c r="AA45" s="1811">
        <f t="shared" si="3"/>
        <v>1</v>
      </c>
      <c r="AB45" s="1811">
        <f t="shared" si="4"/>
        <v>1</v>
      </c>
      <c r="AC45" s="1811">
        <f t="shared" si="5"/>
        <v>1</v>
      </c>
    </row>
    <row r="46" spans="1:29" ht="1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2"/>
      <c r="Q46" s="1810">
        <f t="shared" si="11"/>
        <v>111</v>
      </c>
      <c r="R46" s="774" t="s">
        <v>17</v>
      </c>
      <c r="S46" s="775">
        <f t="shared" si="12"/>
        <v>100</v>
      </c>
      <c r="T46" s="774" t="s">
        <v>17</v>
      </c>
      <c r="U46" s="775">
        <f t="shared" si="13"/>
        <v>100</v>
      </c>
      <c r="V46" s="774" t="s">
        <v>17</v>
      </c>
      <c r="W46" s="775">
        <f t="shared" si="14"/>
        <v>100</v>
      </c>
      <c r="X46" s="1813"/>
      <c r="Y46" s="3224"/>
      <c r="Z46" s="1814">
        <f t="shared" si="15"/>
        <v>111</v>
      </c>
      <c r="AA46" s="1811">
        <f t="shared" si="3"/>
        <v>1</v>
      </c>
      <c r="AB46" s="1811">
        <f t="shared" si="4"/>
        <v>1</v>
      </c>
      <c r="AC46" s="1811">
        <f t="shared" si="5"/>
        <v>1</v>
      </c>
    </row>
    <row r="47" spans="1:29">
      <c r="A47" s="479" t="s">
        <v>2574</v>
      </c>
      <c r="B47" s="480"/>
      <c r="C47" s="1407" t="s">
        <v>1</v>
      </c>
      <c r="D47" s="1408"/>
      <c r="E47" s="1409"/>
      <c r="F47" s="1410"/>
      <c r="G47" s="1411"/>
      <c r="H47" s="1412"/>
      <c r="I47" s="1409"/>
      <c r="J47" s="1412"/>
      <c r="K47" s="783"/>
      <c r="L47" s="1143"/>
      <c r="M47" s="1144"/>
      <c r="N47" s="1131"/>
      <c r="O47" s="1144"/>
      <c r="P47" s="3216" t="str">
        <f>A47</f>
        <v>成交单价（元/平方米）</v>
      </c>
      <c r="Q47" s="3216"/>
      <c r="R47" s="3211">
        <f>E47</f>
        <v>0</v>
      </c>
      <c r="S47" s="3211"/>
      <c r="T47" s="3211">
        <f>G47</f>
        <v>0</v>
      </c>
      <c r="U47" s="3211"/>
      <c r="V47" s="3211">
        <f>I47</f>
        <v>0</v>
      </c>
      <c r="W47" s="3211"/>
      <c r="X47" s="759"/>
      <c r="Y47" s="781"/>
      <c r="Z47" s="759"/>
      <c r="AA47" s="759"/>
      <c r="AB47" s="759"/>
      <c r="AC47" s="759"/>
    </row>
    <row r="48" spans="1:29" ht="14.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4.5" thickBot="1">
      <c r="A49" s="492" t="s">
        <v>2667</v>
      </c>
      <c r="B49" s="493"/>
      <c r="C49" s="1417" t="e">
        <f>R49</f>
        <v>#DIV/0!</v>
      </c>
      <c r="D49" s="1417"/>
      <c r="E49" s="1417"/>
      <c r="F49" s="1417"/>
      <c r="G49" s="1417"/>
      <c r="H49" s="1417"/>
      <c r="I49" s="1417"/>
      <c r="J49" s="1417"/>
      <c r="K49" s="785"/>
      <c r="L49" s="1143"/>
      <c r="M49" s="1144"/>
      <c r="N49" s="1131"/>
      <c r="O49" s="1144"/>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5" thickBot="1">
      <c r="A57" s="763" t="s">
        <v>2671</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c r="A58" s="505" t="s">
        <v>2545</v>
      </c>
      <c r="B58" s="506"/>
      <c r="C58" s="1574" t="str">
        <f>YEAR(C7)&amp;"-"&amp;MONTH(C7)</f>
        <v>2020-2</v>
      </c>
      <c r="D58" s="1575">
        <f>EDATE(C58,-1)</f>
        <v>43831</v>
      </c>
      <c r="E58" s="1575">
        <f t="shared" ref="E58:N58" si="16">EDATE(D58,-1)</f>
        <v>43800</v>
      </c>
      <c r="F58" s="1575">
        <f t="shared" si="16"/>
        <v>43770</v>
      </c>
      <c r="G58" s="1575">
        <f t="shared" si="16"/>
        <v>43739</v>
      </c>
      <c r="H58" s="1575">
        <f t="shared" si="16"/>
        <v>43709</v>
      </c>
      <c r="I58" s="1575">
        <f t="shared" si="16"/>
        <v>43678</v>
      </c>
      <c r="J58" s="1575">
        <f t="shared" si="16"/>
        <v>43647</v>
      </c>
      <c r="K58" s="1575">
        <f t="shared" si="16"/>
        <v>43617</v>
      </c>
      <c r="L58" s="1575">
        <f t="shared" si="16"/>
        <v>43586</v>
      </c>
      <c r="M58" s="1575">
        <f t="shared" si="16"/>
        <v>43556</v>
      </c>
      <c r="N58" s="1575">
        <f t="shared" si="16"/>
        <v>43525</v>
      </c>
      <c r="O58" s="1575">
        <f>EDATE(N58,-1)</f>
        <v>43497</v>
      </c>
      <c r="P58" s="1570"/>
    </row>
    <row r="59" spans="1:29" s="117" customFormat="1">
      <c r="A59" s="509"/>
      <c r="B59" s="510"/>
      <c r="C59" s="1573">
        <v>100</v>
      </c>
      <c r="D59" s="512"/>
      <c r="E59" s="512"/>
      <c r="F59" s="512"/>
      <c r="G59" s="512"/>
      <c r="H59" s="512"/>
      <c r="I59" s="512"/>
      <c r="J59" s="512"/>
      <c r="K59" s="512"/>
      <c r="L59" s="512"/>
      <c r="M59" s="513"/>
      <c r="N59" s="512"/>
      <c r="O59" s="513"/>
      <c r="P59" s="2630"/>
    </row>
    <row r="60" spans="1:29" s="117" customFormat="1" ht="14.5" thickBot="1">
      <c r="A60" s="515" t="s">
        <v>2582</v>
      </c>
      <c r="B60" s="516"/>
      <c r="C60" s="517"/>
      <c r="D60" s="518"/>
      <c r="E60" s="518"/>
      <c r="F60" s="518"/>
      <c r="G60" s="518"/>
      <c r="H60" s="518"/>
      <c r="I60" s="518"/>
      <c r="J60" s="518"/>
      <c r="K60" s="518"/>
      <c r="L60" s="518"/>
      <c r="M60" s="519"/>
      <c r="N60" s="518"/>
      <c r="O60" s="519"/>
      <c r="P60" s="2630"/>
      <c r="Q60" s="504"/>
    </row>
    <row r="61" spans="1:29" s="117" customFormat="1">
      <c r="A61" s="521" t="s">
        <v>2547</v>
      </c>
      <c r="B61" s="510"/>
      <c r="C61" s="522" t="s">
        <v>2649</v>
      </c>
      <c r="D61" s="523"/>
      <c r="E61" s="523"/>
      <c r="F61" s="523"/>
      <c r="G61" s="523"/>
      <c r="H61" s="523"/>
      <c r="I61" s="523"/>
      <c r="J61" s="523"/>
      <c r="K61" s="523"/>
      <c r="L61" s="524"/>
      <c r="M61" s="525"/>
      <c r="N61" s="1151"/>
      <c r="O61" s="1151"/>
      <c r="P61" s="2631"/>
      <c r="Q61" s="504"/>
    </row>
    <row r="62" spans="1:29" s="117" customFormat="1" ht="14.5" thickBot="1">
      <c r="A62" s="521"/>
      <c r="B62" s="510"/>
      <c r="C62" s="511">
        <v>100</v>
      </c>
      <c r="D62" s="512"/>
      <c r="E62" s="512"/>
      <c r="F62" s="512"/>
      <c r="G62" s="512"/>
      <c r="H62" s="512"/>
      <c r="I62" s="512"/>
      <c r="J62" s="512"/>
      <c r="K62" s="512"/>
      <c r="L62" s="512"/>
      <c r="M62" s="514"/>
      <c r="N62" s="1151"/>
      <c r="O62" s="1151"/>
      <c r="P62" s="2630"/>
      <c r="Q62" s="504"/>
    </row>
    <row r="63" spans="1:29">
      <c r="A63" s="527" t="s">
        <v>2585</v>
      </c>
      <c r="B63" s="528" t="s">
        <v>2551</v>
      </c>
      <c r="C63" s="529">
        <f>C9</f>
        <v>0</v>
      </c>
      <c r="D63" s="530"/>
      <c r="E63" s="530"/>
      <c r="F63" s="530"/>
      <c r="G63" s="530"/>
      <c r="H63" s="530"/>
      <c r="I63" s="530"/>
      <c r="J63" s="530"/>
      <c r="K63" s="531"/>
      <c r="L63" s="532"/>
      <c r="M63" s="533"/>
      <c r="N63" s="1152"/>
      <c r="O63" s="1152"/>
      <c r="P63" s="2632"/>
      <c r="Q63" s="504"/>
    </row>
    <row r="64" spans="1:29" ht="14.5" thickBot="1">
      <c r="A64" s="534"/>
      <c r="B64" s="535"/>
      <c r="C64" s="536">
        <v>100</v>
      </c>
      <c r="D64" s="536"/>
      <c r="E64" s="536"/>
      <c r="F64" s="536"/>
      <c r="G64" s="536"/>
      <c r="H64" s="536"/>
      <c r="I64" s="536"/>
      <c r="J64" s="536"/>
      <c r="K64" s="536"/>
      <c r="L64" s="536"/>
      <c r="M64" s="537"/>
      <c r="N64" s="1153"/>
      <c r="O64" s="1153"/>
      <c r="P64" s="2632"/>
      <c r="Q64" s="504"/>
    </row>
    <row r="65" spans="1:17" ht="28.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2"/>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4.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4.5" thickTop="1">
      <c r="A70" s="553"/>
      <c r="B70" s="538">
        <f>B12</f>
        <v>111</v>
      </c>
      <c r="C70" s="554"/>
      <c r="D70" s="554"/>
      <c r="E70" s="554"/>
      <c r="F70" s="554"/>
      <c r="G70" s="554"/>
      <c r="H70" s="555"/>
      <c r="I70" s="555"/>
      <c r="J70" s="555"/>
      <c r="K70" s="555"/>
      <c r="L70" s="556"/>
      <c r="M70" s="557"/>
      <c r="N70" s="1154"/>
      <c r="O70" s="1154"/>
      <c r="P70" s="2633"/>
      <c r="Q70" s="559"/>
    </row>
    <row r="71" spans="1:17" s="471" customFormat="1" ht="14.5" thickBot="1">
      <c r="A71" s="553"/>
      <c r="B71" s="543"/>
      <c r="C71" s="560"/>
      <c r="D71" s="536"/>
      <c r="E71" s="536"/>
      <c r="F71" s="536"/>
      <c r="G71" s="536"/>
      <c r="H71" s="536"/>
      <c r="I71" s="536"/>
      <c r="J71" s="536"/>
      <c r="K71" s="536"/>
      <c r="L71" s="536"/>
      <c r="M71" s="537"/>
      <c r="N71" s="1153"/>
      <c r="O71" s="1153"/>
      <c r="P71" s="2633"/>
      <c r="Q71" s="559"/>
    </row>
    <row r="72" spans="1:17" s="471" customFormat="1" ht="14.5" thickTop="1">
      <c r="A72" s="553"/>
      <c r="B72" s="538">
        <f>B13</f>
        <v>111</v>
      </c>
      <c r="C72" s="554"/>
      <c r="D72" s="554"/>
      <c r="E72" s="554"/>
      <c r="F72" s="554"/>
      <c r="G72" s="554"/>
      <c r="H72" s="555"/>
      <c r="I72" s="555"/>
      <c r="J72" s="555"/>
      <c r="K72" s="555"/>
      <c r="L72" s="556"/>
      <c r="M72" s="557"/>
      <c r="N72" s="1154"/>
      <c r="O72" s="1154"/>
      <c r="P72" s="2634"/>
      <c r="Q72" s="561"/>
    </row>
    <row r="73" spans="1:17" s="471" customFormat="1" ht="14.5" thickBot="1">
      <c r="A73" s="553"/>
      <c r="B73" s="543"/>
      <c r="C73" s="560"/>
      <c r="D73" s="536"/>
      <c r="E73" s="536"/>
      <c r="F73" s="536"/>
      <c r="G73" s="560"/>
      <c r="H73" s="562"/>
      <c r="I73" s="562"/>
      <c r="J73" s="562"/>
      <c r="K73" s="562"/>
      <c r="L73" s="562"/>
      <c r="M73" s="563"/>
      <c r="N73" s="1154"/>
      <c r="O73" s="1154"/>
      <c r="P73" s="2633"/>
      <c r="Q73" s="559"/>
    </row>
    <row r="74" spans="1:17" s="471" customFormat="1" ht="14.5" thickTop="1">
      <c r="A74" s="553"/>
      <c r="B74" s="546">
        <f>B14</f>
        <v>111</v>
      </c>
      <c r="C74" s="554"/>
      <c r="D74" s="554"/>
      <c r="E74" s="554"/>
      <c r="F74" s="554"/>
      <c r="G74" s="523"/>
      <c r="H74" s="564"/>
      <c r="I74" s="564"/>
      <c r="J74" s="564"/>
      <c r="K74" s="564"/>
      <c r="L74" s="565"/>
      <c r="M74" s="566"/>
      <c r="N74" s="1154"/>
      <c r="O74" s="1154"/>
      <c r="P74" s="2635"/>
      <c r="Q74" s="559"/>
    </row>
    <row r="75" spans="1:17" s="471" customFormat="1" ht="14.5" thickBot="1">
      <c r="A75" s="568"/>
      <c r="B75" s="569"/>
      <c r="C75" s="570"/>
      <c r="D75" s="570"/>
      <c r="E75" s="570"/>
      <c r="F75" s="570"/>
      <c r="G75" s="570"/>
      <c r="H75" s="571"/>
      <c r="I75" s="571"/>
      <c r="J75" s="571"/>
      <c r="K75" s="571"/>
      <c r="L75" s="571"/>
      <c r="M75" s="572"/>
      <c r="N75" s="1154"/>
      <c r="O75" s="1154"/>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6"/>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4.5" thickTop="1">
      <c r="A78" s="534"/>
      <c r="B78" s="538" t="s">
        <v>2599</v>
      </c>
      <c r="C78" s="578" t="s">
        <v>2594</v>
      </c>
      <c r="D78" s="578" t="s">
        <v>2595</v>
      </c>
      <c r="E78" s="578" t="s">
        <v>2596</v>
      </c>
      <c r="F78" s="578" t="s">
        <v>2597</v>
      </c>
      <c r="G78" s="578" t="s">
        <v>2598</v>
      </c>
      <c r="H78" s="539"/>
      <c r="I78" s="539"/>
      <c r="J78" s="539"/>
      <c r="K78" s="540"/>
      <c r="L78" s="541"/>
      <c r="M78" s="542"/>
      <c r="N78" s="1152"/>
      <c r="O78" s="1152"/>
      <c r="P78" s="2632"/>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4.5" thickTop="1">
      <c r="A80" s="534"/>
      <c r="B80" s="538" t="s">
        <v>2600</v>
      </c>
      <c r="C80" s="578" t="s">
        <v>2594</v>
      </c>
      <c r="D80" s="578" t="s">
        <v>2595</v>
      </c>
      <c r="E80" s="578" t="s">
        <v>2596</v>
      </c>
      <c r="F80" s="578" t="s">
        <v>2597</v>
      </c>
      <c r="G80" s="578" t="s">
        <v>2598</v>
      </c>
      <c r="H80" s="539"/>
      <c r="I80" s="539"/>
      <c r="J80" s="539"/>
      <c r="K80" s="540"/>
      <c r="L80" s="541"/>
      <c r="M80" s="542"/>
      <c r="N80" s="1152"/>
      <c r="O80" s="1152"/>
      <c r="P80" s="2632"/>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4.5" thickTop="1">
      <c r="A82" s="534"/>
      <c r="B82" s="546" t="s">
        <v>2652</v>
      </c>
      <c r="C82" s="660" t="s">
        <v>2672</v>
      </c>
      <c r="D82" s="660" t="s">
        <v>2673</v>
      </c>
      <c r="E82" s="660" t="s">
        <v>2674</v>
      </c>
      <c r="F82" s="660" t="s">
        <v>2675</v>
      </c>
      <c r="G82" s="660" t="s">
        <v>2676</v>
      </c>
      <c r="H82" s="539"/>
      <c r="I82" s="539"/>
      <c r="J82" s="539"/>
      <c r="K82" s="539"/>
      <c r="L82" s="539"/>
      <c r="M82" s="1382"/>
      <c r="N82" s="1153"/>
      <c r="O82" s="1153"/>
      <c r="P82" s="2632"/>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4.5" thickTop="1">
      <c r="A84" s="534"/>
      <c r="B84" s="538" t="s">
        <v>2606</v>
      </c>
      <c r="C84" s="578" t="s">
        <v>2594</v>
      </c>
      <c r="D84" s="578" t="s">
        <v>2595</v>
      </c>
      <c r="E84" s="578" t="s">
        <v>2596</v>
      </c>
      <c r="F84" s="578" t="s">
        <v>2597</v>
      </c>
      <c r="G84" s="578" t="s">
        <v>2598</v>
      </c>
      <c r="H84" s="539"/>
      <c r="I84" s="539"/>
      <c r="J84" s="539"/>
      <c r="K84" s="540"/>
      <c r="L84" s="541"/>
      <c r="M84" s="542"/>
      <c r="N84" s="1152"/>
      <c r="O84" s="1152"/>
      <c r="P84" s="2632"/>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4.5" thickTop="1">
      <c r="A86" s="579"/>
      <c r="B86" s="538" t="s">
        <v>2677</v>
      </c>
      <c r="C86" s="554"/>
      <c r="D86" s="554"/>
      <c r="E86" s="554"/>
      <c r="F86" s="554"/>
      <c r="G86" s="554"/>
      <c r="H86" s="554"/>
      <c r="I86" s="554"/>
      <c r="J86" s="554"/>
      <c r="K86" s="554"/>
      <c r="L86" s="580"/>
      <c r="M86" s="581"/>
      <c r="N86" s="1151"/>
      <c r="O86" s="1151"/>
      <c r="P86" s="2632"/>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4.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4.5" thickBot="1">
      <c r="A89" s="579"/>
      <c r="B89" s="543"/>
      <c r="C89" s="560"/>
      <c r="D89" s="536"/>
      <c r="E89" s="536"/>
      <c r="F89" s="536"/>
      <c r="G89" s="536"/>
      <c r="H89" s="536"/>
      <c r="I89" s="536"/>
      <c r="J89" s="536"/>
      <c r="K89" s="536"/>
      <c r="L89" s="536"/>
      <c r="M89" s="536"/>
      <c r="N89" s="1153"/>
      <c r="O89" s="1153"/>
      <c r="P89" s="2632"/>
      <c r="Q89" s="504"/>
    </row>
    <row r="90" spans="1:17" s="471" customFormat="1" ht="14.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4.5" thickTop="1">
      <c r="A92" s="534"/>
      <c r="B92" s="538" t="str">
        <f>B28</f>
        <v>楼层</v>
      </c>
      <c r="C92" s="554"/>
      <c r="D92" s="554"/>
      <c r="E92" s="554"/>
      <c r="F92" s="554"/>
      <c r="G92" s="554"/>
      <c r="H92" s="554"/>
      <c r="I92" s="554"/>
      <c r="J92" s="554"/>
      <c r="K92" s="554"/>
      <c r="L92" s="580"/>
      <c r="M92" s="581"/>
      <c r="N92" s="1152"/>
      <c r="O92" s="1152"/>
      <c r="P92" s="2632"/>
      <c r="Q92" s="504"/>
    </row>
    <row r="93" spans="1:17" ht="14.5" thickBot="1">
      <c r="A93" s="534"/>
      <c r="B93" s="543"/>
      <c r="C93" s="536"/>
      <c r="D93" s="536"/>
      <c r="E93" s="536"/>
      <c r="F93" s="536"/>
      <c r="G93" s="536"/>
      <c r="H93" s="536"/>
      <c r="I93" s="536"/>
      <c r="J93" s="536"/>
      <c r="K93" s="536"/>
      <c r="L93" s="536"/>
      <c r="M93" s="537"/>
      <c r="N93" s="1153"/>
      <c r="O93" s="1153"/>
      <c r="P93" s="2632"/>
      <c r="Q93" s="504"/>
    </row>
    <row r="94" spans="1:17" ht="14.5" thickTop="1">
      <c r="A94" s="534"/>
      <c r="B94" s="538">
        <f>B29</f>
        <v>111</v>
      </c>
      <c r="C94" s="554"/>
      <c r="D94" s="554"/>
      <c r="E94" s="554"/>
      <c r="F94" s="554"/>
      <c r="G94" s="583"/>
      <c r="H94" s="583"/>
      <c r="I94" s="583"/>
      <c r="J94" s="583"/>
      <c r="K94" s="584"/>
      <c r="L94" s="585"/>
      <c r="M94" s="586"/>
      <c r="N94" s="1152"/>
      <c r="O94" s="1152"/>
      <c r="P94" s="2632"/>
      <c r="Q94" s="504"/>
    </row>
    <row r="95" spans="1:17" ht="14.5" thickBot="1">
      <c r="A95" s="534"/>
      <c r="B95" s="543"/>
      <c r="C95" s="560"/>
      <c r="D95" s="536"/>
      <c r="E95" s="536"/>
      <c r="F95" s="536"/>
      <c r="G95" s="536"/>
      <c r="H95" s="536"/>
      <c r="I95" s="536"/>
      <c r="J95" s="536"/>
      <c r="K95" s="536"/>
      <c r="L95" s="536"/>
      <c r="M95" s="537"/>
      <c r="N95" s="1153"/>
      <c r="O95" s="1153"/>
      <c r="P95" s="2632"/>
      <c r="Q95" s="504"/>
    </row>
    <row r="96" spans="1:17" ht="14.5" thickTop="1">
      <c r="A96" s="534"/>
      <c r="B96" s="538">
        <f>B30</f>
        <v>111</v>
      </c>
      <c r="C96" s="554"/>
      <c r="D96" s="554"/>
      <c r="E96" s="554"/>
      <c r="F96" s="554"/>
      <c r="G96" s="583"/>
      <c r="H96" s="583"/>
      <c r="I96" s="583"/>
      <c r="J96" s="583"/>
      <c r="K96" s="584"/>
      <c r="L96" s="585"/>
      <c r="M96" s="586"/>
      <c r="N96" s="1152"/>
      <c r="O96" s="1152"/>
      <c r="P96" s="2632"/>
      <c r="Q96" s="504"/>
    </row>
    <row r="97" spans="1:17" ht="14.5" thickBot="1">
      <c r="A97" s="534"/>
      <c r="B97" s="543"/>
      <c r="C97" s="560"/>
      <c r="D97" s="536"/>
      <c r="E97" s="536"/>
      <c r="F97" s="536"/>
      <c r="G97" s="536"/>
      <c r="H97" s="536"/>
      <c r="I97" s="536"/>
      <c r="J97" s="536"/>
      <c r="K97" s="536"/>
      <c r="L97" s="536"/>
      <c r="M97" s="537"/>
      <c r="N97" s="1153"/>
      <c r="O97" s="1153"/>
      <c r="P97" s="2632"/>
      <c r="Q97" s="504"/>
    </row>
    <row r="98" spans="1:17" ht="14.5" thickTop="1">
      <c r="A98" s="534"/>
      <c r="B98" s="546">
        <f>B31</f>
        <v>111</v>
      </c>
      <c r="C98" s="554"/>
      <c r="D98" s="554"/>
      <c r="E98" s="554"/>
      <c r="F98" s="554"/>
      <c r="G98" s="587"/>
      <c r="H98" s="587"/>
      <c r="I98" s="587"/>
      <c r="J98" s="587"/>
      <c r="K98" s="588"/>
      <c r="L98" s="589"/>
      <c r="M98" s="590"/>
      <c r="N98" s="1152"/>
      <c r="O98" s="1152"/>
      <c r="P98" s="2632"/>
      <c r="Q98" s="504"/>
    </row>
    <row r="99" spans="1:17" ht="14.5" thickBot="1">
      <c r="A99" s="2638"/>
      <c r="B99" s="569"/>
      <c r="C99" s="570"/>
      <c r="D99" s="570"/>
      <c r="E99" s="570"/>
      <c r="F99" s="570"/>
      <c r="G99" s="591"/>
      <c r="H99" s="591"/>
      <c r="I99" s="591"/>
      <c r="J99" s="591"/>
      <c r="K99" s="591"/>
      <c r="L99" s="591"/>
      <c r="M99" s="592"/>
      <c r="N99" s="1153"/>
      <c r="O99" s="1153"/>
      <c r="P99" s="2632"/>
      <c r="Q99" s="504"/>
    </row>
    <row r="100" spans="1:17">
      <c r="A100" s="527" t="s">
        <v>2560</v>
      </c>
      <c r="B100" s="528" t="s">
        <v>2678</v>
      </c>
      <c r="C100" s="530"/>
      <c r="D100" s="530"/>
      <c r="E100" s="530"/>
      <c r="F100" s="530"/>
      <c r="G100" s="530"/>
      <c r="H100" s="530"/>
      <c r="I100" s="530"/>
      <c r="J100" s="530"/>
      <c r="K100" s="531"/>
      <c r="L100" s="532"/>
      <c r="M100" s="533"/>
      <c r="N100" s="1152"/>
      <c r="O100" s="1152"/>
      <c r="P100" s="2632"/>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4.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5" thickBot="1">
      <c r="A104" s="553"/>
      <c r="B104" s="543"/>
      <c r="C104" s="560"/>
      <c r="D104" s="536"/>
      <c r="E104" s="536"/>
      <c r="F104" s="536"/>
      <c r="G104" s="536"/>
      <c r="H104" s="536"/>
      <c r="I104" s="536"/>
      <c r="J104" s="536"/>
      <c r="K104" s="536"/>
      <c r="L104" s="536"/>
      <c r="M104" s="537"/>
      <c r="N104" s="1153"/>
      <c r="O104" s="1153"/>
      <c r="P104" s="2633"/>
      <c r="Q104" s="559"/>
    </row>
    <row r="105" spans="1:17" ht="14.5" thickTop="1">
      <c r="A105" s="599"/>
      <c r="B105" s="538" t="s">
        <v>2611</v>
      </c>
      <c r="C105" s="554"/>
      <c r="D105" s="554"/>
      <c r="E105" s="583"/>
      <c r="F105" s="583"/>
      <c r="G105" s="583"/>
      <c r="H105" s="583"/>
      <c r="I105" s="583"/>
      <c r="J105" s="583"/>
      <c r="K105" s="584"/>
      <c r="L105" s="585"/>
      <c r="M105" s="586"/>
      <c r="N105" s="1152"/>
      <c r="O105" s="1152"/>
      <c r="P105" s="2632"/>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4.5" thickTop="1">
      <c r="A107" s="599"/>
      <c r="B107" s="538" t="s">
        <v>2613</v>
      </c>
      <c r="C107" s="554"/>
      <c r="D107" s="554"/>
      <c r="E107" s="554"/>
      <c r="F107" s="583"/>
      <c r="G107" s="583"/>
      <c r="H107" s="583"/>
      <c r="I107" s="583"/>
      <c r="J107" s="583"/>
      <c r="K107" s="584"/>
      <c r="L107" s="585"/>
      <c r="M107" s="586"/>
      <c r="N107" s="1152"/>
      <c r="O107" s="1152"/>
      <c r="P107" s="2632"/>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4.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4.5" thickTop="1">
      <c r="A112" s="593"/>
      <c r="B112" s="538" t="s">
        <v>2615</v>
      </c>
      <c r="C112" s="554"/>
      <c r="D112" s="554"/>
      <c r="E112" s="554"/>
      <c r="F112" s="554"/>
      <c r="G112" s="554"/>
      <c r="H112" s="583"/>
      <c r="I112" s="583"/>
      <c r="J112" s="583"/>
      <c r="K112" s="584"/>
      <c r="L112" s="585"/>
      <c r="M112" s="586"/>
      <c r="N112" s="1154"/>
      <c r="O112" s="1154"/>
      <c r="P112" s="2633"/>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4.5" thickTop="1">
      <c r="A114" s="599"/>
      <c r="B114" s="538" t="s">
        <v>2679</v>
      </c>
      <c r="C114" s="554"/>
      <c r="D114" s="554"/>
      <c r="E114" s="583"/>
      <c r="F114" s="583"/>
      <c r="G114" s="583"/>
      <c r="H114" s="583"/>
      <c r="I114" s="583"/>
      <c r="J114" s="583"/>
      <c r="K114" s="584"/>
      <c r="L114" s="585"/>
      <c r="M114" s="586"/>
      <c r="N114" s="1152"/>
      <c r="O114" s="1152"/>
      <c r="P114" s="2632"/>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4.5" thickTop="1">
      <c r="A116" s="599"/>
      <c r="B116" s="538" t="s">
        <v>2680</v>
      </c>
      <c r="C116" s="554"/>
      <c r="D116" s="554"/>
      <c r="E116" s="554"/>
      <c r="F116" s="554"/>
      <c r="G116" s="554"/>
      <c r="H116" s="583"/>
      <c r="I116" s="583"/>
      <c r="J116" s="583"/>
      <c r="K116" s="584"/>
      <c r="L116" s="585"/>
      <c r="M116" s="586"/>
      <c r="N116" s="1152"/>
      <c r="O116" s="1152"/>
      <c r="P116" s="2632"/>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4.5" thickTop="1">
      <c r="A118" s="599"/>
      <c r="B118" s="538" t="s">
        <v>2681</v>
      </c>
      <c r="C118" s="627"/>
      <c r="D118" s="627"/>
      <c r="E118" s="627"/>
      <c r="F118" s="627"/>
      <c r="G118" s="627"/>
      <c r="H118" s="555"/>
      <c r="I118" s="555"/>
      <c r="J118" s="555"/>
      <c r="K118" s="555"/>
      <c r="L118" s="556"/>
      <c r="M118" s="557"/>
      <c r="N118" s="1152"/>
      <c r="O118" s="1152"/>
      <c r="P118" s="2632"/>
      <c r="Q118" s="504"/>
    </row>
    <row r="119" spans="1:17" ht="14.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4.5" thickTop="1">
      <c r="A120" s="593"/>
      <c r="B120" s="538" t="s">
        <v>2682</v>
      </c>
      <c r="C120" s="583"/>
      <c r="D120" s="583"/>
      <c r="E120" s="583"/>
      <c r="F120" s="583"/>
      <c r="G120" s="555"/>
      <c r="H120" s="555"/>
      <c r="I120" s="555"/>
      <c r="J120" s="555"/>
      <c r="K120" s="555"/>
      <c r="L120" s="556"/>
      <c r="M120" s="557"/>
      <c r="N120" s="1154"/>
      <c r="O120" s="1154"/>
      <c r="P120" s="2633"/>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4.5" thickTop="1">
      <c r="A122" s="599"/>
      <c r="B122" s="538" t="s">
        <v>2617</v>
      </c>
      <c r="C122" s="554"/>
      <c r="D122" s="554"/>
      <c r="E122" s="554"/>
      <c r="F122" s="583"/>
      <c r="G122" s="583"/>
      <c r="H122" s="583"/>
      <c r="I122" s="583"/>
      <c r="J122" s="583"/>
      <c r="K122" s="584"/>
      <c r="L122" s="585"/>
      <c r="M122" s="586"/>
      <c r="N122" s="1152"/>
      <c r="O122" s="1152"/>
      <c r="P122" s="2632"/>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28.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3"/>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3"/>
      <c r="Q127" s="559"/>
    </row>
    <row r="128" spans="1:17" ht="14.5" thickTop="1">
      <c r="A128" s="599"/>
      <c r="B128" s="538">
        <f>B45</f>
        <v>111</v>
      </c>
      <c r="C128" s="554"/>
      <c r="D128" s="554"/>
      <c r="E128" s="554"/>
      <c r="F128" s="554"/>
      <c r="G128" s="583"/>
      <c r="H128" s="583"/>
      <c r="I128" s="583"/>
      <c r="J128" s="583"/>
      <c r="K128" s="584"/>
      <c r="L128" s="585"/>
      <c r="M128" s="586"/>
      <c r="N128" s="1152"/>
      <c r="O128" s="1152"/>
      <c r="P128" s="2632"/>
      <c r="Q128" s="504"/>
    </row>
    <row r="129" spans="1:17" ht="14.5" thickBot="1">
      <c r="A129" s="534"/>
      <c r="B129" s="543"/>
      <c r="C129" s="560"/>
      <c r="D129" s="536"/>
      <c r="E129" s="536"/>
      <c r="F129" s="536"/>
      <c r="G129" s="536"/>
      <c r="H129" s="536"/>
      <c r="I129" s="536"/>
      <c r="J129" s="536"/>
      <c r="K129" s="536"/>
      <c r="L129" s="536"/>
      <c r="M129" s="537"/>
      <c r="N129" s="1153"/>
      <c r="O129" s="1153"/>
      <c r="P129" s="2632"/>
      <c r="Q129" s="504"/>
    </row>
    <row r="130" spans="1:17" ht="14.5" thickTop="1">
      <c r="A130" s="599"/>
      <c r="B130" s="546">
        <f>B46</f>
        <v>111</v>
      </c>
      <c r="C130" s="554"/>
      <c r="D130" s="554"/>
      <c r="E130" s="554"/>
      <c r="F130" s="554"/>
      <c r="G130" s="587"/>
      <c r="H130" s="587"/>
      <c r="I130" s="587"/>
      <c r="J130" s="587"/>
      <c r="K130" s="523"/>
      <c r="L130" s="524"/>
      <c r="M130" s="590"/>
      <c r="N130" s="1152"/>
      <c r="O130" s="1152"/>
      <c r="P130" s="2632"/>
      <c r="Q130" s="504"/>
    </row>
    <row r="131" spans="1:17" ht="14.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403" customWidth="1"/>
    <col min="2" max="2" width="15.81640625" style="403" customWidth="1"/>
    <col min="3" max="3" width="15.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112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2525</v>
      </c>
      <c r="B1" s="2671" t="s">
        <v>2683</v>
      </c>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88"/>
      <c r="D2" s="1365"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2641</v>
      </c>
      <c r="D3" s="399">
        <f>IF(D1="",'数据-汇总表'!E3,SUMIF('数据-汇总表'!$C19:$C33,D1,'数据-汇总表'!$E19:$E33))</f>
        <v>70116</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c r="A4" s="401" t="s">
        <v>2642</v>
      </c>
      <c r="B4" s="402"/>
      <c r="C4" s="3199" t="s">
        <v>2643</v>
      </c>
      <c r="D4" s="3200"/>
      <c r="E4" s="3201" t="s">
        <v>2644</v>
      </c>
      <c r="F4" s="3202"/>
      <c r="G4" s="3199" t="s">
        <v>2645</v>
      </c>
      <c r="H4" s="3200"/>
      <c r="I4" s="3199" t="s">
        <v>2646</v>
      </c>
      <c r="J4" s="3200"/>
      <c r="K4" s="610" t="s">
        <v>2647</v>
      </c>
      <c r="L4" s="1130"/>
      <c r="M4" s="1131"/>
      <c r="N4" s="1131"/>
      <c r="O4" s="1131"/>
      <c r="P4" s="3233" t="s">
        <v>2648</v>
      </c>
      <c r="Q4" s="3234"/>
      <c r="R4" s="3228" t="s">
        <v>2644</v>
      </c>
      <c r="S4" s="3229"/>
      <c r="T4" s="3228" t="s">
        <v>2645</v>
      </c>
      <c r="U4" s="3229"/>
      <c r="V4" s="3237" t="s">
        <v>2646</v>
      </c>
      <c r="W4" s="3237"/>
      <c r="X4" s="2672"/>
      <c r="Y4" s="3228" t="s">
        <v>2648</v>
      </c>
      <c r="Z4" s="3229"/>
      <c r="AA4" s="3227" t="s">
        <v>2644</v>
      </c>
      <c r="AB4" s="3227" t="s">
        <v>2645</v>
      </c>
      <c r="AC4" s="3230" t="s">
        <v>2646</v>
      </c>
    </row>
    <row r="5" spans="1:29">
      <c r="A5" s="404"/>
      <c r="B5" s="405"/>
      <c r="C5" s="3192" t="s">
        <v>2539</v>
      </c>
      <c r="D5" s="3193"/>
      <c r="E5" s="3190" t="s">
        <v>2540</v>
      </c>
      <c r="F5" s="3191"/>
      <c r="G5" s="3192" t="s">
        <v>2541</v>
      </c>
      <c r="H5" s="3193"/>
      <c r="I5" s="3192" t="s">
        <v>2542</v>
      </c>
      <c r="J5" s="3193"/>
      <c r="K5" s="610"/>
      <c r="L5" s="1130"/>
      <c r="M5" s="1131"/>
      <c r="N5" s="1131"/>
      <c r="O5" s="1131"/>
      <c r="P5" s="3235"/>
      <c r="Q5" s="3206"/>
      <c r="R5" s="3188"/>
      <c r="S5" s="3189"/>
      <c r="T5" s="3188"/>
      <c r="U5" s="3189"/>
      <c r="V5" s="3211"/>
      <c r="W5" s="3211"/>
      <c r="X5" s="1813"/>
      <c r="Y5" s="3188"/>
      <c r="Z5" s="3189"/>
      <c r="AA5" s="3182"/>
      <c r="AB5" s="3182"/>
      <c r="AC5" s="3231"/>
    </row>
    <row r="6" spans="1:29" ht="15" thickBot="1">
      <c r="A6" s="406"/>
      <c r="B6" s="407"/>
      <c r="C6" s="3194" t="s">
        <v>2543</v>
      </c>
      <c r="D6" s="3195"/>
      <c r="E6" s="3196" t="s">
        <v>2543</v>
      </c>
      <c r="F6" s="3197"/>
      <c r="G6" s="3194" t="s">
        <v>2543</v>
      </c>
      <c r="H6" s="3195"/>
      <c r="I6" s="3194" t="s">
        <v>2543</v>
      </c>
      <c r="J6" s="3195"/>
      <c r="K6" s="610" t="s">
        <v>2544</v>
      </c>
      <c r="L6" s="1130"/>
      <c r="M6" s="1131"/>
      <c r="N6" s="1131"/>
      <c r="O6" s="1131"/>
      <c r="P6" s="3236"/>
      <c r="Q6" s="3208"/>
      <c r="R6" s="3188"/>
      <c r="S6" s="3189"/>
      <c r="T6" s="3209"/>
      <c r="U6" s="3210"/>
      <c r="V6" s="3211"/>
      <c r="W6" s="3211"/>
      <c r="X6" s="1813"/>
      <c r="Y6" s="3209"/>
      <c r="Z6" s="3210"/>
      <c r="AA6" s="3183"/>
      <c r="AB6" s="3183"/>
      <c r="AC6" s="3232"/>
    </row>
    <row r="7" spans="1:29" s="117" customFormat="1" ht="14.5" thickBot="1">
      <c r="A7" s="408" t="s">
        <v>2545</v>
      </c>
      <c r="B7" s="409"/>
      <c r="C7" s="410">
        <f>'数据-取费表'!B2</f>
        <v>43868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8" t="s">
        <v>2546</v>
      </c>
      <c r="Q7" s="3212"/>
      <c r="R7" s="770" t="s">
        <v>17</v>
      </c>
      <c r="S7" s="771">
        <f t="shared" ref="S7:S15" si="0">F7</f>
        <v>0</v>
      </c>
      <c r="T7" s="770" t="s">
        <v>17</v>
      </c>
      <c r="U7" s="771">
        <f t="shared" ref="U7:U15" si="1">H7</f>
        <v>0</v>
      </c>
      <c r="V7" s="770" t="s">
        <v>17</v>
      </c>
      <c r="W7" s="771">
        <f t="shared" ref="W7:W15" si="2">J7</f>
        <v>0</v>
      </c>
      <c r="X7" s="772"/>
      <c r="Y7" s="3184" t="s">
        <v>2546</v>
      </c>
      <c r="Z7" s="3185"/>
      <c r="AA7" s="773" t="e">
        <f>D7/F7</f>
        <v>#DIV/0!</v>
      </c>
      <c r="AB7" s="773" t="e">
        <f>D7/H7</f>
        <v>#DIV/0!</v>
      </c>
      <c r="AC7" s="2673" t="e">
        <f>D7/J7</f>
        <v>#DIV/0!</v>
      </c>
    </row>
    <row r="8" spans="1:29" s="117" customFormat="1" ht="14.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8" t="s">
        <v>2549</v>
      </c>
      <c r="Q8" s="3185"/>
      <c r="R8" s="770" t="s">
        <v>17</v>
      </c>
      <c r="S8" s="771">
        <f t="shared" si="0"/>
        <v>0</v>
      </c>
      <c r="T8" s="770" t="s">
        <v>17</v>
      </c>
      <c r="U8" s="771">
        <f t="shared" si="1"/>
        <v>0</v>
      </c>
      <c r="V8" s="770" t="s">
        <v>17</v>
      </c>
      <c r="W8" s="771">
        <f t="shared" si="2"/>
        <v>0</v>
      </c>
      <c r="X8" s="772"/>
      <c r="Y8" s="3184" t="s">
        <v>2549</v>
      </c>
      <c r="Z8" s="3185"/>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8" t="s">
        <v>2552</v>
      </c>
      <c r="Q9" s="1795" t="str">
        <f t="shared" ref="Q9:Q15" si="6">B9</f>
        <v>用途</v>
      </c>
      <c r="R9" s="770" t="s">
        <v>17</v>
      </c>
      <c r="S9" s="771">
        <f t="shared" si="0"/>
        <v>100</v>
      </c>
      <c r="T9" s="770" t="s">
        <v>17</v>
      </c>
      <c r="U9" s="771">
        <f t="shared" si="1"/>
        <v>100</v>
      </c>
      <c r="V9" s="770" t="s">
        <v>17</v>
      </c>
      <c r="W9" s="771">
        <f t="shared" si="2"/>
        <v>100</v>
      </c>
      <c r="X9" s="772"/>
      <c r="Y9" s="3031" t="s">
        <v>2553</v>
      </c>
      <c r="Z9" s="55" t="str">
        <f t="shared" ref="Z9:Z15" si="7">Q9</f>
        <v>用途</v>
      </c>
      <c r="AA9" s="773">
        <f t="shared" si="3"/>
        <v>1</v>
      </c>
      <c r="AB9" s="773">
        <f t="shared" si="4"/>
        <v>1</v>
      </c>
      <c r="AC9" s="2673">
        <f t="shared" si="5"/>
        <v>1</v>
      </c>
    </row>
    <row r="10" spans="1:29" s="427" customFormat="1" ht="28">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8"/>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3">
        <f t="shared" si="5"/>
        <v>1</v>
      </c>
    </row>
    <row r="11" spans="1:29" ht="15.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8"/>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73" t="e">
        <f t="shared" si="5"/>
        <v>#N/A</v>
      </c>
    </row>
    <row r="12" spans="1:29" s="117" customFormat="1" ht="15.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98"/>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3">
        <f>D12/J12</f>
        <v>1</v>
      </c>
    </row>
    <row r="13" spans="1:29" ht="15.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98"/>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3">
        <f t="shared" si="5"/>
        <v>1</v>
      </c>
    </row>
    <row r="14" spans="1:29" ht="1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98"/>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3">
        <f t="shared" si="5"/>
        <v>1</v>
      </c>
    </row>
    <row r="15" spans="1:29" ht="70">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5" t="s">
        <v>2557</v>
      </c>
      <c r="Q15" s="1810" t="str">
        <f t="shared" si="6"/>
        <v>办公集聚程度</v>
      </c>
      <c r="R15" s="774" t="s">
        <v>17</v>
      </c>
      <c r="S15" s="775">
        <f t="shared" si="0"/>
        <v>100</v>
      </c>
      <c r="T15" s="774" t="s">
        <v>17</v>
      </c>
      <c r="U15" s="775">
        <f t="shared" si="1"/>
        <v>100</v>
      </c>
      <c r="V15" s="774" t="s">
        <v>17</v>
      </c>
      <c r="W15" s="775">
        <f t="shared" si="2"/>
        <v>100</v>
      </c>
      <c r="X15" s="1813"/>
      <c r="Y15" s="3218" t="s">
        <v>2557</v>
      </c>
      <c r="Z15" s="1814" t="str">
        <f t="shared" si="7"/>
        <v>办公集聚程度</v>
      </c>
      <c r="AA15" s="1811">
        <f t="shared" si="3"/>
        <v>1</v>
      </c>
      <c r="AB15" s="1811">
        <f t="shared" si="4"/>
        <v>1</v>
      </c>
      <c r="AC15" s="2676">
        <f t="shared" si="5"/>
        <v>1</v>
      </c>
    </row>
    <row r="16" spans="1:29" ht="15.5">
      <c r="A16" s="428"/>
      <c r="B16" s="630"/>
      <c r="C16" s="2613"/>
      <c r="D16" s="448"/>
      <c r="E16" s="447"/>
      <c r="F16" s="448"/>
      <c r="G16" s="2613"/>
      <c r="H16" s="450"/>
      <c r="I16" s="447"/>
      <c r="J16" s="448"/>
      <c r="K16" s="615"/>
      <c r="L16" s="1140"/>
      <c r="M16" s="1131"/>
      <c r="N16" s="1131"/>
      <c r="O16" s="1131"/>
      <c r="P16" s="3226"/>
      <c r="Q16" s="1810"/>
      <c r="R16" s="774"/>
      <c r="S16" s="775"/>
      <c r="T16" s="774"/>
      <c r="U16" s="775"/>
      <c r="V16" s="774"/>
      <c r="W16" s="775"/>
      <c r="X16" s="1813"/>
      <c r="Y16" s="3219"/>
      <c r="Z16" s="1814"/>
      <c r="AA16" s="1811">
        <v>1</v>
      </c>
      <c r="AB16" s="1811">
        <v>1</v>
      </c>
      <c r="AC16" s="2676">
        <v>1</v>
      </c>
    </row>
    <row r="17" spans="1:29" ht="84">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6"/>
      <c r="Q17" s="1810" t="str">
        <f>B17</f>
        <v>交通便捷度</v>
      </c>
      <c r="R17" s="774" t="s">
        <v>17</v>
      </c>
      <c r="S17" s="775">
        <f>F17</f>
        <v>100</v>
      </c>
      <c r="T17" s="774" t="s">
        <v>17</v>
      </c>
      <c r="U17" s="775">
        <f>H17</f>
        <v>100</v>
      </c>
      <c r="V17" s="774" t="s">
        <v>17</v>
      </c>
      <c r="W17" s="775">
        <f>J17</f>
        <v>100</v>
      </c>
      <c r="X17" s="1813"/>
      <c r="Y17" s="3219"/>
      <c r="Z17" s="1814" t="str">
        <f>Q17</f>
        <v>交通便捷度</v>
      </c>
      <c r="AA17" s="1811">
        <f t="shared" si="3"/>
        <v>1</v>
      </c>
      <c r="AB17" s="1811">
        <f t="shared" si="4"/>
        <v>1</v>
      </c>
      <c r="AC17" s="2676">
        <f t="shared" si="5"/>
        <v>1</v>
      </c>
    </row>
    <row r="18" spans="1:29" ht="15.5">
      <c r="A18" s="428"/>
      <c r="B18" s="632"/>
      <c r="C18" s="2678"/>
      <c r="D18" s="450"/>
      <c r="E18" s="2611"/>
      <c r="F18" s="450"/>
      <c r="G18" s="2612"/>
      <c r="H18" s="448"/>
      <c r="I18" s="2612"/>
      <c r="J18" s="448"/>
      <c r="K18" s="615"/>
      <c r="L18" s="1140"/>
      <c r="M18" s="1131"/>
      <c r="N18" s="1131"/>
      <c r="O18" s="1131"/>
      <c r="P18" s="3226"/>
      <c r="Q18" s="1810"/>
      <c r="R18" s="774"/>
      <c r="S18" s="775"/>
      <c r="T18" s="774"/>
      <c r="U18" s="775"/>
      <c r="V18" s="774"/>
      <c r="W18" s="775"/>
      <c r="X18" s="1813"/>
      <c r="Y18" s="3219"/>
      <c r="Z18" s="1814"/>
      <c r="AA18" s="1811">
        <v>1</v>
      </c>
      <c r="AB18" s="1811">
        <v>1</v>
      </c>
      <c r="AC18" s="2676">
        <v>1</v>
      </c>
    </row>
    <row r="19" spans="1:29" ht="42">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6"/>
      <c r="Q19" s="1810" t="str">
        <f>B19</f>
        <v>公共配套设施</v>
      </c>
      <c r="R19" s="774" t="s">
        <v>17</v>
      </c>
      <c r="S19" s="775">
        <f>F19</f>
        <v>100</v>
      </c>
      <c r="T19" s="774" t="s">
        <v>17</v>
      </c>
      <c r="U19" s="775">
        <f>H19</f>
        <v>100</v>
      </c>
      <c r="V19" s="774" t="s">
        <v>17</v>
      </c>
      <c r="W19" s="775">
        <f>J19</f>
        <v>100</v>
      </c>
      <c r="X19" s="1813"/>
      <c r="Y19" s="3219"/>
      <c r="Z19" s="1814" t="str">
        <f>Q19</f>
        <v>公共配套设施</v>
      </c>
      <c r="AA19" s="1811">
        <f t="shared" si="3"/>
        <v>1</v>
      </c>
      <c r="AB19" s="1811">
        <f t="shared" si="4"/>
        <v>1</v>
      </c>
      <c r="AC19" s="2676">
        <f t="shared" si="5"/>
        <v>1</v>
      </c>
    </row>
    <row r="20" spans="1:29" ht="15.5">
      <c r="A20" s="428"/>
      <c r="B20" s="632"/>
      <c r="C20" s="2613"/>
      <c r="D20" s="448"/>
      <c r="E20" s="2606"/>
      <c r="F20" s="448"/>
      <c r="G20" s="2607"/>
      <c r="H20" s="448"/>
      <c r="I20" s="2607"/>
      <c r="J20" s="448"/>
      <c r="K20" s="615"/>
      <c r="L20" s="1140"/>
      <c r="M20" s="1131"/>
      <c r="N20" s="1131"/>
      <c r="O20" s="1131"/>
      <c r="P20" s="3226"/>
      <c r="Q20" s="1810"/>
      <c r="R20" s="774"/>
      <c r="S20" s="775"/>
      <c r="T20" s="774"/>
      <c r="U20" s="775"/>
      <c r="V20" s="774"/>
      <c r="W20" s="775"/>
      <c r="X20" s="1813"/>
      <c r="Y20" s="3219"/>
      <c r="Z20" s="1814"/>
      <c r="AA20" s="1811">
        <v>1</v>
      </c>
      <c r="AB20" s="1811">
        <v>1</v>
      </c>
      <c r="AC20" s="2676">
        <v>1</v>
      </c>
    </row>
    <row r="21" spans="1:29" ht="28">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6"/>
      <c r="Q21" s="1810" t="str">
        <f>B21</f>
        <v>基础设施水平</v>
      </c>
      <c r="R21" s="774" t="s">
        <v>17</v>
      </c>
      <c r="S21" s="775">
        <f>F21</f>
        <v>100</v>
      </c>
      <c r="T21" s="774" t="s">
        <v>17</v>
      </c>
      <c r="U21" s="775">
        <f>H21</f>
        <v>100</v>
      </c>
      <c r="V21" s="774" t="s">
        <v>17</v>
      </c>
      <c r="W21" s="775">
        <f>J21</f>
        <v>100</v>
      </c>
      <c r="X21" s="1813"/>
      <c r="Y21" s="3219"/>
      <c r="Z21" s="1814" t="str">
        <f>Q21</f>
        <v>基础设施水平</v>
      </c>
      <c r="AA21" s="1811">
        <f t="shared" ref="AA21" si="8">D21/F21</f>
        <v>1</v>
      </c>
      <c r="AB21" s="1811">
        <f t="shared" ref="AB21" si="9">D21/H21</f>
        <v>1</v>
      </c>
      <c r="AC21" s="2676">
        <f t="shared" ref="AC21" si="10">D21/J21</f>
        <v>1</v>
      </c>
    </row>
    <row r="22" spans="1:29" ht="15.5">
      <c r="A22" s="428"/>
      <c r="B22" s="633"/>
      <c r="C22" s="2678"/>
      <c r="D22" s="448"/>
      <c r="E22" s="447"/>
      <c r="F22" s="448"/>
      <c r="G22" s="2613"/>
      <c r="H22" s="448"/>
      <c r="I22" s="2613"/>
      <c r="J22" s="448"/>
      <c r="K22" s="1383"/>
      <c r="L22" s="1140"/>
      <c r="M22" s="1131"/>
      <c r="N22" s="1131"/>
      <c r="O22" s="1131"/>
      <c r="P22" s="3226"/>
      <c r="Q22" s="1810"/>
      <c r="R22" s="774"/>
      <c r="S22" s="775"/>
      <c r="T22" s="774"/>
      <c r="U22" s="775"/>
      <c r="V22" s="774"/>
      <c r="W22" s="775"/>
      <c r="X22" s="1813"/>
      <c r="Y22" s="3219"/>
      <c r="Z22" s="1814"/>
      <c r="AA22" s="1811">
        <v>1</v>
      </c>
      <c r="AB22" s="1811">
        <v>1</v>
      </c>
      <c r="AC22" s="2676">
        <v>1</v>
      </c>
    </row>
    <row r="23" spans="1:29" ht="56">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6"/>
      <c r="Q23" s="1810" t="str">
        <f>B23</f>
        <v>环境质量</v>
      </c>
      <c r="R23" s="774" t="s">
        <v>17</v>
      </c>
      <c r="S23" s="775">
        <f>F23</f>
        <v>100</v>
      </c>
      <c r="T23" s="774" t="s">
        <v>17</v>
      </c>
      <c r="U23" s="775">
        <f>H23</f>
        <v>100</v>
      </c>
      <c r="V23" s="774" t="s">
        <v>17</v>
      </c>
      <c r="W23" s="775">
        <f>J23</f>
        <v>100</v>
      </c>
      <c r="X23" s="1813"/>
      <c r="Y23" s="3219"/>
      <c r="Z23" s="1814" t="str">
        <f>Q23</f>
        <v>环境质量</v>
      </c>
      <c r="AA23" s="1811">
        <f t="shared" si="3"/>
        <v>1</v>
      </c>
      <c r="AB23" s="1811">
        <f t="shared" si="4"/>
        <v>1</v>
      </c>
      <c r="AC23" s="2676">
        <f t="shared" si="5"/>
        <v>1</v>
      </c>
    </row>
    <row r="24" spans="1:29" ht="15.5">
      <c r="A24" s="428"/>
      <c r="B24" s="633"/>
      <c r="C24" s="2613"/>
      <c r="D24" s="448"/>
      <c r="E24" s="2606"/>
      <c r="F24" s="448"/>
      <c r="G24" s="2607"/>
      <c r="H24" s="448"/>
      <c r="I24" s="2607"/>
      <c r="J24" s="448"/>
      <c r="K24" s="615"/>
      <c r="L24" s="1140"/>
      <c r="M24" s="1131"/>
      <c r="N24" s="1131"/>
      <c r="O24" s="1131"/>
      <c r="P24" s="3226"/>
      <c r="Q24" s="1810"/>
      <c r="R24" s="774"/>
      <c r="S24" s="775"/>
      <c r="T24" s="774"/>
      <c r="U24" s="775"/>
      <c r="V24" s="774"/>
      <c r="W24" s="775"/>
      <c r="X24" s="1813"/>
      <c r="Y24" s="3219"/>
      <c r="Z24" s="1814"/>
      <c r="AA24" s="1811">
        <v>1</v>
      </c>
      <c r="AB24" s="1811">
        <v>1</v>
      </c>
      <c r="AC24" s="2676">
        <v>1</v>
      </c>
    </row>
    <row r="25" spans="1:29" ht="28">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26"/>
      <c r="Q25" s="1810" t="str">
        <f>B25</f>
        <v>毗邻道路的类型与等级</v>
      </c>
      <c r="R25" s="774" t="s">
        <v>17</v>
      </c>
      <c r="S25" s="775">
        <f>F25</f>
        <v>100</v>
      </c>
      <c r="T25" s="774" t="s">
        <v>17</v>
      </c>
      <c r="U25" s="775">
        <f>H25</f>
        <v>100</v>
      </c>
      <c r="V25" s="774" t="s">
        <v>17</v>
      </c>
      <c r="W25" s="775">
        <f>J25</f>
        <v>100</v>
      </c>
      <c r="X25" s="1813"/>
      <c r="Y25" s="3219"/>
      <c r="Z25" s="1814" t="str">
        <f>Q25</f>
        <v>毗邻道路的类型与等级</v>
      </c>
      <c r="AA25" s="1811">
        <f t="shared" si="3"/>
        <v>1</v>
      </c>
      <c r="AB25" s="1811">
        <f t="shared" si="4"/>
        <v>1</v>
      </c>
      <c r="AC25" s="2676">
        <f t="shared" si="5"/>
        <v>1</v>
      </c>
    </row>
    <row r="26" spans="1:29" ht="15.5">
      <c r="A26" s="404"/>
      <c r="B26" s="632"/>
      <c r="C26" s="634"/>
      <c r="D26" s="435"/>
      <c r="E26" s="616"/>
      <c r="F26" s="435"/>
      <c r="G26" s="634"/>
      <c r="H26" s="435"/>
      <c r="I26" s="616"/>
      <c r="J26" s="435"/>
      <c r="K26" s="615"/>
      <c r="L26" s="1140"/>
      <c r="M26" s="1131"/>
      <c r="N26" s="1131"/>
      <c r="O26" s="1131"/>
      <c r="P26" s="3226"/>
      <c r="Q26" s="1810"/>
      <c r="R26" s="774"/>
      <c r="S26" s="775"/>
      <c r="T26" s="774"/>
      <c r="U26" s="775"/>
      <c r="V26" s="774"/>
      <c r="W26" s="775"/>
      <c r="X26" s="1813"/>
      <c r="Y26" s="3219"/>
      <c r="Z26" s="1814"/>
      <c r="AA26" s="1811">
        <v>1</v>
      </c>
      <c r="AB26" s="1811">
        <v>1</v>
      </c>
      <c r="AC26" s="2676">
        <v>1</v>
      </c>
    </row>
    <row r="27" spans="1:29" ht="15.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6"/>
      <c r="Q27" s="1810" t="str">
        <f t="shared" ref="Q27:Q47" si="11">B27</f>
        <v>楼层</v>
      </c>
      <c r="R27" s="774" t="s">
        <v>17</v>
      </c>
      <c r="S27" s="775">
        <f>F27</f>
        <v>100</v>
      </c>
      <c r="T27" s="774" t="s">
        <v>17</v>
      </c>
      <c r="U27" s="775">
        <f>H27</f>
        <v>100</v>
      </c>
      <c r="V27" s="774" t="s">
        <v>17</v>
      </c>
      <c r="W27" s="775">
        <f>J27</f>
        <v>100</v>
      </c>
      <c r="X27" s="1813"/>
      <c r="Y27" s="3219"/>
      <c r="Z27" s="1814" t="str">
        <f>Q27</f>
        <v>楼层</v>
      </c>
      <c r="AA27" s="1811">
        <f t="shared" si="3"/>
        <v>1</v>
      </c>
      <c r="AB27" s="1811">
        <f t="shared" si="4"/>
        <v>1</v>
      </c>
      <c r="AC27" s="2676">
        <f t="shared" si="5"/>
        <v>1</v>
      </c>
    </row>
    <row r="28" spans="1:29" s="117" customFormat="1" ht="15.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26"/>
      <c r="Q28" s="1795" t="str">
        <f t="shared" si="11"/>
        <v>朝向</v>
      </c>
      <c r="R28" s="770" t="s">
        <v>17</v>
      </c>
      <c r="S28" s="771">
        <f>F28</f>
        <v>100</v>
      </c>
      <c r="T28" s="770" t="s">
        <v>17</v>
      </c>
      <c r="U28" s="771">
        <f>H28</f>
        <v>100</v>
      </c>
      <c r="V28" s="770" t="s">
        <v>17</v>
      </c>
      <c r="W28" s="771">
        <f>J28</f>
        <v>100</v>
      </c>
      <c r="X28" s="772"/>
      <c r="Y28" s="3219"/>
      <c r="Z28" s="55" t="str">
        <f>Q28</f>
        <v>朝向</v>
      </c>
      <c r="AA28" s="1811">
        <f>D28/F28</f>
        <v>1</v>
      </c>
      <c r="AB28" s="1811">
        <f>D28/H28</f>
        <v>1</v>
      </c>
      <c r="AC28" s="2676">
        <f>D28/J28</f>
        <v>1</v>
      </c>
    </row>
    <row r="29" spans="1:29" ht="15.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26"/>
      <c r="Q29" s="1810">
        <f t="shared" si="11"/>
        <v>111</v>
      </c>
      <c r="R29" s="774" t="s">
        <v>17</v>
      </c>
      <c r="S29" s="775">
        <f t="shared" ref="S29:S47" si="12">F29</f>
        <v>100</v>
      </c>
      <c r="T29" s="774" t="s">
        <v>17</v>
      </c>
      <c r="U29" s="775">
        <f t="shared" ref="U29:U47" si="13">H29</f>
        <v>100</v>
      </c>
      <c r="V29" s="774" t="s">
        <v>17</v>
      </c>
      <c r="W29" s="775">
        <f t="shared" ref="W29:W47" si="14">J29</f>
        <v>100</v>
      </c>
      <c r="X29" s="1813"/>
      <c r="Y29" s="3219"/>
      <c r="Z29" s="1814">
        <f t="shared" ref="Z29:Z47" si="15">Q29</f>
        <v>111</v>
      </c>
      <c r="AA29" s="1811">
        <f t="shared" si="3"/>
        <v>1</v>
      </c>
      <c r="AB29" s="1811">
        <f t="shared" si="4"/>
        <v>1</v>
      </c>
      <c r="AC29" s="2676">
        <f t="shared" si="5"/>
        <v>1</v>
      </c>
    </row>
    <row r="30" spans="1:29" ht="15.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26"/>
      <c r="Q30" s="1810">
        <f t="shared" si="11"/>
        <v>111</v>
      </c>
      <c r="R30" s="774" t="s">
        <v>17</v>
      </c>
      <c r="S30" s="775">
        <f t="shared" si="12"/>
        <v>100</v>
      </c>
      <c r="T30" s="774" t="s">
        <v>17</v>
      </c>
      <c r="U30" s="775">
        <f t="shared" si="13"/>
        <v>100</v>
      </c>
      <c r="V30" s="774" t="s">
        <v>17</v>
      </c>
      <c r="W30" s="775">
        <f t="shared" si="14"/>
        <v>100</v>
      </c>
      <c r="X30" s="1813"/>
      <c r="Y30" s="3219"/>
      <c r="Z30" s="1814">
        <f t="shared" si="15"/>
        <v>111</v>
      </c>
      <c r="AA30" s="1811">
        <f t="shared" si="3"/>
        <v>1</v>
      </c>
      <c r="AB30" s="1811">
        <f t="shared" si="4"/>
        <v>1</v>
      </c>
      <c r="AC30" s="2676">
        <f t="shared" si="5"/>
        <v>1</v>
      </c>
    </row>
    <row r="31" spans="1:29" ht="15.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26"/>
      <c r="Q31" s="1810">
        <f t="shared" si="11"/>
        <v>111</v>
      </c>
      <c r="R31" s="774" t="s">
        <v>17</v>
      </c>
      <c r="S31" s="775">
        <f t="shared" si="12"/>
        <v>100</v>
      </c>
      <c r="T31" s="774" t="s">
        <v>17</v>
      </c>
      <c r="U31" s="775">
        <f t="shared" si="13"/>
        <v>100</v>
      </c>
      <c r="V31" s="774" t="s">
        <v>17</v>
      </c>
      <c r="W31" s="775">
        <f t="shared" si="14"/>
        <v>100</v>
      </c>
      <c r="X31" s="1813"/>
      <c r="Y31" s="3219"/>
      <c r="Z31" s="1814">
        <f t="shared" si="15"/>
        <v>111</v>
      </c>
      <c r="AA31" s="1811">
        <f t="shared" si="3"/>
        <v>1</v>
      </c>
      <c r="AB31" s="1811">
        <f t="shared" si="4"/>
        <v>1</v>
      </c>
      <c r="AC31" s="2676">
        <f t="shared" si="5"/>
        <v>1</v>
      </c>
    </row>
    <row r="32" spans="1:29" ht="1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26"/>
      <c r="Q32" s="1810">
        <f t="shared" si="11"/>
        <v>111</v>
      </c>
      <c r="R32" s="774" t="s">
        <v>17</v>
      </c>
      <c r="S32" s="775">
        <f t="shared" si="12"/>
        <v>100</v>
      </c>
      <c r="T32" s="774" t="s">
        <v>17</v>
      </c>
      <c r="U32" s="775">
        <f t="shared" si="13"/>
        <v>100</v>
      </c>
      <c r="V32" s="774" t="s">
        <v>17</v>
      </c>
      <c r="W32" s="775">
        <f t="shared" si="14"/>
        <v>100</v>
      </c>
      <c r="X32" s="1813"/>
      <c r="Y32" s="3219"/>
      <c r="Z32" s="1814">
        <f t="shared" si="15"/>
        <v>111</v>
      </c>
      <c r="AA32" s="1811">
        <f t="shared" si="3"/>
        <v>1</v>
      </c>
      <c r="AB32" s="1811">
        <f t="shared" si="4"/>
        <v>1</v>
      </c>
      <c r="AC32" s="2676">
        <f t="shared" si="5"/>
        <v>1</v>
      </c>
    </row>
    <row r="33" spans="1:29" ht="15.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20" t="s">
        <v>2562</v>
      </c>
      <c r="Q33" s="1810" t="str">
        <f t="shared" si="11"/>
        <v>建筑类型</v>
      </c>
      <c r="R33" s="774" t="s">
        <v>17</v>
      </c>
      <c r="S33" s="775">
        <f t="shared" si="12"/>
        <v>100</v>
      </c>
      <c r="T33" s="774" t="s">
        <v>17</v>
      </c>
      <c r="U33" s="775">
        <f t="shared" si="13"/>
        <v>100</v>
      </c>
      <c r="V33" s="774" t="s">
        <v>17</v>
      </c>
      <c r="W33" s="775">
        <f t="shared" si="14"/>
        <v>100</v>
      </c>
      <c r="X33" s="1813"/>
      <c r="Y33" s="3223" t="s">
        <v>2562</v>
      </c>
      <c r="Z33" s="1814" t="str">
        <f t="shared" si="15"/>
        <v>建筑类型</v>
      </c>
      <c r="AA33" s="1811">
        <f t="shared" si="3"/>
        <v>1</v>
      </c>
      <c r="AB33" s="1811">
        <f t="shared" si="4"/>
        <v>1</v>
      </c>
      <c r="AC33" s="2676">
        <f t="shared" si="5"/>
        <v>1</v>
      </c>
    </row>
    <row r="34" spans="1:29" s="471" customFormat="1" ht="15.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1"/>
      <c r="Q34" s="776" t="str">
        <f t="shared" si="11"/>
        <v>项目建筑规模</v>
      </c>
      <c r="R34" s="777" t="s">
        <v>17</v>
      </c>
      <c r="S34" s="778" t="e">
        <f t="shared" si="12"/>
        <v>#N/A</v>
      </c>
      <c r="T34" s="777" t="s">
        <v>17</v>
      </c>
      <c r="U34" s="778" t="e">
        <f t="shared" si="13"/>
        <v>#N/A</v>
      </c>
      <c r="V34" s="777" t="s">
        <v>17</v>
      </c>
      <c r="W34" s="778" t="e">
        <f t="shared" si="14"/>
        <v>#N/A</v>
      </c>
      <c r="X34" s="779"/>
      <c r="Y34" s="3223"/>
      <c r="Z34" s="780" t="str">
        <f t="shared" si="15"/>
        <v>项目建筑规模</v>
      </c>
      <c r="AA34" s="1811" t="e">
        <f t="shared" si="3"/>
        <v>#N/A</v>
      </c>
      <c r="AB34" s="1811" t="e">
        <f t="shared" si="4"/>
        <v>#N/A</v>
      </c>
      <c r="AC34" s="2676" t="e">
        <f t="shared" si="5"/>
        <v>#N/A</v>
      </c>
    </row>
    <row r="35" spans="1:29" ht="15.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1"/>
      <c r="Q35" s="1810" t="str">
        <f t="shared" si="11"/>
        <v>建筑结构</v>
      </c>
      <c r="R35" s="774" t="s">
        <v>17</v>
      </c>
      <c r="S35" s="775">
        <f t="shared" si="12"/>
        <v>100</v>
      </c>
      <c r="T35" s="774" t="s">
        <v>17</v>
      </c>
      <c r="U35" s="775">
        <f t="shared" si="13"/>
        <v>100</v>
      </c>
      <c r="V35" s="774" t="s">
        <v>17</v>
      </c>
      <c r="W35" s="775">
        <f t="shared" si="14"/>
        <v>100</v>
      </c>
      <c r="X35" s="1813"/>
      <c r="Y35" s="3223"/>
      <c r="Z35" s="1814" t="str">
        <f t="shared" si="15"/>
        <v>建筑结构</v>
      </c>
      <c r="AA35" s="1811">
        <f t="shared" si="3"/>
        <v>1</v>
      </c>
      <c r="AB35" s="1811">
        <f t="shared" si="4"/>
        <v>1</v>
      </c>
      <c r="AC35" s="2676">
        <f t="shared" si="5"/>
        <v>1</v>
      </c>
    </row>
    <row r="36" spans="1:29" ht="15.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1"/>
      <c r="Q36" s="1810" t="str">
        <f t="shared" si="11"/>
        <v>公共部分装修</v>
      </c>
      <c r="R36" s="774" t="s">
        <v>17</v>
      </c>
      <c r="S36" s="775">
        <f t="shared" si="12"/>
        <v>100</v>
      </c>
      <c r="T36" s="774" t="s">
        <v>17</v>
      </c>
      <c r="U36" s="775">
        <f t="shared" si="13"/>
        <v>100</v>
      </c>
      <c r="V36" s="774" t="s">
        <v>17</v>
      </c>
      <c r="W36" s="775">
        <f t="shared" si="14"/>
        <v>100</v>
      </c>
      <c r="X36" s="1813"/>
      <c r="Y36" s="3223"/>
      <c r="Z36" s="1814" t="str">
        <f t="shared" si="15"/>
        <v>公共部分装修</v>
      </c>
      <c r="AA36" s="1811">
        <f t="shared" si="3"/>
        <v>1</v>
      </c>
      <c r="AB36" s="1811">
        <f t="shared" si="4"/>
        <v>1</v>
      </c>
      <c r="AC36" s="2676">
        <f t="shared" si="5"/>
        <v>1</v>
      </c>
    </row>
    <row r="37" spans="1:29" ht="15.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1"/>
      <c r="Q37" s="1810" t="str">
        <f t="shared" si="11"/>
        <v>成新度</v>
      </c>
      <c r="R37" s="774" t="s">
        <v>17</v>
      </c>
      <c r="S37" s="775" t="e">
        <f t="shared" si="12"/>
        <v>#N/A</v>
      </c>
      <c r="T37" s="774" t="s">
        <v>17</v>
      </c>
      <c r="U37" s="775" t="e">
        <f t="shared" si="13"/>
        <v>#N/A</v>
      </c>
      <c r="V37" s="774" t="s">
        <v>17</v>
      </c>
      <c r="W37" s="775" t="e">
        <f t="shared" si="14"/>
        <v>#N/A</v>
      </c>
      <c r="X37" s="1813"/>
      <c r="Y37" s="3223"/>
      <c r="Z37" s="1814" t="str">
        <f t="shared" si="15"/>
        <v>成新度</v>
      </c>
      <c r="AA37" s="1811" t="e">
        <f t="shared" si="3"/>
        <v>#N/A</v>
      </c>
      <c r="AB37" s="1811" t="e">
        <f t="shared" si="4"/>
        <v>#N/A</v>
      </c>
      <c r="AC37" s="2676" t="e">
        <f t="shared" si="5"/>
        <v>#N/A</v>
      </c>
    </row>
    <row r="38" spans="1:29" s="117" customFormat="1" ht="15.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1"/>
      <c r="Q38" s="1795" t="str">
        <f t="shared" si="11"/>
        <v>写字楼等级</v>
      </c>
      <c r="R38" s="770" t="s">
        <v>17</v>
      </c>
      <c r="S38" s="771">
        <f t="shared" si="12"/>
        <v>100</v>
      </c>
      <c r="T38" s="770" t="s">
        <v>17</v>
      </c>
      <c r="U38" s="771">
        <f t="shared" si="13"/>
        <v>100</v>
      </c>
      <c r="V38" s="770" t="s">
        <v>17</v>
      </c>
      <c r="W38" s="771">
        <f t="shared" si="14"/>
        <v>100</v>
      </c>
      <c r="X38" s="772"/>
      <c r="Y38" s="3223"/>
      <c r="Z38" s="55" t="str">
        <f t="shared" si="15"/>
        <v>写字楼等级</v>
      </c>
      <c r="AA38" s="773">
        <f t="shared" si="3"/>
        <v>1</v>
      </c>
      <c r="AB38" s="773">
        <f t="shared" si="4"/>
        <v>1</v>
      </c>
      <c r="AC38" s="2673">
        <f t="shared" si="5"/>
        <v>1</v>
      </c>
    </row>
    <row r="39" spans="1:29" ht="15.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1" t="s">
        <v>2562</v>
      </c>
      <c r="Q39" s="1810" t="str">
        <f t="shared" si="11"/>
        <v>物业管理</v>
      </c>
      <c r="R39" s="774" t="s">
        <v>17</v>
      </c>
      <c r="S39" s="775">
        <f t="shared" si="12"/>
        <v>100</v>
      </c>
      <c r="T39" s="774" t="s">
        <v>17</v>
      </c>
      <c r="U39" s="775">
        <f t="shared" si="13"/>
        <v>100</v>
      </c>
      <c r="V39" s="774" t="s">
        <v>17</v>
      </c>
      <c r="W39" s="775">
        <f t="shared" si="14"/>
        <v>100</v>
      </c>
      <c r="X39" s="1813"/>
      <c r="Y39" s="3223" t="s">
        <v>2562</v>
      </c>
      <c r="Z39" s="1814" t="str">
        <f t="shared" si="15"/>
        <v>物业管理</v>
      </c>
      <c r="AA39" s="1811">
        <f t="shared" si="3"/>
        <v>1</v>
      </c>
      <c r="AB39" s="1811">
        <f t="shared" si="4"/>
        <v>1</v>
      </c>
      <c r="AC39" s="2676">
        <f t="shared" si="5"/>
        <v>1</v>
      </c>
    </row>
    <row r="40" spans="1:29" ht="15.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1"/>
      <c r="Q40" s="1810" t="str">
        <f t="shared" si="11"/>
        <v>市政基础设施</v>
      </c>
      <c r="R40" s="774" t="s">
        <v>17</v>
      </c>
      <c r="S40" s="775">
        <f t="shared" si="12"/>
        <v>100</v>
      </c>
      <c r="T40" s="774" t="s">
        <v>17</v>
      </c>
      <c r="U40" s="775">
        <f t="shared" si="13"/>
        <v>100</v>
      </c>
      <c r="V40" s="774" t="s">
        <v>17</v>
      </c>
      <c r="W40" s="775">
        <f t="shared" si="14"/>
        <v>100</v>
      </c>
      <c r="X40" s="1813"/>
      <c r="Y40" s="3223"/>
      <c r="Z40" s="1814" t="str">
        <f t="shared" si="15"/>
        <v>市政基础设施</v>
      </c>
      <c r="AA40" s="1811">
        <f t="shared" si="3"/>
        <v>1</v>
      </c>
      <c r="AB40" s="1811">
        <f t="shared" si="4"/>
        <v>1</v>
      </c>
      <c r="AC40" s="2676">
        <f t="shared" si="5"/>
        <v>1</v>
      </c>
    </row>
    <row r="41" spans="1:29" ht="15.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1"/>
      <c r="Q41" s="1810" t="str">
        <f t="shared" si="11"/>
        <v>层高</v>
      </c>
      <c r="R41" s="774" t="s">
        <v>17</v>
      </c>
      <c r="S41" s="775">
        <f t="shared" si="12"/>
        <v>100</v>
      </c>
      <c r="T41" s="774" t="s">
        <v>17</v>
      </c>
      <c r="U41" s="775">
        <f t="shared" si="13"/>
        <v>100</v>
      </c>
      <c r="V41" s="774" t="s">
        <v>17</v>
      </c>
      <c r="W41" s="775">
        <f t="shared" si="14"/>
        <v>100</v>
      </c>
      <c r="X41" s="1813"/>
      <c r="Y41" s="3223"/>
      <c r="Z41" s="1814" t="str">
        <f t="shared" si="15"/>
        <v>层高</v>
      </c>
      <c r="AA41" s="1811">
        <f t="shared" si="3"/>
        <v>1</v>
      </c>
      <c r="AB41" s="1811">
        <f t="shared" si="4"/>
        <v>1</v>
      </c>
      <c r="AC41" s="2676">
        <f t="shared" si="5"/>
        <v>1</v>
      </c>
    </row>
    <row r="42" spans="1:29" s="471" customFormat="1" ht="15.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1"/>
      <c r="Q42" s="776" t="str">
        <f t="shared" si="11"/>
        <v>单套建筑面积</v>
      </c>
      <c r="R42" s="777" t="s">
        <v>17</v>
      </c>
      <c r="S42" s="778">
        <f t="shared" si="12"/>
        <v>100</v>
      </c>
      <c r="T42" s="777" t="s">
        <v>17</v>
      </c>
      <c r="U42" s="778">
        <f t="shared" si="13"/>
        <v>100</v>
      </c>
      <c r="V42" s="777" t="s">
        <v>17</v>
      </c>
      <c r="W42" s="778">
        <f t="shared" si="14"/>
        <v>100</v>
      </c>
      <c r="X42" s="779"/>
      <c r="Y42" s="3223"/>
      <c r="Z42" s="780" t="str">
        <f t="shared" si="15"/>
        <v>单套建筑面积</v>
      </c>
      <c r="AA42" s="1811">
        <f t="shared" si="3"/>
        <v>1</v>
      </c>
      <c r="AB42" s="1811">
        <f t="shared" si="4"/>
        <v>1</v>
      </c>
      <c r="AC42" s="2676">
        <f t="shared" si="5"/>
        <v>1</v>
      </c>
    </row>
    <row r="43" spans="1:29" ht="15.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1"/>
      <c r="Q43" s="1810" t="str">
        <f t="shared" si="11"/>
        <v>内部装修</v>
      </c>
      <c r="R43" s="774" t="s">
        <v>17</v>
      </c>
      <c r="S43" s="775">
        <f t="shared" si="12"/>
        <v>100</v>
      </c>
      <c r="T43" s="774" t="s">
        <v>17</v>
      </c>
      <c r="U43" s="775">
        <f t="shared" si="13"/>
        <v>100</v>
      </c>
      <c r="V43" s="774" t="s">
        <v>17</v>
      </c>
      <c r="W43" s="775">
        <f t="shared" si="14"/>
        <v>100</v>
      </c>
      <c r="X43" s="1813"/>
      <c r="Y43" s="3223"/>
      <c r="Z43" s="1814" t="str">
        <f t="shared" si="15"/>
        <v>内部装修</v>
      </c>
      <c r="AA43" s="1811">
        <f t="shared" si="3"/>
        <v>1</v>
      </c>
      <c r="AB43" s="1811">
        <f t="shared" si="4"/>
        <v>1</v>
      </c>
      <c r="AC43" s="2676">
        <f t="shared" si="5"/>
        <v>1</v>
      </c>
    </row>
    <row r="44" spans="1:29" ht="28">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21"/>
      <c r="Q44" s="1810" t="str">
        <f t="shared" si="11"/>
        <v>内部装修维护情况</v>
      </c>
      <c r="R44" s="774" t="s">
        <v>17</v>
      </c>
      <c r="S44" s="775">
        <f t="shared" si="12"/>
        <v>100</v>
      </c>
      <c r="T44" s="774" t="s">
        <v>17</v>
      </c>
      <c r="U44" s="775">
        <f t="shared" si="13"/>
        <v>100</v>
      </c>
      <c r="V44" s="774" t="s">
        <v>17</v>
      </c>
      <c r="W44" s="775">
        <f t="shared" si="14"/>
        <v>100</v>
      </c>
      <c r="X44" s="1813"/>
      <c r="Y44" s="3223"/>
      <c r="Z44" s="1814" t="str">
        <f t="shared" si="15"/>
        <v>内部装修维护情况</v>
      </c>
      <c r="AA44" s="1811">
        <f t="shared" si="3"/>
        <v>1</v>
      </c>
      <c r="AB44" s="1811">
        <f t="shared" si="4"/>
        <v>1</v>
      </c>
      <c r="AC44" s="2676">
        <f t="shared" si="5"/>
        <v>1</v>
      </c>
    </row>
    <row r="45" spans="1:29" s="117" customFormat="1" ht="15.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1"/>
      <c r="Q45" s="1795">
        <f t="shared" si="11"/>
        <v>111</v>
      </c>
      <c r="R45" s="770" t="s">
        <v>17</v>
      </c>
      <c r="S45" s="771">
        <f t="shared" si="12"/>
        <v>100</v>
      </c>
      <c r="T45" s="770" t="s">
        <v>17</v>
      </c>
      <c r="U45" s="771">
        <f t="shared" si="13"/>
        <v>100</v>
      </c>
      <c r="V45" s="770" t="s">
        <v>17</v>
      </c>
      <c r="W45" s="771">
        <f t="shared" si="14"/>
        <v>100</v>
      </c>
      <c r="X45" s="772"/>
      <c r="Y45" s="3223"/>
      <c r="Z45" s="55">
        <f t="shared" si="15"/>
        <v>111</v>
      </c>
      <c r="AA45" s="773">
        <f t="shared" si="3"/>
        <v>1</v>
      </c>
      <c r="AB45" s="773">
        <f t="shared" si="4"/>
        <v>1</v>
      </c>
      <c r="AC45" s="2673">
        <f t="shared" si="5"/>
        <v>1</v>
      </c>
    </row>
    <row r="46" spans="1:29" ht="15.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1"/>
      <c r="Q46" s="1810">
        <f t="shared" si="11"/>
        <v>111</v>
      </c>
      <c r="R46" s="774" t="s">
        <v>17</v>
      </c>
      <c r="S46" s="775">
        <f t="shared" si="12"/>
        <v>100</v>
      </c>
      <c r="T46" s="774" t="s">
        <v>17</v>
      </c>
      <c r="U46" s="775">
        <f t="shared" si="13"/>
        <v>100</v>
      </c>
      <c r="V46" s="774" t="s">
        <v>17</v>
      </c>
      <c r="W46" s="775">
        <f t="shared" si="14"/>
        <v>100</v>
      </c>
      <c r="X46" s="1813"/>
      <c r="Y46" s="3223"/>
      <c r="Z46" s="1814">
        <f t="shared" si="15"/>
        <v>111</v>
      </c>
      <c r="AA46" s="1811">
        <f t="shared" si="3"/>
        <v>1</v>
      </c>
      <c r="AB46" s="1811">
        <f t="shared" si="4"/>
        <v>1</v>
      </c>
      <c r="AC46" s="2676">
        <f t="shared" si="5"/>
        <v>1</v>
      </c>
    </row>
    <row r="47" spans="1:29" ht="1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2"/>
      <c r="Q47" s="1810">
        <f t="shared" si="11"/>
        <v>111</v>
      </c>
      <c r="R47" s="774" t="s">
        <v>17</v>
      </c>
      <c r="S47" s="775">
        <f t="shared" si="12"/>
        <v>100</v>
      </c>
      <c r="T47" s="774" t="s">
        <v>17</v>
      </c>
      <c r="U47" s="775">
        <f t="shared" si="13"/>
        <v>100</v>
      </c>
      <c r="V47" s="774" t="s">
        <v>17</v>
      </c>
      <c r="W47" s="775">
        <f t="shared" si="14"/>
        <v>100</v>
      </c>
      <c r="X47" s="1813"/>
      <c r="Y47" s="3224"/>
      <c r="Z47" s="1814">
        <f t="shared" si="15"/>
        <v>111</v>
      </c>
      <c r="AA47" s="1811">
        <f t="shared" si="3"/>
        <v>1</v>
      </c>
      <c r="AB47" s="1811">
        <f t="shared" si="4"/>
        <v>1</v>
      </c>
      <c r="AC47" s="2676">
        <f t="shared" si="5"/>
        <v>1</v>
      </c>
    </row>
    <row r="48" spans="1:29">
      <c r="A48" s="479" t="s">
        <v>2574</v>
      </c>
      <c r="B48" s="480"/>
      <c r="C48" s="1407" t="s">
        <v>1</v>
      </c>
      <c r="D48" s="1408"/>
      <c r="E48" s="1409"/>
      <c r="F48" s="1410"/>
      <c r="G48" s="1411"/>
      <c r="H48" s="1412"/>
      <c r="I48" s="1409"/>
      <c r="J48" s="485"/>
      <c r="K48" s="783"/>
      <c r="L48" s="1143"/>
      <c r="M48" s="1131"/>
      <c r="N48" s="1131"/>
      <c r="O48" s="1131"/>
      <c r="P48" s="3198" t="str">
        <f>A48</f>
        <v>成交单价（元/平方米）</v>
      </c>
      <c r="Q48" s="3216"/>
      <c r="R48" s="3217">
        <f>E48</f>
        <v>0</v>
      </c>
      <c r="S48" s="3217"/>
      <c r="T48" s="3217">
        <f>G48</f>
        <v>0</v>
      </c>
      <c r="U48" s="3217"/>
      <c r="V48" s="3217">
        <f>I48</f>
        <v>0</v>
      </c>
      <c r="W48" s="3217"/>
      <c r="X48" s="446"/>
      <c r="Y48" s="781"/>
      <c r="Z48" s="446"/>
      <c r="AA48" s="446"/>
      <c r="AB48" s="446"/>
      <c r="AC48" s="630"/>
    </row>
    <row r="49" spans="1:29" ht="14.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8"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6"/>
      <c r="Y49" s="446"/>
      <c r="Z49" s="446"/>
      <c r="AA49" s="446"/>
      <c r="AB49" s="446"/>
      <c r="AC49" s="630"/>
    </row>
    <row r="50" spans="1:29" ht="14.5" thickBot="1">
      <c r="A50" s="492" t="s">
        <v>2667</v>
      </c>
      <c r="B50" s="493"/>
      <c r="C50" s="1417" t="e">
        <f>R50</f>
        <v>#DIV/0!</v>
      </c>
      <c r="D50" s="1417"/>
      <c r="E50" s="1417"/>
      <c r="F50" s="1417"/>
      <c r="G50" s="1417"/>
      <c r="H50" s="1417"/>
      <c r="I50" s="1417"/>
      <c r="J50" s="494"/>
      <c r="K50" s="785"/>
      <c r="L50" s="1143"/>
      <c r="M50" s="1131"/>
      <c r="N50" s="1131"/>
      <c r="O50" s="1131"/>
      <c r="P50" s="3239" t="str">
        <f>A50</f>
        <v>估价对象XX用房的比较价值（楼面单价，元/平方米）</v>
      </c>
      <c r="Q50" s="3240"/>
      <c r="R50" s="3241" t="e">
        <f>IF(F1="售价",ROUND(AVERAGE(R49:V49),0),ROUND(AVERAGE(R49:V49),1))</f>
        <v>#DIV/0!</v>
      </c>
      <c r="S50" s="3241"/>
      <c r="T50" s="3241"/>
      <c r="U50" s="3241"/>
      <c r="V50" s="3241"/>
      <c r="W50" s="3241"/>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5" thickBot="1">
      <c r="A58" s="763" t="s">
        <v>2671</v>
      </c>
      <c r="B58" s="759"/>
      <c r="C58" s="764"/>
      <c r="D58" s="764"/>
      <c r="E58" s="764"/>
      <c r="F58" s="765"/>
      <c r="G58" s="765"/>
      <c r="H58" s="764"/>
      <c r="I58" s="764"/>
      <c r="J58" s="764"/>
      <c r="K58" s="766"/>
      <c r="L58" s="1161"/>
      <c r="M58" s="1159"/>
      <c r="N58" s="1159"/>
      <c r="O58" s="1159"/>
      <c r="P58" s="2683"/>
      <c r="Q58" s="504"/>
    </row>
    <row r="59" spans="1:29" s="508" customFormat="1">
      <c r="A59" s="505" t="s">
        <v>2545</v>
      </c>
      <c r="B59" s="506"/>
      <c r="C59" s="1574" t="str">
        <f>YEAR(C7)&amp;"-"&amp;MONTH(C7)</f>
        <v>2020-2</v>
      </c>
      <c r="D59" s="1575">
        <f>EDATE(C59,-1)</f>
        <v>43831</v>
      </c>
      <c r="E59" s="1575">
        <f>EDATE(D59,-1)</f>
        <v>43800</v>
      </c>
      <c r="F59" s="1575">
        <f t="shared" ref="F59:O59" si="16">EDATE(E59,-1)</f>
        <v>43770</v>
      </c>
      <c r="G59" s="1575">
        <f t="shared" si="16"/>
        <v>43739</v>
      </c>
      <c r="H59" s="1575">
        <f t="shared" si="16"/>
        <v>43709</v>
      </c>
      <c r="I59" s="1575">
        <f t="shared" si="16"/>
        <v>43678</v>
      </c>
      <c r="J59" s="1575">
        <f t="shared" si="16"/>
        <v>43647</v>
      </c>
      <c r="K59" s="1575">
        <f t="shared" si="16"/>
        <v>43617</v>
      </c>
      <c r="L59" s="1575">
        <f t="shared" si="16"/>
        <v>43586</v>
      </c>
      <c r="M59" s="1575">
        <f t="shared" si="16"/>
        <v>43556</v>
      </c>
      <c r="N59" s="1575">
        <f t="shared" si="16"/>
        <v>43525</v>
      </c>
      <c r="O59" s="1575">
        <f t="shared" si="16"/>
        <v>43497</v>
      </c>
      <c r="P59" s="1571"/>
    </row>
    <row r="60" spans="1:29" s="117" customFormat="1">
      <c r="A60" s="509"/>
      <c r="B60" s="510"/>
      <c r="C60" s="1573">
        <v>100</v>
      </c>
      <c r="D60" s="512"/>
      <c r="E60" s="512"/>
      <c r="F60" s="512"/>
      <c r="G60" s="512"/>
      <c r="H60" s="512"/>
      <c r="I60" s="512"/>
      <c r="J60" s="512"/>
      <c r="K60" s="512"/>
      <c r="L60" s="512"/>
      <c r="M60" s="513"/>
      <c r="N60" s="512"/>
      <c r="O60" s="513"/>
      <c r="P60" s="2684"/>
    </row>
    <row r="61" spans="1:29" s="117" customFormat="1" ht="14.5" thickBot="1">
      <c r="A61" s="515" t="s">
        <v>2582</v>
      </c>
      <c r="B61" s="516"/>
      <c r="C61" s="517"/>
      <c r="D61" s="518"/>
      <c r="E61" s="518"/>
      <c r="F61" s="518"/>
      <c r="G61" s="518"/>
      <c r="H61" s="518"/>
      <c r="I61" s="518"/>
      <c r="J61" s="518"/>
      <c r="K61" s="518"/>
      <c r="L61" s="518"/>
      <c r="M61" s="519"/>
      <c r="N61" s="518"/>
      <c r="O61" s="519"/>
      <c r="P61" s="2684"/>
      <c r="Q61" s="504"/>
    </row>
    <row r="62" spans="1:29" s="117" customFormat="1">
      <c r="A62" s="521" t="s">
        <v>2547</v>
      </c>
      <c r="B62" s="510"/>
      <c r="C62" s="522" t="s">
        <v>2649</v>
      </c>
      <c r="D62" s="523"/>
      <c r="E62" s="523"/>
      <c r="F62" s="523"/>
      <c r="G62" s="523"/>
      <c r="H62" s="523"/>
      <c r="I62" s="523"/>
      <c r="J62" s="523"/>
      <c r="K62" s="523"/>
      <c r="L62" s="524"/>
      <c r="M62" s="525"/>
      <c r="N62" s="1151"/>
      <c r="O62" s="1151"/>
      <c r="P62" s="2685"/>
      <c r="Q62" s="504"/>
    </row>
    <row r="63" spans="1:29" s="117" customFormat="1" ht="14.5" thickBot="1">
      <c r="A63" s="521"/>
      <c r="B63" s="510"/>
      <c r="C63" s="511">
        <v>100</v>
      </c>
      <c r="D63" s="512"/>
      <c r="E63" s="512"/>
      <c r="F63" s="512"/>
      <c r="G63" s="512"/>
      <c r="H63" s="512"/>
      <c r="I63" s="512"/>
      <c r="J63" s="512"/>
      <c r="K63" s="512"/>
      <c r="L63" s="512"/>
      <c r="M63" s="514"/>
      <c r="N63" s="1151"/>
      <c r="O63" s="1151"/>
      <c r="P63" s="2684"/>
      <c r="Q63" s="504"/>
    </row>
    <row r="64" spans="1:29">
      <c r="A64" s="527" t="s">
        <v>2585</v>
      </c>
      <c r="B64" s="528" t="s">
        <v>2551</v>
      </c>
      <c r="C64" s="529">
        <f>C9</f>
        <v>0</v>
      </c>
      <c r="D64" s="530"/>
      <c r="E64" s="530"/>
      <c r="F64" s="530"/>
      <c r="G64" s="530"/>
      <c r="H64" s="530"/>
      <c r="I64" s="530"/>
      <c r="J64" s="530"/>
      <c r="K64" s="531"/>
      <c r="L64" s="532"/>
      <c r="M64" s="533"/>
      <c r="N64" s="1152"/>
      <c r="O64" s="1152"/>
      <c r="P64" s="2686"/>
      <c r="Q64" s="504"/>
    </row>
    <row r="65" spans="1:17" ht="14.5" thickBot="1">
      <c r="A65" s="534"/>
      <c r="B65" s="535"/>
      <c r="C65" s="536">
        <v>100</v>
      </c>
      <c r="D65" s="536"/>
      <c r="E65" s="536"/>
      <c r="F65" s="536"/>
      <c r="G65" s="536"/>
      <c r="H65" s="536"/>
      <c r="I65" s="536"/>
      <c r="J65" s="536"/>
      <c r="K65" s="536"/>
      <c r="L65" s="536"/>
      <c r="M65" s="537"/>
      <c r="N65" s="1153"/>
      <c r="O65" s="1153"/>
      <c r="P65" s="2686"/>
      <c r="Q65" s="504"/>
    </row>
    <row r="66" spans="1:17" ht="28.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6"/>
      <c r="Q66" s="504"/>
    </row>
    <row r="67" spans="1:17" ht="14.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4.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c r="A69" s="534"/>
      <c r="B69" s="548"/>
      <c r="C69" s="549"/>
      <c r="D69" s="549"/>
      <c r="E69" s="549"/>
      <c r="F69" s="549"/>
      <c r="G69" s="549"/>
      <c r="H69" s="549"/>
      <c r="I69" s="549"/>
      <c r="J69" s="549"/>
      <c r="K69" s="550"/>
      <c r="L69" s="551"/>
      <c r="M69" s="552"/>
      <c r="N69" s="1152"/>
      <c r="O69" s="1152"/>
      <c r="P69" s="2686"/>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4.5" thickTop="1">
      <c r="A71" s="553"/>
      <c r="B71" s="538">
        <f>B12</f>
        <v>111</v>
      </c>
      <c r="C71" s="554"/>
      <c r="D71" s="554"/>
      <c r="E71" s="554"/>
      <c r="F71" s="554"/>
      <c r="G71" s="554"/>
      <c r="H71" s="555"/>
      <c r="I71" s="555"/>
      <c r="J71" s="555"/>
      <c r="K71" s="555"/>
      <c r="L71" s="556"/>
      <c r="M71" s="557"/>
      <c r="N71" s="1154"/>
      <c r="O71" s="1154"/>
      <c r="P71" s="2687"/>
      <c r="Q71" s="559"/>
    </row>
    <row r="72" spans="1:17" s="471" customFormat="1" ht="14.5" thickBot="1">
      <c r="A72" s="553"/>
      <c r="B72" s="543"/>
      <c r="C72" s="560"/>
      <c r="D72" s="536"/>
      <c r="E72" s="536"/>
      <c r="F72" s="536"/>
      <c r="G72" s="536"/>
      <c r="H72" s="536"/>
      <c r="I72" s="536"/>
      <c r="J72" s="536"/>
      <c r="K72" s="536"/>
      <c r="L72" s="536"/>
      <c r="M72" s="537"/>
      <c r="N72" s="1153"/>
      <c r="O72" s="1153"/>
      <c r="P72" s="2687"/>
      <c r="Q72" s="559"/>
    </row>
    <row r="73" spans="1:17" s="471" customFormat="1" ht="14.5" thickTop="1">
      <c r="A73" s="553"/>
      <c r="B73" s="538">
        <f>B13</f>
        <v>111</v>
      </c>
      <c r="C73" s="554"/>
      <c r="D73" s="554"/>
      <c r="E73" s="554"/>
      <c r="F73" s="554"/>
      <c r="G73" s="554"/>
      <c r="H73" s="555"/>
      <c r="I73" s="555"/>
      <c r="J73" s="555"/>
      <c r="K73" s="555"/>
      <c r="L73" s="556"/>
      <c r="M73" s="557"/>
      <c r="N73" s="1154"/>
      <c r="O73" s="1154"/>
      <c r="P73" s="2688"/>
      <c r="Q73" s="561"/>
    </row>
    <row r="74" spans="1:17" s="471" customFormat="1" ht="14.5" thickBot="1">
      <c r="A74" s="553"/>
      <c r="B74" s="543"/>
      <c r="C74" s="560"/>
      <c r="D74" s="560"/>
      <c r="E74" s="560"/>
      <c r="F74" s="560"/>
      <c r="G74" s="560"/>
      <c r="H74" s="562"/>
      <c r="I74" s="562"/>
      <c r="J74" s="562"/>
      <c r="K74" s="562"/>
      <c r="L74" s="562"/>
      <c r="M74" s="563"/>
      <c r="N74" s="1154"/>
      <c r="O74" s="1154"/>
      <c r="P74" s="2687"/>
      <c r="Q74" s="559"/>
    </row>
    <row r="75" spans="1:17" s="471" customFormat="1" ht="14.5" thickTop="1">
      <c r="A75" s="553"/>
      <c r="B75" s="546">
        <f>B14</f>
        <v>111</v>
      </c>
      <c r="C75" s="523"/>
      <c r="D75" s="523"/>
      <c r="E75" s="523"/>
      <c r="F75" s="523"/>
      <c r="G75" s="523"/>
      <c r="H75" s="564"/>
      <c r="I75" s="564"/>
      <c r="J75" s="564"/>
      <c r="K75" s="564"/>
      <c r="L75" s="565"/>
      <c r="M75" s="566"/>
      <c r="N75" s="1154"/>
      <c r="O75" s="1154"/>
      <c r="P75" s="2689"/>
      <c r="Q75" s="559"/>
    </row>
    <row r="76" spans="1:17" s="471" customFormat="1" ht="14.5" thickBot="1">
      <c r="A76" s="568"/>
      <c r="B76" s="569"/>
      <c r="C76" s="570"/>
      <c r="D76" s="570"/>
      <c r="E76" s="570"/>
      <c r="F76" s="570"/>
      <c r="G76" s="570"/>
      <c r="H76" s="571"/>
      <c r="I76" s="571"/>
      <c r="J76" s="571"/>
      <c r="K76" s="571"/>
      <c r="L76" s="571"/>
      <c r="M76" s="572"/>
      <c r="N76" s="1154"/>
      <c r="O76" s="1154"/>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90"/>
      <c r="Q77" s="504"/>
    </row>
    <row r="78" spans="1:17" ht="14.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4.5" thickTop="1">
      <c r="A79" s="534"/>
      <c r="B79" s="538" t="s">
        <v>2599</v>
      </c>
      <c r="C79" s="578" t="s">
        <v>2594</v>
      </c>
      <c r="D79" s="578" t="s">
        <v>2595</v>
      </c>
      <c r="E79" s="578" t="s">
        <v>2596</v>
      </c>
      <c r="F79" s="578" t="s">
        <v>2597</v>
      </c>
      <c r="G79" s="578" t="s">
        <v>2598</v>
      </c>
      <c r="H79" s="539"/>
      <c r="I79" s="539"/>
      <c r="J79" s="539"/>
      <c r="K79" s="540"/>
      <c r="L79" s="541"/>
      <c r="M79" s="542"/>
      <c r="N79" s="1152"/>
      <c r="O79" s="1152"/>
      <c r="P79" s="2686"/>
      <c r="Q79" s="504"/>
    </row>
    <row r="80" spans="1:17" ht="14.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4.5" thickTop="1">
      <c r="A81" s="534"/>
      <c r="B81" s="538" t="s">
        <v>2600</v>
      </c>
      <c r="C81" s="578" t="s">
        <v>2594</v>
      </c>
      <c r="D81" s="578" t="s">
        <v>2595</v>
      </c>
      <c r="E81" s="578" t="s">
        <v>2596</v>
      </c>
      <c r="F81" s="578" t="s">
        <v>2597</v>
      </c>
      <c r="G81" s="578" t="s">
        <v>2598</v>
      </c>
      <c r="H81" s="539"/>
      <c r="I81" s="539"/>
      <c r="J81" s="539"/>
      <c r="K81" s="540"/>
      <c r="L81" s="541"/>
      <c r="M81" s="542"/>
      <c r="N81" s="1152"/>
      <c r="O81" s="1152"/>
      <c r="P81" s="2686"/>
      <c r="Q81" s="504"/>
    </row>
    <row r="82" spans="1:17" ht="14.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4.5" thickTop="1">
      <c r="A83" s="534"/>
      <c r="B83" s="546" t="s">
        <v>2686</v>
      </c>
      <c r="C83" s="660" t="s">
        <v>2672</v>
      </c>
      <c r="D83" s="660" t="s">
        <v>2673</v>
      </c>
      <c r="E83" s="660" t="s">
        <v>2674</v>
      </c>
      <c r="F83" s="660" t="s">
        <v>2675</v>
      </c>
      <c r="G83" s="660" t="s">
        <v>2676</v>
      </c>
      <c r="H83" s="539"/>
      <c r="I83" s="539"/>
      <c r="J83" s="539"/>
      <c r="K83" s="539"/>
      <c r="L83" s="539"/>
      <c r="M83" s="1382"/>
      <c r="N83" s="1153"/>
      <c r="O83" s="1153"/>
      <c r="P83" s="2686"/>
      <c r="Q83" s="504"/>
    </row>
    <row r="84" spans="1:17" ht="14.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4.5" thickTop="1">
      <c r="A85" s="534"/>
      <c r="B85" s="538" t="s">
        <v>2695</v>
      </c>
      <c r="C85" s="578" t="s">
        <v>2594</v>
      </c>
      <c r="D85" s="578" t="s">
        <v>2595</v>
      </c>
      <c r="E85" s="578" t="s">
        <v>2596</v>
      </c>
      <c r="F85" s="578" t="s">
        <v>2597</v>
      </c>
      <c r="G85" s="578" t="s">
        <v>2598</v>
      </c>
      <c r="H85" s="539"/>
      <c r="I85" s="539"/>
      <c r="J85" s="539"/>
      <c r="K85" s="540"/>
      <c r="L85" s="541"/>
      <c r="M85" s="542"/>
      <c r="N85" s="1152"/>
      <c r="O85" s="1152"/>
      <c r="P85" s="2686"/>
      <c r="Q85" s="504"/>
    </row>
    <row r="86" spans="1:17" ht="14.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8.5" thickTop="1">
      <c r="A87" s="579"/>
      <c r="B87" s="538" t="s">
        <v>2696</v>
      </c>
      <c r="C87" s="554"/>
      <c r="D87" s="554"/>
      <c r="E87" s="554"/>
      <c r="F87" s="554"/>
      <c r="G87" s="554"/>
      <c r="H87" s="554"/>
      <c r="I87" s="554"/>
      <c r="J87" s="554"/>
      <c r="K87" s="554"/>
      <c r="L87" s="580"/>
      <c r="M87" s="581"/>
      <c r="N87" s="1151"/>
      <c r="O87" s="1151"/>
      <c r="P87" s="2686"/>
      <c r="Q87" s="504"/>
    </row>
    <row r="88" spans="1:17" s="117" customFormat="1" ht="14.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4.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4.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4.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4.5" thickTop="1">
      <c r="A93" s="534"/>
      <c r="B93" s="538">
        <f>B29</f>
        <v>111</v>
      </c>
      <c r="C93" s="554"/>
      <c r="D93" s="554"/>
      <c r="E93" s="554"/>
      <c r="F93" s="554"/>
      <c r="G93" s="554"/>
      <c r="H93" s="554"/>
      <c r="I93" s="554"/>
      <c r="J93" s="554"/>
      <c r="K93" s="554"/>
      <c r="L93" s="580"/>
      <c r="M93" s="581"/>
      <c r="N93" s="1152"/>
      <c r="O93" s="1152"/>
      <c r="P93" s="2686"/>
      <c r="Q93" s="504"/>
    </row>
    <row r="94" spans="1:17" ht="14.5" thickBot="1">
      <c r="A94" s="534"/>
      <c r="B94" s="543"/>
      <c r="C94" s="560"/>
      <c r="D94" s="536"/>
      <c r="E94" s="536"/>
      <c r="F94" s="536"/>
      <c r="G94" s="536"/>
      <c r="H94" s="536"/>
      <c r="I94" s="536"/>
      <c r="J94" s="536"/>
      <c r="K94" s="536"/>
      <c r="L94" s="536"/>
      <c r="M94" s="537"/>
      <c r="N94" s="1153"/>
      <c r="O94" s="1153"/>
      <c r="P94" s="2686"/>
      <c r="Q94" s="504"/>
    </row>
    <row r="95" spans="1:17" ht="14.5" thickTop="1">
      <c r="A95" s="534"/>
      <c r="B95" s="538">
        <f>B30</f>
        <v>111</v>
      </c>
      <c r="C95" s="554"/>
      <c r="D95" s="554"/>
      <c r="E95" s="554"/>
      <c r="F95" s="554"/>
      <c r="G95" s="583"/>
      <c r="H95" s="583"/>
      <c r="I95" s="583"/>
      <c r="J95" s="583"/>
      <c r="K95" s="584"/>
      <c r="L95" s="585"/>
      <c r="M95" s="586"/>
      <c r="N95" s="1152"/>
      <c r="O95" s="1152"/>
      <c r="P95" s="2686"/>
      <c r="Q95" s="504"/>
    </row>
    <row r="96" spans="1:17" ht="14.5" thickBot="1">
      <c r="A96" s="534"/>
      <c r="B96" s="543"/>
      <c r="C96" s="560"/>
      <c r="D96" s="560"/>
      <c r="E96" s="560"/>
      <c r="F96" s="560"/>
      <c r="G96" s="536"/>
      <c r="H96" s="536"/>
      <c r="I96" s="536"/>
      <c r="J96" s="536"/>
      <c r="K96" s="536"/>
      <c r="L96" s="536"/>
      <c r="M96" s="537"/>
      <c r="N96" s="1153"/>
      <c r="O96" s="1153"/>
      <c r="P96" s="2686"/>
      <c r="Q96" s="504"/>
    </row>
    <row r="97" spans="1:17" ht="14.5" thickTop="1">
      <c r="A97" s="534"/>
      <c r="B97" s="538">
        <f>B31</f>
        <v>111</v>
      </c>
      <c r="C97" s="554"/>
      <c r="D97" s="554"/>
      <c r="E97" s="554"/>
      <c r="F97" s="554"/>
      <c r="G97" s="583"/>
      <c r="H97" s="583"/>
      <c r="I97" s="583"/>
      <c r="J97" s="583"/>
      <c r="K97" s="584"/>
      <c r="L97" s="585"/>
      <c r="M97" s="586"/>
      <c r="N97" s="1152"/>
      <c r="O97" s="1152"/>
      <c r="P97" s="2686"/>
      <c r="Q97" s="504"/>
    </row>
    <row r="98" spans="1:17" ht="14.5" thickBot="1">
      <c r="A98" s="534"/>
      <c r="B98" s="543"/>
      <c r="C98" s="560"/>
      <c r="D98" s="536"/>
      <c r="E98" s="536"/>
      <c r="F98" s="536"/>
      <c r="G98" s="536"/>
      <c r="H98" s="536"/>
      <c r="I98" s="536"/>
      <c r="J98" s="536"/>
      <c r="K98" s="536"/>
      <c r="L98" s="536"/>
      <c r="M98" s="537"/>
      <c r="N98" s="1153"/>
      <c r="O98" s="1153"/>
      <c r="P98" s="2686"/>
      <c r="Q98" s="504"/>
    </row>
    <row r="99" spans="1:17" ht="14.5" thickTop="1">
      <c r="A99" s="534"/>
      <c r="B99" s="546">
        <f>B32</f>
        <v>111</v>
      </c>
      <c r="C99" s="523"/>
      <c r="D99" s="523"/>
      <c r="E99" s="523"/>
      <c r="F99" s="523"/>
      <c r="G99" s="587"/>
      <c r="H99" s="587"/>
      <c r="I99" s="587"/>
      <c r="J99" s="587"/>
      <c r="K99" s="588"/>
      <c r="L99" s="589"/>
      <c r="M99" s="590"/>
      <c r="N99" s="1152"/>
      <c r="O99" s="1152"/>
      <c r="P99" s="2686"/>
      <c r="Q99" s="504"/>
    </row>
    <row r="100" spans="1:17" ht="14.5" thickBot="1">
      <c r="A100" s="2638"/>
      <c r="B100" s="569"/>
      <c r="C100" s="570"/>
      <c r="D100" s="570"/>
      <c r="E100" s="570"/>
      <c r="F100" s="570"/>
      <c r="G100" s="591"/>
      <c r="H100" s="591"/>
      <c r="I100" s="591"/>
      <c r="J100" s="591"/>
      <c r="K100" s="591"/>
      <c r="L100" s="591"/>
      <c r="M100" s="592"/>
      <c r="N100" s="1153"/>
      <c r="O100" s="1153"/>
      <c r="P100" s="2686"/>
      <c r="Q100" s="504"/>
    </row>
    <row r="101" spans="1:17">
      <c r="A101" s="527" t="s">
        <v>2560</v>
      </c>
      <c r="B101" s="528" t="s">
        <v>2609</v>
      </c>
      <c r="C101" s="530"/>
      <c r="D101" s="530"/>
      <c r="E101" s="530"/>
      <c r="F101" s="530"/>
      <c r="G101" s="530"/>
      <c r="H101" s="530"/>
      <c r="I101" s="530"/>
      <c r="J101" s="530"/>
      <c r="K101" s="531"/>
      <c r="L101" s="532"/>
      <c r="M101" s="533"/>
      <c r="N101" s="1152"/>
      <c r="O101" s="1152"/>
      <c r="P101" s="2686"/>
      <c r="Q101" s="504"/>
    </row>
    <row r="102" spans="1:17" ht="14.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4.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4.5" thickBot="1">
      <c r="A105" s="553"/>
      <c r="B105" s="543"/>
      <c r="C105" s="560"/>
      <c r="D105" s="536"/>
      <c r="E105" s="536"/>
      <c r="F105" s="536"/>
      <c r="G105" s="536"/>
      <c r="H105" s="536"/>
      <c r="I105" s="536"/>
      <c r="J105" s="536"/>
      <c r="K105" s="536"/>
      <c r="L105" s="536"/>
      <c r="M105" s="537"/>
      <c r="N105" s="1153"/>
      <c r="O105" s="1153"/>
      <c r="P105" s="2687"/>
      <c r="Q105" s="559"/>
    </row>
    <row r="106" spans="1:17" ht="14.5" thickTop="1">
      <c r="A106" s="599"/>
      <c r="B106" s="538" t="s">
        <v>2611</v>
      </c>
      <c r="C106" s="554"/>
      <c r="D106" s="554"/>
      <c r="E106" s="583"/>
      <c r="F106" s="583"/>
      <c r="G106" s="583"/>
      <c r="H106" s="583"/>
      <c r="I106" s="583"/>
      <c r="J106" s="583"/>
      <c r="K106" s="584"/>
      <c r="L106" s="585"/>
      <c r="M106" s="586"/>
      <c r="N106" s="1152"/>
      <c r="O106" s="1152"/>
      <c r="P106" s="2686"/>
      <c r="Q106" s="504"/>
    </row>
    <row r="107" spans="1:17" ht="14.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4.5" thickTop="1">
      <c r="A108" s="599"/>
      <c r="B108" s="538" t="s">
        <v>2613</v>
      </c>
      <c r="C108" s="554"/>
      <c r="D108" s="554"/>
      <c r="E108" s="554"/>
      <c r="F108" s="583"/>
      <c r="G108" s="583"/>
      <c r="H108" s="583"/>
      <c r="I108" s="583"/>
      <c r="J108" s="583"/>
      <c r="K108" s="584"/>
      <c r="L108" s="585"/>
      <c r="M108" s="586"/>
      <c r="N108" s="1152"/>
      <c r="O108" s="1152"/>
      <c r="P108" s="2686"/>
      <c r="Q108" s="504"/>
    </row>
    <row r="109" spans="1:17" ht="14.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4.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4.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4.5" thickTop="1">
      <c r="A113" s="593"/>
      <c r="B113" s="538" t="s">
        <v>2697</v>
      </c>
      <c r="C113" s="554"/>
      <c r="D113" s="554"/>
      <c r="E113" s="554"/>
      <c r="F113" s="554"/>
      <c r="G113" s="554"/>
      <c r="H113" s="583"/>
      <c r="I113" s="583"/>
      <c r="J113" s="583"/>
      <c r="K113" s="584"/>
      <c r="L113" s="585"/>
      <c r="M113" s="586"/>
      <c r="N113" s="1154"/>
      <c r="O113" s="1154"/>
      <c r="P113" s="2687"/>
      <c r="Q113" s="559"/>
    </row>
    <row r="114" spans="1:17" s="471" customFormat="1" ht="14.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4.5" thickTop="1">
      <c r="A115" s="599"/>
      <c r="B115" s="538" t="s">
        <v>2614</v>
      </c>
      <c r="C115" s="554"/>
      <c r="D115" s="554"/>
      <c r="E115" s="583"/>
      <c r="F115" s="583"/>
      <c r="G115" s="583"/>
      <c r="H115" s="583"/>
      <c r="I115" s="583"/>
      <c r="J115" s="583"/>
      <c r="K115" s="584"/>
      <c r="L115" s="585"/>
      <c r="M115" s="586"/>
      <c r="N115" s="1152"/>
      <c r="O115" s="1152"/>
      <c r="P115" s="2686"/>
      <c r="Q115" s="504"/>
    </row>
    <row r="116" spans="1:17" ht="14.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4.5" thickTop="1">
      <c r="A117" s="599"/>
      <c r="B117" s="538" t="s">
        <v>2615</v>
      </c>
      <c r="C117" s="554"/>
      <c r="D117" s="554"/>
      <c r="E117" s="554"/>
      <c r="F117" s="554"/>
      <c r="G117" s="554"/>
      <c r="H117" s="583"/>
      <c r="I117" s="583"/>
      <c r="J117" s="583"/>
      <c r="K117" s="584"/>
      <c r="L117" s="585"/>
      <c r="M117" s="586"/>
      <c r="N117" s="1152"/>
      <c r="O117" s="1152"/>
      <c r="P117" s="2686"/>
      <c r="Q117" s="504"/>
    </row>
    <row r="118" spans="1:17" ht="14.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4.5" thickTop="1">
      <c r="A119" s="599"/>
      <c r="B119" s="636" t="s">
        <v>2698</v>
      </c>
      <c r="C119" s="583"/>
      <c r="D119" s="583"/>
      <c r="E119" s="583"/>
      <c r="F119" s="583"/>
      <c r="G119" s="583"/>
      <c r="H119" s="583"/>
      <c r="I119" s="583"/>
      <c r="J119" s="583"/>
      <c r="K119" s="583"/>
      <c r="L119" s="2691"/>
      <c r="M119" s="2692"/>
      <c r="N119" s="1153"/>
      <c r="O119" s="1153"/>
      <c r="P119" s="2693"/>
      <c r="Q119" s="638"/>
    </row>
    <row r="120" spans="1:17" ht="14.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4.5" thickTop="1">
      <c r="A121" s="593"/>
      <c r="B121" s="538" t="s">
        <v>2681</v>
      </c>
      <c r="C121" s="554"/>
      <c r="D121" s="554"/>
      <c r="E121" s="554"/>
      <c r="F121" s="583"/>
      <c r="G121" s="555"/>
      <c r="H121" s="555"/>
      <c r="I121" s="555"/>
      <c r="J121" s="555"/>
      <c r="K121" s="555"/>
      <c r="L121" s="556"/>
      <c r="M121" s="557"/>
      <c r="N121" s="1154"/>
      <c r="O121" s="1154"/>
      <c r="P121" s="2687"/>
      <c r="Q121" s="559"/>
    </row>
    <row r="122" spans="1:17" s="471" customFormat="1" ht="14.5" thickBot="1">
      <c r="A122" s="553"/>
      <c r="B122" s="535"/>
      <c r="C122" s="560"/>
      <c r="D122" s="560"/>
      <c r="E122" s="560"/>
      <c r="F122" s="560"/>
      <c r="G122" s="560"/>
      <c r="H122" s="560"/>
      <c r="I122" s="560"/>
      <c r="J122" s="560"/>
      <c r="K122" s="560"/>
      <c r="L122" s="560"/>
      <c r="M122" s="560"/>
      <c r="N122" s="1154"/>
      <c r="O122" s="1154"/>
      <c r="P122" s="2687"/>
      <c r="Q122" s="559"/>
    </row>
    <row r="123" spans="1:17" ht="14.5" thickTop="1">
      <c r="A123" s="599"/>
      <c r="B123" s="538" t="s">
        <v>2617</v>
      </c>
      <c r="C123" s="554"/>
      <c r="D123" s="554"/>
      <c r="E123" s="554"/>
      <c r="F123" s="583"/>
      <c r="G123" s="583"/>
      <c r="H123" s="583"/>
      <c r="I123" s="583"/>
      <c r="J123" s="583"/>
      <c r="K123" s="584"/>
      <c r="L123" s="585"/>
      <c r="M123" s="586"/>
      <c r="N123" s="1152"/>
      <c r="O123" s="1152"/>
      <c r="P123" s="2686"/>
      <c r="Q123" s="504"/>
    </row>
    <row r="124" spans="1:17" ht="14.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28.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7"/>
      <c r="Q125" s="504"/>
    </row>
    <row r="126" spans="1:17" ht="14.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4.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4.5" thickBot="1">
      <c r="A128" s="553"/>
      <c r="B128" s="543"/>
      <c r="C128" s="560"/>
      <c r="D128" s="536"/>
      <c r="E128" s="536"/>
      <c r="F128" s="536"/>
      <c r="G128" s="560"/>
      <c r="H128" s="562"/>
      <c r="I128" s="562"/>
      <c r="J128" s="562"/>
      <c r="K128" s="562"/>
      <c r="L128" s="562"/>
      <c r="M128" s="563"/>
      <c r="N128" s="1154"/>
      <c r="O128" s="1154"/>
      <c r="P128" s="2687"/>
      <c r="Q128" s="559"/>
    </row>
    <row r="129" spans="1:17" ht="14.5" thickTop="1">
      <c r="A129" s="599"/>
      <c r="B129" s="538">
        <f>B46</f>
        <v>111</v>
      </c>
      <c r="C129" s="554"/>
      <c r="D129" s="554"/>
      <c r="E129" s="554"/>
      <c r="F129" s="554"/>
      <c r="G129" s="583"/>
      <c r="H129" s="583"/>
      <c r="I129" s="583"/>
      <c r="J129" s="583"/>
      <c r="K129" s="584"/>
      <c r="L129" s="585"/>
      <c r="M129" s="586"/>
      <c r="N129" s="1152"/>
      <c r="O129" s="1152"/>
      <c r="P129" s="2686"/>
      <c r="Q129" s="504"/>
    </row>
    <row r="130" spans="1:17" ht="14.5" thickBot="1">
      <c r="A130" s="534"/>
      <c r="B130" s="543"/>
      <c r="C130" s="560"/>
      <c r="D130" s="560"/>
      <c r="E130" s="560"/>
      <c r="F130" s="560"/>
      <c r="G130" s="536"/>
      <c r="H130" s="536"/>
      <c r="I130" s="536"/>
      <c r="J130" s="536"/>
      <c r="K130" s="536"/>
      <c r="L130" s="536"/>
      <c r="M130" s="537"/>
      <c r="N130" s="1153"/>
      <c r="O130" s="1153"/>
      <c r="P130" s="2686"/>
      <c r="Q130" s="504"/>
    </row>
    <row r="131" spans="1:17" ht="14.5" thickTop="1">
      <c r="A131" s="599"/>
      <c r="B131" s="546">
        <f>B47</f>
        <v>111</v>
      </c>
      <c r="C131" s="523"/>
      <c r="D131" s="523"/>
      <c r="E131" s="523"/>
      <c r="F131" s="523"/>
      <c r="G131" s="587"/>
      <c r="H131" s="587"/>
      <c r="I131" s="587"/>
      <c r="J131" s="587"/>
      <c r="K131" s="523"/>
      <c r="L131" s="524"/>
      <c r="M131" s="590"/>
      <c r="N131" s="1152"/>
      <c r="O131" s="1152"/>
      <c r="P131" s="2686"/>
      <c r="Q131" s="504"/>
    </row>
    <row r="132" spans="1:17" ht="14.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2525</v>
      </c>
      <c r="B1" s="2671" t="s">
        <v>2699</v>
      </c>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2641</v>
      </c>
      <c r="D3" s="399">
        <f>IF(D1="",'数据-汇总表'!E3,SUMIF('数据-汇总表'!$C19:$C33,D1,'数据-汇总表'!$E19:$E33))</f>
        <v>70116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2642</v>
      </c>
      <c r="B4" s="402"/>
      <c r="C4" s="3199" t="s">
        <v>2643</v>
      </c>
      <c r="D4" s="3200"/>
      <c r="E4" s="3201" t="s">
        <v>2644</v>
      </c>
      <c r="F4" s="3202"/>
      <c r="G4" s="3199" t="s">
        <v>2645</v>
      </c>
      <c r="H4" s="3200"/>
      <c r="I4" s="3199" t="s">
        <v>2646</v>
      </c>
      <c r="J4" s="3200"/>
      <c r="K4" s="610" t="s">
        <v>2647</v>
      </c>
      <c r="L4" s="1130"/>
      <c r="M4" s="1131"/>
      <c r="N4" s="1131"/>
      <c r="O4" s="1131"/>
      <c r="P4" s="3203" t="s">
        <v>2648</v>
      </c>
      <c r="Q4" s="3204"/>
      <c r="R4" s="3186" t="s">
        <v>2644</v>
      </c>
      <c r="S4" s="3187"/>
      <c r="T4" s="3186" t="s">
        <v>2645</v>
      </c>
      <c r="U4" s="3187"/>
      <c r="V4" s="3211" t="s">
        <v>2646</v>
      </c>
      <c r="W4" s="3211"/>
      <c r="X4" s="1813"/>
      <c r="Y4" s="3186" t="s">
        <v>2648</v>
      </c>
      <c r="Z4" s="3187"/>
      <c r="AA4" s="3181" t="s">
        <v>2644</v>
      </c>
      <c r="AB4" s="3182" t="s">
        <v>2645</v>
      </c>
      <c r="AC4" s="3181" t="s">
        <v>2646</v>
      </c>
    </row>
    <row r="5" spans="1:29">
      <c r="A5" s="404"/>
      <c r="B5" s="405"/>
      <c r="C5" s="3192" t="s">
        <v>2539</v>
      </c>
      <c r="D5" s="3193"/>
      <c r="E5" s="3190" t="s">
        <v>2540</v>
      </c>
      <c r="F5" s="3191"/>
      <c r="G5" s="3192" t="s">
        <v>2541</v>
      </c>
      <c r="H5" s="3193"/>
      <c r="I5" s="3192" t="s">
        <v>2542</v>
      </c>
      <c r="J5" s="3193"/>
      <c r="K5" s="610"/>
      <c r="L5" s="1130"/>
      <c r="M5" s="1131"/>
      <c r="N5" s="1131"/>
      <c r="O5" s="1131"/>
      <c r="P5" s="3205"/>
      <c r="Q5" s="3206"/>
      <c r="R5" s="3188"/>
      <c r="S5" s="3189"/>
      <c r="T5" s="3188"/>
      <c r="U5" s="3189"/>
      <c r="V5" s="3211"/>
      <c r="W5" s="3211"/>
      <c r="X5" s="1813"/>
      <c r="Y5" s="3188"/>
      <c r="Z5" s="3189"/>
      <c r="AA5" s="3182"/>
      <c r="AB5" s="3182"/>
      <c r="AC5" s="3182"/>
    </row>
    <row r="6" spans="1:29" ht="15" thickBot="1">
      <c r="A6" s="406"/>
      <c r="B6" s="407"/>
      <c r="C6" s="3194" t="s">
        <v>2543</v>
      </c>
      <c r="D6" s="3195"/>
      <c r="E6" s="3196" t="s">
        <v>2543</v>
      </c>
      <c r="F6" s="3197"/>
      <c r="G6" s="3194" t="s">
        <v>2543</v>
      </c>
      <c r="H6" s="3195"/>
      <c r="I6" s="3194" t="s">
        <v>2543</v>
      </c>
      <c r="J6" s="3195"/>
      <c r="K6" s="610" t="s">
        <v>2544</v>
      </c>
      <c r="L6" s="1130"/>
      <c r="M6" s="1131"/>
      <c r="N6" s="1131"/>
      <c r="O6" s="1131"/>
      <c r="P6" s="3207"/>
      <c r="Q6" s="3208"/>
      <c r="R6" s="3188"/>
      <c r="S6" s="3189"/>
      <c r="T6" s="3209"/>
      <c r="U6" s="3210"/>
      <c r="V6" s="3211"/>
      <c r="W6" s="3211"/>
      <c r="X6" s="1813"/>
      <c r="Y6" s="3209"/>
      <c r="Z6" s="3210"/>
      <c r="AA6" s="3183"/>
      <c r="AB6" s="3183"/>
      <c r="AC6" s="3183"/>
    </row>
    <row r="7" spans="1:29" s="117" customFormat="1" ht="14.5" thickBot="1">
      <c r="A7" s="408" t="s">
        <v>2545</v>
      </c>
      <c r="B7" s="409"/>
      <c r="C7" s="410">
        <f>'数据-取费表'!B2</f>
        <v>43868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2546</v>
      </c>
      <c r="Q7" s="3212"/>
      <c r="R7" s="770" t="s">
        <v>17</v>
      </c>
      <c r="S7" s="771">
        <f t="shared" ref="S7:S15" si="0">F7</f>
        <v>0</v>
      </c>
      <c r="T7" s="770" t="s">
        <v>17</v>
      </c>
      <c r="U7" s="771">
        <f t="shared" ref="U7:U15" si="1">H7</f>
        <v>0</v>
      </c>
      <c r="V7" s="770" t="s">
        <v>17</v>
      </c>
      <c r="W7" s="771">
        <f t="shared" ref="W7:W15" si="2">J7</f>
        <v>0</v>
      </c>
      <c r="X7" s="772"/>
      <c r="Y7" s="3184" t="s">
        <v>2546</v>
      </c>
      <c r="Z7" s="3185"/>
      <c r="AA7" s="773" t="e">
        <f>D7/F7</f>
        <v>#DIV/0!</v>
      </c>
      <c r="AB7" s="773" t="e">
        <f>D7/H7</f>
        <v>#DIV/0!</v>
      </c>
      <c r="AC7" s="773" t="e">
        <f>D7/J7</f>
        <v>#DIV/0!</v>
      </c>
    </row>
    <row r="8" spans="1:29" s="117" customFormat="1" ht="14.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2549</v>
      </c>
      <c r="Q8" s="3185"/>
      <c r="R8" s="770" t="s">
        <v>17</v>
      </c>
      <c r="S8" s="771">
        <f t="shared" si="0"/>
        <v>0</v>
      </c>
      <c r="T8" s="770" t="s">
        <v>17</v>
      </c>
      <c r="U8" s="771">
        <f t="shared" si="1"/>
        <v>0</v>
      </c>
      <c r="V8" s="770" t="s">
        <v>17</v>
      </c>
      <c r="W8" s="771">
        <f t="shared" si="2"/>
        <v>0</v>
      </c>
      <c r="X8" s="772"/>
      <c r="Y8" s="3184" t="s">
        <v>2549</v>
      </c>
      <c r="Z8" s="3185"/>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6" t="s">
        <v>2552</v>
      </c>
      <c r="Q9" s="1795" t="str">
        <f t="shared" ref="Q9:Q15" si="6">B9</f>
        <v>用途</v>
      </c>
      <c r="R9" s="770" t="s">
        <v>17</v>
      </c>
      <c r="S9" s="771">
        <f t="shared" si="0"/>
        <v>100</v>
      </c>
      <c r="T9" s="770" t="s">
        <v>17</v>
      </c>
      <c r="U9" s="771">
        <f t="shared" si="1"/>
        <v>100</v>
      </c>
      <c r="V9" s="770" t="s">
        <v>17</v>
      </c>
      <c r="W9" s="771">
        <f t="shared" si="2"/>
        <v>100</v>
      </c>
      <c r="X9" s="772"/>
      <c r="Y9" s="3031" t="s">
        <v>2553</v>
      </c>
      <c r="Z9" s="55" t="str">
        <f t="shared" ref="Z9:Z15" si="7">Q9</f>
        <v>用途</v>
      </c>
      <c r="AA9" s="773">
        <f t="shared" si="3"/>
        <v>1</v>
      </c>
      <c r="AB9" s="773">
        <f t="shared" si="4"/>
        <v>1</v>
      </c>
      <c r="AC9" s="773">
        <f t="shared" si="5"/>
        <v>1</v>
      </c>
    </row>
    <row r="10" spans="1:29" s="427" customFormat="1" ht="28">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6"/>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1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16"/>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0">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8" t="s">
        <v>2557</v>
      </c>
      <c r="Q15" s="1810" t="str">
        <f t="shared" si="6"/>
        <v>产业集聚程度</v>
      </c>
      <c r="R15" s="774" t="s">
        <v>17</v>
      </c>
      <c r="S15" s="775">
        <f t="shared" si="0"/>
        <v>100</v>
      </c>
      <c r="T15" s="774" t="s">
        <v>17</v>
      </c>
      <c r="U15" s="775">
        <f t="shared" si="1"/>
        <v>100</v>
      </c>
      <c r="V15" s="774" t="s">
        <v>17</v>
      </c>
      <c r="W15" s="775">
        <f t="shared" si="2"/>
        <v>100</v>
      </c>
      <c r="X15" s="1813"/>
      <c r="Y15" s="3218" t="s">
        <v>2557</v>
      </c>
      <c r="Z15" s="1814" t="str">
        <f t="shared" si="7"/>
        <v>产业集聚程度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9"/>
      <c r="P16" s="3219"/>
      <c r="Q16" s="1810"/>
      <c r="R16" s="774"/>
      <c r="S16" s="775"/>
      <c r="T16" s="774"/>
      <c r="U16" s="775"/>
      <c r="V16" s="774"/>
      <c r="W16" s="775"/>
      <c r="X16" s="1813"/>
      <c r="Y16" s="3219"/>
      <c r="Z16" s="1814"/>
      <c r="AA16" s="1811">
        <v>1</v>
      </c>
      <c r="AB16" s="1811">
        <v>1</v>
      </c>
      <c r="AC16" s="1811">
        <v>1</v>
      </c>
    </row>
    <row r="17" spans="1:29" ht="98">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9"/>
      <c r="Q17" s="1810" t="str">
        <f>B17</f>
        <v>交通便捷度</v>
      </c>
      <c r="R17" s="774" t="s">
        <v>17</v>
      </c>
      <c r="S17" s="775">
        <f>F17</f>
        <v>100</v>
      </c>
      <c r="T17" s="774" t="s">
        <v>17</v>
      </c>
      <c r="U17" s="775">
        <f>H17</f>
        <v>100</v>
      </c>
      <c r="V17" s="774" t="s">
        <v>17</v>
      </c>
      <c r="W17" s="775">
        <f>J17</f>
        <v>100</v>
      </c>
      <c r="X17" s="1813"/>
      <c r="Y17" s="3219"/>
      <c r="Z17" s="1814" t="str">
        <f>Q17</f>
        <v>交通便捷度</v>
      </c>
      <c r="AA17" s="1811">
        <f t="shared" si="3"/>
        <v>1</v>
      </c>
      <c r="AB17" s="1811">
        <f t="shared" si="4"/>
        <v>1</v>
      </c>
      <c r="AC17" s="1811">
        <f t="shared" si="5"/>
        <v>1</v>
      </c>
    </row>
    <row r="18" spans="1:29" ht="15.5">
      <c r="A18" s="428"/>
      <c r="B18" s="456"/>
      <c r="C18" s="2610"/>
      <c r="D18" s="450"/>
      <c r="E18" s="2612"/>
      <c r="F18" s="453"/>
      <c r="G18" s="2611"/>
      <c r="H18" s="448"/>
      <c r="I18" s="2612"/>
      <c r="J18" s="448"/>
      <c r="K18" s="615"/>
      <c r="L18" s="1140"/>
      <c r="M18" s="1131"/>
      <c r="N18" s="1131"/>
      <c r="O18" s="1139"/>
      <c r="P18" s="3219"/>
      <c r="Q18" s="1810"/>
      <c r="R18" s="774"/>
      <c r="S18" s="775"/>
      <c r="T18" s="774"/>
      <c r="U18" s="775"/>
      <c r="V18" s="774"/>
      <c r="W18" s="775"/>
      <c r="X18" s="1813"/>
      <c r="Y18" s="3219"/>
      <c r="Z18" s="1814"/>
      <c r="AA18" s="1811">
        <v>1</v>
      </c>
      <c r="AB18" s="1811">
        <v>1</v>
      </c>
      <c r="AC18" s="1811">
        <v>1</v>
      </c>
    </row>
    <row r="19" spans="1:29" ht="42">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9"/>
      <c r="Q19" s="1810" t="str">
        <f>B19</f>
        <v>公共配套设施</v>
      </c>
      <c r="R19" s="774" t="s">
        <v>17</v>
      </c>
      <c r="S19" s="775">
        <f>F19</f>
        <v>100</v>
      </c>
      <c r="T19" s="774" t="s">
        <v>17</v>
      </c>
      <c r="U19" s="775">
        <f>H19</f>
        <v>100</v>
      </c>
      <c r="V19" s="774" t="s">
        <v>17</v>
      </c>
      <c r="W19" s="775">
        <f>J19</f>
        <v>100</v>
      </c>
      <c r="X19" s="1813"/>
      <c r="Y19" s="3219"/>
      <c r="Z19" s="1814" t="str">
        <f>Q19</f>
        <v>公共配套设施</v>
      </c>
      <c r="AA19" s="1811">
        <f t="shared" si="3"/>
        <v>1</v>
      </c>
      <c r="AB19" s="1811">
        <f t="shared" si="4"/>
        <v>1</v>
      </c>
      <c r="AC19" s="1811">
        <f t="shared" si="5"/>
        <v>1</v>
      </c>
    </row>
    <row r="20" spans="1:29" ht="15.5">
      <c r="A20" s="428"/>
      <c r="B20" s="456"/>
      <c r="C20" s="447"/>
      <c r="D20" s="448"/>
      <c r="E20" s="2607"/>
      <c r="F20" s="449"/>
      <c r="G20" s="2606"/>
      <c r="H20" s="448"/>
      <c r="I20" s="2607"/>
      <c r="J20" s="448"/>
      <c r="K20" s="615"/>
      <c r="L20" s="1140"/>
      <c r="M20" s="1131"/>
      <c r="N20" s="1131"/>
      <c r="O20" s="1139"/>
      <c r="P20" s="3219"/>
      <c r="Q20" s="1810"/>
      <c r="R20" s="774"/>
      <c r="S20" s="775"/>
      <c r="T20" s="774"/>
      <c r="U20" s="775"/>
      <c r="V20" s="774"/>
      <c r="W20" s="775"/>
      <c r="X20" s="1813"/>
      <c r="Y20" s="3219"/>
      <c r="Z20" s="1814"/>
      <c r="AA20" s="1811">
        <v>1</v>
      </c>
      <c r="AB20" s="1811">
        <v>1</v>
      </c>
      <c r="AC20" s="1811">
        <v>1</v>
      </c>
    </row>
    <row r="21" spans="1:29" ht="42">
      <c r="A21" s="428"/>
      <c r="B21" s="1384"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9"/>
      <c r="Q21" s="1810" t="str">
        <f>B21</f>
        <v>基础设施水平</v>
      </c>
      <c r="R21" s="774" t="s">
        <v>17</v>
      </c>
      <c r="S21" s="775">
        <f>F21</f>
        <v>100</v>
      </c>
      <c r="T21" s="774" t="s">
        <v>17</v>
      </c>
      <c r="U21" s="775">
        <f>H21</f>
        <v>100</v>
      </c>
      <c r="V21" s="774" t="s">
        <v>17</v>
      </c>
      <c r="W21" s="775">
        <f>J21</f>
        <v>100</v>
      </c>
      <c r="X21" s="1813"/>
      <c r="Y21" s="3219"/>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9"/>
      <c r="G22" s="447"/>
      <c r="H22" s="448"/>
      <c r="I22" s="447"/>
      <c r="J22" s="448"/>
      <c r="K22" s="1383"/>
      <c r="L22" s="1140"/>
      <c r="M22" s="1131"/>
      <c r="N22" s="1131"/>
      <c r="O22" s="1139"/>
      <c r="P22" s="3219"/>
      <c r="Q22" s="1810"/>
      <c r="R22" s="774"/>
      <c r="S22" s="775"/>
      <c r="T22" s="774"/>
      <c r="U22" s="775"/>
      <c r="V22" s="774"/>
      <c r="W22" s="775"/>
      <c r="X22" s="1813"/>
      <c r="Y22" s="3219"/>
      <c r="Z22" s="1814"/>
      <c r="AA22" s="1811">
        <v>1</v>
      </c>
      <c r="AB22" s="1811">
        <v>1</v>
      </c>
      <c r="AC22" s="1811">
        <v>1</v>
      </c>
    </row>
    <row r="23" spans="1:29" ht="84">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9"/>
      <c r="Q23" s="1810" t="str">
        <f>B23</f>
        <v>环境质量</v>
      </c>
      <c r="R23" s="774" t="s">
        <v>17</v>
      </c>
      <c r="S23" s="775">
        <f>F23</f>
        <v>100</v>
      </c>
      <c r="T23" s="774" t="s">
        <v>17</v>
      </c>
      <c r="U23" s="775">
        <f>H23</f>
        <v>100</v>
      </c>
      <c r="V23" s="774" t="s">
        <v>17</v>
      </c>
      <c r="W23" s="775">
        <f>J23</f>
        <v>100</v>
      </c>
      <c r="X23" s="1813"/>
      <c r="Y23" s="3219"/>
      <c r="Z23" s="1814" t="str">
        <f>Q23</f>
        <v>环境质量</v>
      </c>
      <c r="AA23" s="1811">
        <f t="shared" si="3"/>
        <v>1</v>
      </c>
      <c r="AB23" s="1811">
        <f t="shared" si="4"/>
        <v>1</v>
      </c>
      <c r="AC23" s="1811">
        <f t="shared" si="5"/>
        <v>1</v>
      </c>
    </row>
    <row r="24" spans="1:29" ht="15.5">
      <c r="A24" s="428"/>
      <c r="B24" s="1384"/>
      <c r="C24" s="447"/>
      <c r="D24" s="448"/>
      <c r="E24" s="2607"/>
      <c r="F24" s="449"/>
      <c r="G24" s="2606"/>
      <c r="H24" s="448"/>
      <c r="I24" s="2607"/>
      <c r="J24" s="448"/>
      <c r="K24" s="615"/>
      <c r="L24" s="1140"/>
      <c r="M24" s="1131"/>
      <c r="N24" s="1131"/>
      <c r="O24" s="1139"/>
      <c r="P24" s="3219"/>
      <c r="Q24" s="1810"/>
      <c r="R24" s="774"/>
      <c r="S24" s="775"/>
      <c r="T24" s="774"/>
      <c r="U24" s="775"/>
      <c r="V24" s="774"/>
      <c r="W24" s="775"/>
      <c r="X24" s="1813"/>
      <c r="Y24" s="3219"/>
      <c r="Z24" s="1814"/>
      <c r="AA24" s="1811">
        <v>1</v>
      </c>
      <c r="AB24" s="1811">
        <v>1</v>
      </c>
      <c r="AC24" s="1811">
        <v>1</v>
      </c>
    </row>
    <row r="25" spans="1:29" ht="15.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9"/>
      <c r="Q25" s="1810">
        <f>B25</f>
        <v>111</v>
      </c>
      <c r="R25" s="774" t="s">
        <v>17</v>
      </c>
      <c r="S25" s="775">
        <f>F25</f>
        <v>100</v>
      </c>
      <c r="T25" s="774" t="s">
        <v>17</v>
      </c>
      <c r="U25" s="775">
        <f>H25</f>
        <v>100</v>
      </c>
      <c r="V25" s="774" t="s">
        <v>17</v>
      </c>
      <c r="W25" s="775">
        <f>J25</f>
        <v>100</v>
      </c>
      <c r="X25" s="1813"/>
      <c r="Y25" s="3219"/>
      <c r="Z25" s="1814">
        <f>Q25</f>
        <v>111</v>
      </c>
      <c r="AA25" s="1811">
        <f t="shared" si="3"/>
        <v>1</v>
      </c>
      <c r="AB25" s="1811">
        <f t="shared" si="4"/>
        <v>1</v>
      </c>
      <c r="AC25" s="1811">
        <f t="shared" si="5"/>
        <v>1</v>
      </c>
    </row>
    <row r="26" spans="1:29" ht="15.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9"/>
      <c r="Q26" s="1810">
        <f t="shared" ref="Q26:Q40" si="11">B26</f>
        <v>111</v>
      </c>
      <c r="R26" s="774" t="s">
        <v>17</v>
      </c>
      <c r="S26" s="775">
        <f>F26</f>
        <v>100</v>
      </c>
      <c r="T26" s="774" t="s">
        <v>17</v>
      </c>
      <c r="U26" s="775">
        <f>H26</f>
        <v>100</v>
      </c>
      <c r="V26" s="774" t="s">
        <v>17</v>
      </c>
      <c r="W26" s="775">
        <f>J26</f>
        <v>100</v>
      </c>
      <c r="X26" s="1813"/>
      <c r="Y26" s="3219"/>
      <c r="Z26" s="1814">
        <f>Q26</f>
        <v>111</v>
      </c>
      <c r="AA26" s="1811">
        <f t="shared" si="3"/>
        <v>1</v>
      </c>
      <c r="AB26" s="1811">
        <f t="shared" si="4"/>
        <v>1</v>
      </c>
      <c r="AC26" s="1811">
        <f t="shared" si="5"/>
        <v>1</v>
      </c>
    </row>
    <row r="27" spans="1:29" s="117" customFormat="1" ht="15.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9"/>
      <c r="Q27" s="1795">
        <f t="shared" si="11"/>
        <v>111</v>
      </c>
      <c r="R27" s="770" t="s">
        <v>17</v>
      </c>
      <c r="S27" s="771">
        <f>F27</f>
        <v>100</v>
      </c>
      <c r="T27" s="770" t="s">
        <v>17</v>
      </c>
      <c r="U27" s="771">
        <f>H27</f>
        <v>100</v>
      </c>
      <c r="V27" s="770" t="s">
        <v>17</v>
      </c>
      <c r="W27" s="771">
        <f>J27</f>
        <v>100</v>
      </c>
      <c r="X27" s="772"/>
      <c r="Y27" s="3219"/>
      <c r="Z27" s="55">
        <f>Q27</f>
        <v>111</v>
      </c>
      <c r="AA27" s="1811">
        <f>D27/F27</f>
        <v>1</v>
      </c>
      <c r="AB27" s="1811">
        <f>D27/H27</f>
        <v>1</v>
      </c>
      <c r="AC27" s="1811">
        <f>D27/J27</f>
        <v>1</v>
      </c>
    </row>
    <row r="28" spans="1:29" ht="1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9"/>
      <c r="Q28" s="1810">
        <f t="shared" si="11"/>
        <v>111</v>
      </c>
      <c r="R28" s="774" t="s">
        <v>17</v>
      </c>
      <c r="S28" s="775">
        <f t="shared" ref="S28:S40" si="12">F28</f>
        <v>100</v>
      </c>
      <c r="T28" s="774" t="s">
        <v>17</v>
      </c>
      <c r="U28" s="775">
        <f t="shared" ref="U28:U40" si="13">H28</f>
        <v>100</v>
      </c>
      <c r="V28" s="774" t="s">
        <v>17</v>
      </c>
      <c r="W28" s="775">
        <f t="shared" ref="W28:W40" si="14">J28</f>
        <v>100</v>
      </c>
      <c r="X28" s="1813"/>
      <c r="Y28" s="3219"/>
      <c r="Z28" s="1814">
        <f t="shared" ref="Z28:Z40" si="15">Q28</f>
        <v>111</v>
      </c>
      <c r="AA28" s="1811">
        <f t="shared" si="3"/>
        <v>1</v>
      </c>
      <c r="AB28" s="1811">
        <f t="shared" si="4"/>
        <v>1</v>
      </c>
      <c r="AC28" s="1811">
        <f t="shared" si="5"/>
        <v>1</v>
      </c>
    </row>
    <row r="29" spans="1:29" ht="29">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42" t="s">
        <v>2562</v>
      </c>
      <c r="Q29" s="1810" t="str">
        <f t="shared" si="11"/>
        <v>建筑类型</v>
      </c>
      <c r="R29" s="774" t="s">
        <v>17</v>
      </c>
      <c r="S29" s="775">
        <f t="shared" si="12"/>
        <v>100</v>
      </c>
      <c r="T29" s="774" t="s">
        <v>17</v>
      </c>
      <c r="U29" s="775">
        <f t="shared" si="13"/>
        <v>100</v>
      </c>
      <c r="V29" s="774" t="s">
        <v>17</v>
      </c>
      <c r="W29" s="775">
        <f t="shared" si="14"/>
        <v>100</v>
      </c>
      <c r="X29" s="1813"/>
      <c r="Y29" s="3223" t="s">
        <v>2562</v>
      </c>
      <c r="Z29" s="1814" t="str">
        <f t="shared" si="15"/>
        <v>建筑类型</v>
      </c>
      <c r="AA29" s="1811">
        <f t="shared" si="3"/>
        <v>1</v>
      </c>
      <c r="AB29" s="1811">
        <f t="shared" si="4"/>
        <v>1</v>
      </c>
      <c r="AC29" s="1811">
        <f t="shared" si="5"/>
        <v>1</v>
      </c>
    </row>
    <row r="30" spans="1:29" s="471" customFormat="1" ht="15.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3"/>
      <c r="Q30" s="776" t="str">
        <f t="shared" si="11"/>
        <v>项目建筑规模</v>
      </c>
      <c r="R30" s="777" t="s">
        <v>17</v>
      </c>
      <c r="S30" s="778" t="e">
        <f t="shared" si="12"/>
        <v>#N/A</v>
      </c>
      <c r="T30" s="777" t="s">
        <v>17</v>
      </c>
      <c r="U30" s="778" t="e">
        <f t="shared" si="13"/>
        <v>#N/A</v>
      </c>
      <c r="V30" s="777" t="s">
        <v>17</v>
      </c>
      <c r="W30" s="778" t="e">
        <f t="shared" si="14"/>
        <v>#N/A</v>
      </c>
      <c r="X30" s="779"/>
      <c r="Y30" s="3223"/>
      <c r="Z30" s="780" t="str">
        <f t="shared" si="15"/>
        <v>项目建筑规模</v>
      </c>
      <c r="AA30" s="1811" t="e">
        <f t="shared" si="3"/>
        <v>#N/A</v>
      </c>
      <c r="AB30" s="1811" t="e">
        <f t="shared" si="4"/>
        <v>#N/A</v>
      </c>
      <c r="AC30" s="1811" t="e">
        <f t="shared" si="5"/>
        <v>#N/A</v>
      </c>
    </row>
    <row r="31" spans="1:29" ht="15.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3"/>
      <c r="Q31" s="1810" t="str">
        <f t="shared" si="11"/>
        <v>建筑结构</v>
      </c>
      <c r="R31" s="774" t="s">
        <v>17</v>
      </c>
      <c r="S31" s="775">
        <f t="shared" si="12"/>
        <v>100</v>
      </c>
      <c r="T31" s="774" t="s">
        <v>17</v>
      </c>
      <c r="U31" s="775">
        <f t="shared" si="13"/>
        <v>100</v>
      </c>
      <c r="V31" s="774" t="s">
        <v>17</v>
      </c>
      <c r="W31" s="775">
        <f t="shared" si="14"/>
        <v>100</v>
      </c>
      <c r="X31" s="1813"/>
      <c r="Y31" s="3223"/>
      <c r="Z31" s="1814" t="str">
        <f t="shared" si="15"/>
        <v>建筑结构</v>
      </c>
      <c r="AA31" s="1811">
        <f t="shared" si="3"/>
        <v>1</v>
      </c>
      <c r="AB31" s="1811">
        <f t="shared" si="4"/>
        <v>1</v>
      </c>
      <c r="AC31" s="1811">
        <f t="shared" si="5"/>
        <v>1</v>
      </c>
    </row>
    <row r="32" spans="1:29" ht="15.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3"/>
      <c r="Q32" s="1810" t="str">
        <f t="shared" si="11"/>
        <v>公共部分装修</v>
      </c>
      <c r="R32" s="774" t="s">
        <v>17</v>
      </c>
      <c r="S32" s="775">
        <f t="shared" si="12"/>
        <v>100</v>
      </c>
      <c r="T32" s="774" t="s">
        <v>17</v>
      </c>
      <c r="U32" s="775">
        <f t="shared" si="13"/>
        <v>100</v>
      </c>
      <c r="V32" s="774" t="s">
        <v>17</v>
      </c>
      <c r="W32" s="775">
        <f t="shared" si="14"/>
        <v>100</v>
      </c>
      <c r="X32" s="1813"/>
      <c r="Y32" s="3223"/>
      <c r="Z32" s="1814" t="str">
        <f t="shared" si="15"/>
        <v>公共部分装修</v>
      </c>
      <c r="AA32" s="1811">
        <f t="shared" si="3"/>
        <v>1</v>
      </c>
      <c r="AB32" s="1811">
        <f t="shared" si="4"/>
        <v>1</v>
      </c>
      <c r="AC32" s="1811">
        <f t="shared" si="5"/>
        <v>1</v>
      </c>
    </row>
    <row r="33" spans="1:29" ht="15.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3"/>
      <c r="Q33" s="1810" t="str">
        <f t="shared" si="11"/>
        <v>成新度</v>
      </c>
      <c r="R33" s="774" t="s">
        <v>17</v>
      </c>
      <c r="S33" s="775" t="e">
        <f t="shared" si="12"/>
        <v>#N/A</v>
      </c>
      <c r="T33" s="774" t="s">
        <v>17</v>
      </c>
      <c r="U33" s="775" t="e">
        <f t="shared" si="13"/>
        <v>#N/A</v>
      </c>
      <c r="V33" s="774" t="s">
        <v>17</v>
      </c>
      <c r="W33" s="775" t="e">
        <f t="shared" si="14"/>
        <v>#N/A</v>
      </c>
      <c r="X33" s="1813"/>
      <c r="Y33" s="3223"/>
      <c r="Z33" s="1814" t="str">
        <f t="shared" si="15"/>
        <v>成新度</v>
      </c>
      <c r="AA33" s="1811" t="e">
        <f t="shared" si="3"/>
        <v>#N/A</v>
      </c>
      <c r="AB33" s="1811" t="e">
        <f t="shared" si="4"/>
        <v>#N/A</v>
      </c>
      <c r="AC33" s="1811" t="e">
        <f t="shared" si="5"/>
        <v>#N/A</v>
      </c>
    </row>
    <row r="34" spans="1:29" s="117" customFormat="1" ht="15.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3"/>
      <c r="Q34" s="1795" t="str">
        <f t="shared" si="11"/>
        <v>物业管理</v>
      </c>
      <c r="R34" s="770" t="s">
        <v>17</v>
      </c>
      <c r="S34" s="771">
        <f t="shared" si="12"/>
        <v>100</v>
      </c>
      <c r="T34" s="770" t="s">
        <v>17</v>
      </c>
      <c r="U34" s="771">
        <f t="shared" si="13"/>
        <v>100</v>
      </c>
      <c r="V34" s="770" t="s">
        <v>17</v>
      </c>
      <c r="W34" s="771">
        <f t="shared" si="14"/>
        <v>100</v>
      </c>
      <c r="X34" s="772"/>
      <c r="Y34" s="3223"/>
      <c r="Z34" s="55" t="str">
        <f t="shared" si="15"/>
        <v>物业管理</v>
      </c>
      <c r="AA34" s="773">
        <f t="shared" si="3"/>
        <v>1</v>
      </c>
      <c r="AB34" s="773">
        <f t="shared" si="4"/>
        <v>1</v>
      </c>
      <c r="AC34" s="773">
        <f t="shared" si="5"/>
        <v>1</v>
      </c>
    </row>
    <row r="35" spans="1:29" ht="15.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3" t="s">
        <v>2562</v>
      </c>
      <c r="Q35" s="1810" t="str">
        <f t="shared" si="11"/>
        <v>市政基础设施</v>
      </c>
      <c r="R35" s="774" t="s">
        <v>17</v>
      </c>
      <c r="S35" s="775">
        <f t="shared" si="12"/>
        <v>100</v>
      </c>
      <c r="T35" s="774" t="s">
        <v>17</v>
      </c>
      <c r="U35" s="775">
        <f t="shared" si="13"/>
        <v>100</v>
      </c>
      <c r="V35" s="774" t="s">
        <v>17</v>
      </c>
      <c r="W35" s="775">
        <f t="shared" si="14"/>
        <v>100</v>
      </c>
      <c r="X35" s="1813"/>
      <c r="Y35" s="3223" t="s">
        <v>2562</v>
      </c>
      <c r="Z35" s="1814" t="str">
        <f t="shared" si="15"/>
        <v>市政基础设施</v>
      </c>
      <c r="AA35" s="1811">
        <f t="shared" si="3"/>
        <v>1</v>
      </c>
      <c r="AB35" s="1811">
        <f t="shared" si="4"/>
        <v>1</v>
      </c>
      <c r="AC35" s="1811">
        <f t="shared" si="5"/>
        <v>1</v>
      </c>
    </row>
    <row r="36" spans="1:29" ht="15.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3"/>
      <c r="Q36" s="1810" t="str">
        <f t="shared" si="11"/>
        <v>内部装修</v>
      </c>
      <c r="R36" s="774" t="s">
        <v>17</v>
      </c>
      <c r="S36" s="775">
        <f t="shared" si="12"/>
        <v>100</v>
      </c>
      <c r="T36" s="774" t="s">
        <v>17</v>
      </c>
      <c r="U36" s="775">
        <f t="shared" si="13"/>
        <v>100</v>
      </c>
      <c r="V36" s="774" t="s">
        <v>17</v>
      </c>
      <c r="W36" s="775">
        <f t="shared" si="14"/>
        <v>100</v>
      </c>
      <c r="X36" s="1813"/>
      <c r="Y36" s="3223"/>
      <c r="Z36" s="1814" t="str">
        <f t="shared" si="15"/>
        <v>内部装修</v>
      </c>
      <c r="AA36" s="1811">
        <f t="shared" si="3"/>
        <v>1</v>
      </c>
      <c r="AB36" s="1811">
        <f t="shared" si="4"/>
        <v>1</v>
      </c>
      <c r="AC36" s="1811">
        <f t="shared" si="5"/>
        <v>1</v>
      </c>
    </row>
    <row r="37" spans="1:29" ht="15.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3"/>
      <c r="Q37" s="1810" t="str">
        <f t="shared" si="11"/>
        <v>内部装修状况</v>
      </c>
      <c r="R37" s="774" t="s">
        <v>17</v>
      </c>
      <c r="S37" s="775">
        <f t="shared" si="12"/>
        <v>100</v>
      </c>
      <c r="T37" s="774" t="s">
        <v>17</v>
      </c>
      <c r="U37" s="775">
        <f t="shared" si="13"/>
        <v>100</v>
      </c>
      <c r="V37" s="774" t="s">
        <v>17</v>
      </c>
      <c r="W37" s="775">
        <f t="shared" si="14"/>
        <v>100</v>
      </c>
      <c r="X37" s="1813"/>
      <c r="Y37" s="3223"/>
      <c r="Z37" s="1814" t="str">
        <f t="shared" si="15"/>
        <v>内部装修状况</v>
      </c>
      <c r="AA37" s="1811">
        <f t="shared" si="3"/>
        <v>1</v>
      </c>
      <c r="AB37" s="1811">
        <f t="shared" si="4"/>
        <v>1</v>
      </c>
      <c r="AC37" s="1811">
        <f t="shared" si="5"/>
        <v>1</v>
      </c>
    </row>
    <row r="38" spans="1:29" s="471" customFormat="1" ht="15.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3"/>
      <c r="Q38" s="776">
        <f t="shared" si="11"/>
        <v>111</v>
      </c>
      <c r="R38" s="777" t="s">
        <v>17</v>
      </c>
      <c r="S38" s="778">
        <f t="shared" si="12"/>
        <v>100</v>
      </c>
      <c r="T38" s="777" t="s">
        <v>17</v>
      </c>
      <c r="U38" s="778">
        <f t="shared" si="13"/>
        <v>100</v>
      </c>
      <c r="V38" s="777" t="s">
        <v>17</v>
      </c>
      <c r="W38" s="778">
        <f t="shared" si="14"/>
        <v>100</v>
      </c>
      <c r="X38" s="779"/>
      <c r="Y38" s="3223"/>
      <c r="Z38" s="780">
        <f t="shared" si="15"/>
        <v>111</v>
      </c>
      <c r="AA38" s="1811">
        <f t="shared" si="3"/>
        <v>1</v>
      </c>
      <c r="AB38" s="1811">
        <f t="shared" si="4"/>
        <v>1</v>
      </c>
      <c r="AC38" s="1811">
        <f t="shared" si="5"/>
        <v>1</v>
      </c>
    </row>
    <row r="39" spans="1:29" ht="15.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3"/>
      <c r="Q39" s="1810">
        <f t="shared" si="11"/>
        <v>111</v>
      </c>
      <c r="R39" s="774" t="s">
        <v>17</v>
      </c>
      <c r="S39" s="775">
        <f t="shared" si="12"/>
        <v>100</v>
      </c>
      <c r="T39" s="774" t="s">
        <v>17</v>
      </c>
      <c r="U39" s="775">
        <f t="shared" si="13"/>
        <v>100</v>
      </c>
      <c r="V39" s="774" t="s">
        <v>17</v>
      </c>
      <c r="W39" s="775">
        <f t="shared" si="14"/>
        <v>100</v>
      </c>
      <c r="X39" s="1813"/>
      <c r="Y39" s="3223"/>
      <c r="Z39" s="1814">
        <f t="shared" si="15"/>
        <v>111</v>
      </c>
      <c r="AA39" s="1811">
        <f t="shared" si="3"/>
        <v>1</v>
      </c>
      <c r="AB39" s="1811">
        <f t="shared" si="4"/>
        <v>1</v>
      </c>
      <c r="AC39" s="1811">
        <f t="shared" si="5"/>
        <v>1</v>
      </c>
    </row>
    <row r="40" spans="1:29" ht="1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4"/>
      <c r="Q40" s="1810">
        <f t="shared" si="11"/>
        <v>111</v>
      </c>
      <c r="R40" s="774" t="s">
        <v>17</v>
      </c>
      <c r="S40" s="775">
        <f t="shared" si="12"/>
        <v>100</v>
      </c>
      <c r="T40" s="774" t="s">
        <v>17</v>
      </c>
      <c r="U40" s="775">
        <f t="shared" si="13"/>
        <v>100</v>
      </c>
      <c r="V40" s="774" t="s">
        <v>17</v>
      </c>
      <c r="W40" s="775">
        <f t="shared" si="14"/>
        <v>100</v>
      </c>
      <c r="X40" s="1813"/>
      <c r="Y40" s="3224"/>
      <c r="Z40" s="1814">
        <f t="shared" si="15"/>
        <v>111</v>
      </c>
      <c r="AA40" s="1811">
        <f t="shared" si="3"/>
        <v>1</v>
      </c>
      <c r="AB40" s="1811">
        <f t="shared" si="4"/>
        <v>1</v>
      </c>
      <c r="AC40" s="1811">
        <f t="shared" si="5"/>
        <v>1</v>
      </c>
    </row>
    <row r="41" spans="1:29">
      <c r="A41" s="479" t="s">
        <v>2574</v>
      </c>
      <c r="B41" s="480"/>
      <c r="C41" s="1407" t="s">
        <v>1</v>
      </c>
      <c r="D41" s="1408"/>
      <c r="E41" s="1409"/>
      <c r="F41" s="1410"/>
      <c r="G41" s="1411"/>
      <c r="H41" s="1412"/>
      <c r="I41" s="1409"/>
      <c r="J41" s="1412"/>
      <c r="K41" s="783"/>
      <c r="L41" s="1143"/>
      <c r="M41" s="1144"/>
      <c r="N41" s="1131"/>
      <c r="O41" s="1144"/>
      <c r="P41" s="3216" t="str">
        <f>A41</f>
        <v>成交单价（元/平方米）</v>
      </c>
      <c r="Q41" s="3216"/>
      <c r="R41" s="3217">
        <f>E41</f>
        <v>0</v>
      </c>
      <c r="S41" s="3217"/>
      <c r="T41" s="3217">
        <f>G41</f>
        <v>0</v>
      </c>
      <c r="U41" s="3217"/>
      <c r="V41" s="3217">
        <f>I41</f>
        <v>0</v>
      </c>
      <c r="W41" s="3217"/>
      <c r="X41" s="759"/>
      <c r="Y41" s="781"/>
      <c r="Z41" s="759"/>
      <c r="AA41" s="759"/>
      <c r="AB41" s="759"/>
      <c r="AC41" s="759"/>
    </row>
    <row r="42" spans="1:29" ht="14.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9"/>
      <c r="Y42" s="759"/>
      <c r="Z42" s="759"/>
      <c r="AA42" s="759"/>
      <c r="AB42" s="759"/>
      <c r="AC42" s="759"/>
    </row>
    <row r="43" spans="1:29" ht="14.5" thickBot="1">
      <c r="A43" s="492" t="s">
        <v>2667</v>
      </c>
      <c r="B43" s="493"/>
      <c r="C43" s="1417" t="e">
        <f>R43</f>
        <v>#DIV/0!</v>
      </c>
      <c r="D43" s="1417"/>
      <c r="E43" s="1417"/>
      <c r="F43" s="1417"/>
      <c r="G43" s="1417"/>
      <c r="H43" s="1417"/>
      <c r="I43" s="1417"/>
      <c r="J43" s="1417"/>
      <c r="K43" s="785"/>
      <c r="L43" s="1143"/>
      <c r="M43" s="1144"/>
      <c r="N43" s="1144"/>
      <c r="O43" s="1144"/>
      <c r="P43" s="3213" t="str">
        <f>A43</f>
        <v>估价对象XX用房的比较价值（楼面单价，元/平方米）</v>
      </c>
      <c r="Q43" s="3214"/>
      <c r="R43" s="3215" t="e">
        <f>IF(F1="售价",ROUND(AVERAGE(R42:V42),0),ROUND(AVERAGE(R42:V42),1))</f>
        <v>#DIV/0!</v>
      </c>
      <c r="S43" s="3215"/>
      <c r="T43" s="3215"/>
      <c r="U43" s="3215"/>
      <c r="V43" s="3215"/>
      <c r="W43" s="321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5" thickBot="1">
      <c r="A51" s="763" t="s">
        <v>2671</v>
      </c>
      <c r="B51" s="759"/>
      <c r="C51" s="764"/>
      <c r="D51" s="764"/>
      <c r="E51" s="764"/>
      <c r="F51" s="765"/>
      <c r="G51" s="765"/>
      <c r="H51" s="764"/>
      <c r="I51" s="764"/>
      <c r="J51" s="764"/>
      <c r="K51" s="1160"/>
      <c r="L51" s="1161"/>
      <c r="M51" s="1159"/>
      <c r="N51" s="1159"/>
      <c r="O51" s="1159"/>
      <c r="P51" s="503"/>
      <c r="Q51" s="504"/>
    </row>
    <row r="52" spans="1:17" s="508" customFormat="1">
      <c r="A52" s="505" t="s">
        <v>2545</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4.5" thickBot="1">
      <c r="A54" s="515" t="s">
        <v>2582</v>
      </c>
      <c r="B54" s="516"/>
      <c r="C54" s="517"/>
      <c r="D54" s="518"/>
      <c r="E54" s="518"/>
      <c r="F54" s="518"/>
      <c r="G54" s="518"/>
      <c r="H54" s="518"/>
      <c r="I54" s="518"/>
      <c r="J54" s="518"/>
      <c r="K54" s="518"/>
      <c r="L54" s="518"/>
      <c r="M54" s="519"/>
      <c r="N54" s="518"/>
      <c r="O54" s="520"/>
      <c r="P54" s="504"/>
      <c r="Q54" s="504"/>
    </row>
    <row r="55" spans="1:17" s="117" customFormat="1">
      <c r="A55" s="521" t="s">
        <v>2547</v>
      </c>
      <c r="B55" s="510"/>
      <c r="C55" s="522" t="s">
        <v>2649</v>
      </c>
      <c r="D55" s="523"/>
      <c r="E55" s="523"/>
      <c r="F55" s="523"/>
      <c r="G55" s="523"/>
      <c r="H55" s="523"/>
      <c r="I55" s="523"/>
      <c r="J55" s="523"/>
      <c r="K55" s="523"/>
      <c r="L55" s="524"/>
      <c r="M55" s="525"/>
      <c r="N55" s="1151"/>
      <c r="O55" s="1151"/>
      <c r="P55" s="526"/>
      <c r="Q55" s="504"/>
    </row>
    <row r="56" spans="1:17" s="117" customFormat="1" ht="14.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4.5" thickBot="1">
      <c r="A58" s="534"/>
      <c r="B58" s="535"/>
      <c r="C58" s="536">
        <v>100</v>
      </c>
      <c r="D58" s="536"/>
      <c r="E58" s="536"/>
      <c r="F58" s="536"/>
      <c r="G58" s="536"/>
      <c r="H58" s="536"/>
      <c r="I58" s="536"/>
      <c r="J58" s="536"/>
      <c r="K58" s="536"/>
      <c r="L58" s="536"/>
      <c r="M58" s="537"/>
      <c r="N58" s="1153"/>
      <c r="O58" s="1153"/>
      <c r="P58" s="45"/>
      <c r="Q58" s="504"/>
    </row>
    <row r="59" spans="1:17" ht="28.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4.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5" thickTop="1">
      <c r="A64" s="553"/>
      <c r="B64" s="538">
        <f>B12</f>
        <v>111</v>
      </c>
      <c r="C64" s="554"/>
      <c r="D64" s="554"/>
      <c r="E64" s="554"/>
      <c r="F64" s="554"/>
      <c r="G64" s="554"/>
      <c r="H64" s="555"/>
      <c r="I64" s="555"/>
      <c r="J64" s="555"/>
      <c r="K64" s="555"/>
      <c r="L64" s="556"/>
      <c r="M64" s="557"/>
      <c r="N64" s="1154"/>
      <c r="O64" s="1154"/>
      <c r="P64" s="558"/>
      <c r="Q64" s="559"/>
    </row>
    <row r="65" spans="1:17" s="471" customFormat="1" ht="14.5" thickBot="1">
      <c r="A65" s="553"/>
      <c r="B65" s="543"/>
      <c r="C65" s="560"/>
      <c r="D65" s="536"/>
      <c r="E65" s="536"/>
      <c r="F65" s="536"/>
      <c r="G65" s="536"/>
      <c r="H65" s="536"/>
      <c r="I65" s="536"/>
      <c r="J65" s="536"/>
      <c r="K65" s="536"/>
      <c r="L65" s="536"/>
      <c r="M65" s="537"/>
      <c r="N65" s="1153"/>
      <c r="O65" s="1153"/>
      <c r="P65" s="558"/>
      <c r="Q65" s="559"/>
    </row>
    <row r="66" spans="1:17" s="471" customFormat="1" ht="14.5" thickTop="1">
      <c r="A66" s="553"/>
      <c r="B66" s="538">
        <f>B13</f>
        <v>111</v>
      </c>
      <c r="C66" s="554"/>
      <c r="D66" s="554"/>
      <c r="E66" s="554"/>
      <c r="F66" s="554"/>
      <c r="G66" s="554"/>
      <c r="H66" s="555"/>
      <c r="I66" s="555"/>
      <c r="J66" s="555"/>
      <c r="K66" s="555"/>
      <c r="L66" s="556"/>
      <c r="M66" s="557"/>
      <c r="N66" s="1154"/>
      <c r="O66" s="1154"/>
      <c r="P66" s="470"/>
      <c r="Q66" s="561"/>
    </row>
    <row r="67" spans="1:17" s="471" customFormat="1" ht="14.5" thickBot="1">
      <c r="A67" s="553"/>
      <c r="B67" s="543"/>
      <c r="C67" s="560"/>
      <c r="D67" s="536"/>
      <c r="E67" s="536"/>
      <c r="F67" s="536"/>
      <c r="G67" s="560"/>
      <c r="H67" s="562"/>
      <c r="I67" s="562"/>
      <c r="J67" s="562"/>
      <c r="K67" s="562"/>
      <c r="L67" s="562"/>
      <c r="M67" s="563"/>
      <c r="N67" s="1154"/>
      <c r="O67" s="1154"/>
      <c r="P67" s="558"/>
      <c r="Q67" s="559"/>
    </row>
    <row r="68" spans="1:17" s="471" customFormat="1" ht="14.5" thickTop="1">
      <c r="A68" s="553"/>
      <c r="B68" s="546">
        <f>B14</f>
        <v>111</v>
      </c>
      <c r="C68" s="523"/>
      <c r="D68" s="523"/>
      <c r="E68" s="523"/>
      <c r="F68" s="523"/>
      <c r="G68" s="523"/>
      <c r="H68" s="564"/>
      <c r="I68" s="564"/>
      <c r="J68" s="564"/>
      <c r="K68" s="564"/>
      <c r="L68" s="565"/>
      <c r="M68" s="566"/>
      <c r="N68" s="1154"/>
      <c r="O68" s="1154"/>
      <c r="P68" s="567"/>
      <c r="Q68" s="559"/>
    </row>
    <row r="69" spans="1:17" s="471" customFormat="1" ht="14.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4.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4.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4.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4.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5" thickTop="1">
      <c r="A80" s="579"/>
      <c r="B80" s="538">
        <f>B25</f>
        <v>111</v>
      </c>
      <c r="C80" s="554"/>
      <c r="D80" s="554"/>
      <c r="E80" s="554"/>
      <c r="F80" s="554"/>
      <c r="G80" s="554"/>
      <c r="H80" s="554"/>
      <c r="I80" s="554"/>
      <c r="J80" s="554"/>
      <c r="K80" s="554"/>
      <c r="L80" s="580"/>
      <c r="M80" s="581"/>
      <c r="N80" s="1151"/>
      <c r="O80" s="1151"/>
      <c r="P80" s="45"/>
      <c r="Q80" s="504"/>
    </row>
    <row r="81" spans="1:17" s="117" customFormat="1" ht="14.5" thickBot="1">
      <c r="A81" s="579"/>
      <c r="B81" s="543"/>
      <c r="C81" s="560"/>
      <c r="D81" s="536"/>
      <c r="E81" s="536"/>
      <c r="F81" s="536"/>
      <c r="G81" s="536"/>
      <c r="H81" s="536"/>
      <c r="I81" s="536"/>
      <c r="J81" s="536"/>
      <c r="K81" s="536"/>
      <c r="L81" s="536"/>
      <c r="M81" s="537"/>
      <c r="N81" s="1153"/>
      <c r="O81" s="1153"/>
      <c r="P81" s="45"/>
      <c r="Q81" s="504"/>
    </row>
    <row r="82" spans="1:17" s="117" customFormat="1" ht="14.5" thickTop="1">
      <c r="A82" s="579"/>
      <c r="B82" s="538">
        <f>B26</f>
        <v>111</v>
      </c>
      <c r="C82" s="554"/>
      <c r="D82" s="554"/>
      <c r="E82" s="554"/>
      <c r="F82" s="554"/>
      <c r="G82" s="554"/>
      <c r="H82" s="554"/>
      <c r="I82" s="554"/>
      <c r="J82" s="554"/>
      <c r="K82" s="554"/>
      <c r="L82" s="580"/>
      <c r="M82" s="581"/>
      <c r="N82" s="1151"/>
      <c r="O82" s="1151"/>
      <c r="P82" s="45"/>
      <c r="Q82" s="504"/>
    </row>
    <row r="83" spans="1:17" s="117" customFormat="1" ht="14.5" thickBot="1">
      <c r="A83" s="579"/>
      <c r="B83" s="543"/>
      <c r="C83" s="560"/>
      <c r="D83" s="536"/>
      <c r="E83" s="536"/>
      <c r="F83" s="536"/>
      <c r="G83" s="536"/>
      <c r="H83" s="536"/>
      <c r="I83" s="536"/>
      <c r="J83" s="536"/>
      <c r="K83" s="536"/>
      <c r="L83" s="536"/>
      <c r="M83" s="537"/>
      <c r="N83" s="1153"/>
      <c r="O83" s="1153"/>
      <c r="P83" s="45"/>
      <c r="Q83" s="504"/>
    </row>
    <row r="84" spans="1:17" s="471" customFormat="1" ht="14.5" thickTop="1">
      <c r="A84" s="553"/>
      <c r="B84" s="538">
        <f>B27</f>
        <v>111</v>
      </c>
      <c r="C84" s="554"/>
      <c r="D84" s="554"/>
      <c r="E84" s="554"/>
      <c r="F84" s="554"/>
      <c r="G84" s="554"/>
      <c r="H84" s="554"/>
      <c r="I84" s="554"/>
      <c r="J84" s="554"/>
      <c r="K84" s="554"/>
      <c r="L84" s="580"/>
      <c r="M84" s="581"/>
      <c r="N84" s="1154"/>
      <c r="O84" s="1154"/>
      <c r="P84" s="558"/>
      <c r="Q84" s="559"/>
    </row>
    <row r="85" spans="1:17" s="471" customFormat="1" ht="14.5" thickBot="1">
      <c r="A85" s="553"/>
      <c r="B85" s="543"/>
      <c r="C85" s="560"/>
      <c r="D85" s="536"/>
      <c r="E85" s="536"/>
      <c r="F85" s="536"/>
      <c r="G85" s="536"/>
      <c r="H85" s="536"/>
      <c r="I85" s="536"/>
      <c r="J85" s="536"/>
      <c r="K85" s="536"/>
      <c r="L85" s="536"/>
      <c r="M85" s="537"/>
      <c r="N85" s="1154"/>
      <c r="O85" s="1154"/>
      <c r="P85" s="558"/>
      <c r="Q85" s="559"/>
    </row>
    <row r="86" spans="1:17" ht="14.5" thickTop="1">
      <c r="A86" s="534"/>
      <c r="B86" s="546">
        <f>B28</f>
        <v>111</v>
      </c>
      <c r="C86" s="523"/>
      <c r="D86" s="523"/>
      <c r="E86" s="523"/>
      <c r="F86" s="523"/>
      <c r="G86" s="587"/>
      <c r="H86" s="587"/>
      <c r="I86" s="587"/>
      <c r="J86" s="587"/>
      <c r="K86" s="588"/>
      <c r="L86" s="589"/>
      <c r="M86" s="590"/>
      <c r="N86" s="1152"/>
      <c r="O86" s="1152"/>
      <c r="P86" s="45"/>
      <c r="Q86" s="504"/>
    </row>
    <row r="87" spans="1:17" ht="14.5" thickBot="1">
      <c r="A87" s="2638"/>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4.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5" thickBot="1">
      <c r="A92" s="553"/>
      <c r="B92" s="543"/>
      <c r="C92" s="560"/>
      <c r="D92" s="536"/>
      <c r="E92" s="536"/>
      <c r="F92" s="536"/>
      <c r="G92" s="536"/>
      <c r="H92" s="536"/>
      <c r="I92" s="536"/>
      <c r="J92" s="536"/>
      <c r="K92" s="536"/>
      <c r="L92" s="536"/>
      <c r="M92" s="537"/>
      <c r="N92" s="1153"/>
      <c r="O92" s="1153"/>
      <c r="P92" s="558"/>
      <c r="Q92" s="559"/>
    </row>
    <row r="93" spans="1:17" ht="14.5" thickTop="1">
      <c r="A93" s="599"/>
      <c r="B93" s="538" t="s">
        <v>2611</v>
      </c>
      <c r="C93" s="554"/>
      <c r="D93" s="554"/>
      <c r="E93" s="583"/>
      <c r="F93" s="583"/>
      <c r="G93" s="583"/>
      <c r="H93" s="583"/>
      <c r="I93" s="583"/>
      <c r="J93" s="583"/>
      <c r="K93" s="584"/>
      <c r="L93" s="585"/>
      <c r="M93" s="586"/>
      <c r="N93" s="1152"/>
      <c r="O93" s="1152"/>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4.5" thickTop="1">
      <c r="A95" s="599"/>
      <c r="B95" s="538" t="s">
        <v>2613</v>
      </c>
      <c r="C95" s="554"/>
      <c r="D95" s="554"/>
      <c r="E95" s="554"/>
      <c r="F95" s="583"/>
      <c r="G95" s="583"/>
      <c r="H95" s="583"/>
      <c r="I95" s="583"/>
      <c r="J95" s="583"/>
      <c r="K95" s="584"/>
      <c r="L95" s="585"/>
      <c r="M95" s="586"/>
      <c r="N95" s="1152"/>
      <c r="O95" s="1152"/>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4.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4.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4.5" thickTop="1">
      <c r="A102" s="599"/>
      <c r="B102" s="538" t="s">
        <v>2615</v>
      </c>
      <c r="C102" s="554"/>
      <c r="D102" s="554"/>
      <c r="E102" s="554"/>
      <c r="F102" s="554"/>
      <c r="G102" s="554"/>
      <c r="H102" s="583"/>
      <c r="I102" s="583"/>
      <c r="J102" s="583"/>
      <c r="K102" s="584"/>
      <c r="L102" s="585"/>
      <c r="M102" s="586"/>
      <c r="N102" s="1152"/>
      <c r="O102" s="1152"/>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4.5" thickTop="1">
      <c r="A104" s="599"/>
      <c r="B104" s="538" t="s">
        <v>2617</v>
      </c>
      <c r="C104" s="554"/>
      <c r="D104" s="554"/>
      <c r="E104" s="554"/>
      <c r="F104" s="554"/>
      <c r="G104" s="554"/>
      <c r="H104" s="583"/>
      <c r="I104" s="583"/>
      <c r="J104" s="583"/>
      <c r="K104" s="584"/>
      <c r="L104" s="585"/>
      <c r="M104" s="586"/>
      <c r="N104" s="1152"/>
      <c r="O104" s="1152"/>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8.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5" thickBot="1">
      <c r="A109" s="553"/>
      <c r="B109" s="535"/>
      <c r="C109" s="560"/>
      <c r="D109" s="536"/>
      <c r="E109" s="536"/>
      <c r="F109" s="536"/>
      <c r="G109" s="560"/>
      <c r="H109" s="562"/>
      <c r="I109" s="562"/>
      <c r="J109" s="562"/>
      <c r="K109" s="562"/>
      <c r="L109" s="562"/>
      <c r="M109" s="563"/>
      <c r="N109" s="1154"/>
      <c r="O109" s="1154"/>
      <c r="P109" s="558"/>
      <c r="Q109" s="559"/>
    </row>
    <row r="110" spans="1:17" ht="14.5" thickTop="1">
      <c r="A110" s="599"/>
      <c r="B110" s="538">
        <f>B39</f>
        <v>111</v>
      </c>
      <c r="C110" s="554"/>
      <c r="D110" s="554"/>
      <c r="E110" s="554"/>
      <c r="F110" s="554"/>
      <c r="G110" s="554"/>
      <c r="H110" s="555"/>
      <c r="I110" s="555"/>
      <c r="J110" s="555"/>
      <c r="K110" s="555"/>
      <c r="L110" s="556"/>
      <c r="M110" s="557"/>
      <c r="N110" s="1152"/>
      <c r="O110" s="1152"/>
      <c r="P110" s="45"/>
      <c r="Q110" s="504"/>
    </row>
    <row r="111" spans="1:17" ht="14.5" thickBot="1">
      <c r="A111" s="534"/>
      <c r="B111" s="543"/>
      <c r="C111" s="560"/>
      <c r="D111" s="536"/>
      <c r="E111" s="536"/>
      <c r="F111" s="536"/>
      <c r="G111" s="560"/>
      <c r="H111" s="562"/>
      <c r="I111" s="562"/>
      <c r="J111" s="562"/>
      <c r="K111" s="562"/>
      <c r="L111" s="562"/>
      <c r="M111" s="563"/>
      <c r="N111" s="1153"/>
      <c r="O111" s="1153"/>
      <c r="P111" s="45"/>
      <c r="Q111" s="504"/>
    </row>
    <row r="112" spans="1:17" ht="14.5" thickTop="1">
      <c r="A112" s="599"/>
      <c r="B112" s="546">
        <f>B40</f>
        <v>111</v>
      </c>
      <c r="C112" s="523"/>
      <c r="D112" s="523"/>
      <c r="E112" s="523"/>
      <c r="F112" s="523"/>
      <c r="G112" s="587"/>
      <c r="H112" s="587"/>
      <c r="I112" s="587"/>
      <c r="J112" s="587"/>
      <c r="K112" s="523"/>
      <c r="L112" s="524"/>
      <c r="M112" s="590"/>
      <c r="N112" s="1152"/>
      <c r="O112" s="1152"/>
      <c r="P112" s="45"/>
      <c r="Q112" s="504"/>
    </row>
    <row r="113" spans="1:17" ht="14.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4" customWidth="1"/>
    <col min="2" max="16384" width="9" style="1944"/>
  </cols>
  <sheetData>
    <row r="1" spans="1:1" ht="23">
      <c r="A1" s="1943" t="s">
        <v>1605</v>
      </c>
    </row>
    <row r="2" spans="1:1">
      <c r="A2" s="1945"/>
    </row>
    <row r="3" spans="1:1" ht="18">
      <c r="A3" s="1946" t="str">
        <f>项目基本情况!B5&amp;"："</f>
        <v>：</v>
      </c>
    </row>
    <row r="4" spans="1:1" ht="35">
      <c r="A4" s="1947" t="str">
        <f>"受贵公司委托，我公司对"&amp;项目基本情况!S1&amp;"进行了预评估。"</f>
        <v>受贵公司委托，我公司对出让国有建设用地使用权及在建建筑物房地产抵押价值进行了预评估。</v>
      </c>
    </row>
    <row r="5" spans="1:1" ht="18">
      <c r="A5" s="1948" t="s">
        <v>1606</v>
      </c>
    </row>
    <row r="6" spans="1:1" ht="17.5">
      <c r="A6" s="1949" t="s">
        <v>1607</v>
      </c>
    </row>
    <row r="7" spans="1:1" ht="5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估价对象为出让国有建设用地使用权及在建建筑物房地产，为所有。根据《国有土地使用证》[]，估价对象（分摊）出让国有建设用地使用权面积为62695.5平方米，建筑面积为70116平方米。</v>
      </c>
    </row>
    <row r="8" spans="1:1" ht="53.5">
      <c r="A8" s="1950" t="s">
        <v>1608</v>
      </c>
    </row>
    <row r="9" spans="1:1" ht="17.5">
      <c r="A9" s="1949" t="s">
        <v>1609</v>
      </c>
    </row>
    <row r="10" spans="1:1" ht="7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该项目尚在开发建设中。根据《国有土地使用证》[]，估价对象（分摊）出让国有建设用地使用权面积为62695.5平方米，规划建筑面积为70116平方米。</v>
      </c>
    </row>
    <row r="11" spans="1:1" ht="71">
      <c r="A11" s="1950" t="s">
        <v>1610</v>
      </c>
    </row>
    <row r="12" spans="1:1" ht="18">
      <c r="A12" s="1948" t="s">
        <v>1611</v>
      </c>
    </row>
    <row r="13" spans="1:1" ht="38.25" customHeight="1">
      <c r="A13" s="1951"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
      <c r="A14" s="1952" t="s">
        <v>1612</v>
      </c>
    </row>
    <row r="15" spans="1:1" ht="17.5">
      <c r="A15" s="1953" t="str">
        <f>TEXT(项目基本情况!D3,"yyyy年m月d日;;")&amp;IF(项目基本情况!D3=项目基本情况!B3,"（评估专业人员实地查勘之日）","")</f>
        <v>2020年2月7日</v>
      </c>
    </row>
    <row r="16" spans="1:1" ht="18">
      <c r="A16" s="1952" t="s">
        <v>1613</v>
      </c>
    </row>
    <row r="17" spans="1:1" ht="70">
      <c r="A17" s="1947" t="s">
        <v>1614</v>
      </c>
    </row>
    <row r="18" spans="1:1" ht="70">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947" t="str">
        <f>IF(项目基本情况!B9="房地产市场价值","——",IF(项目基本情况!E9="——","",定义!C57))</f>
        <v/>
      </c>
    </row>
    <row r="23" spans="1:1" ht="18">
      <c r="A23" s="1952" t="s">
        <v>1603</v>
      </c>
    </row>
    <row r="24" spans="1:1" ht="17.5">
      <c r="A24" s="1954" t="str">
        <f>"本次评估采用的主估价方法为"&amp;结果表!K4&amp;"和"&amp;结果表!L4&amp;"。"</f>
        <v>本次评估采用的主估价方法为成本法和假设开发法。</v>
      </c>
    </row>
    <row r="25" spans="1:1" ht="17.5">
      <c r="A25" s="1954"/>
    </row>
    <row r="26" spans="1:1" ht="1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5.453125" style="403" customWidth="1"/>
    <col min="10" max="10" width="12.1796875" style="403" customWidth="1"/>
    <col min="11" max="11" width="12.1796875" style="495" customWidth="1"/>
    <col min="12" max="12" width="12.1796875" style="496" customWidth="1"/>
    <col min="13" max="15" width="12.1796875" style="403" customWidth="1"/>
    <col min="16" max="16" width="4.81640625" style="112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2704</v>
      </c>
      <c r="B1" s="1619"/>
      <c r="C1" s="1620" t="s">
        <v>2527</v>
      </c>
      <c r="D1" s="1621"/>
      <c r="E1" s="1622"/>
      <c r="F1" s="2586"/>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c r="A4" s="401" t="s">
        <v>2642</v>
      </c>
      <c r="B4" s="402"/>
      <c r="C4" s="3199" t="s">
        <v>2643</v>
      </c>
      <c r="D4" s="3200"/>
      <c r="E4" s="3201" t="s">
        <v>2644</v>
      </c>
      <c r="F4" s="3202"/>
      <c r="G4" s="3199" t="s">
        <v>2645</v>
      </c>
      <c r="H4" s="3200"/>
      <c r="I4" s="3199" t="s">
        <v>2646</v>
      </c>
      <c r="J4" s="3200"/>
      <c r="K4" s="610" t="s">
        <v>2647</v>
      </c>
      <c r="L4" s="1130"/>
      <c r="M4" s="1131"/>
      <c r="N4" s="1131"/>
      <c r="O4" s="1131"/>
      <c r="P4" s="3203" t="s">
        <v>2648</v>
      </c>
      <c r="Q4" s="3204"/>
      <c r="R4" s="3186" t="s">
        <v>2644</v>
      </c>
      <c r="S4" s="3187"/>
      <c r="T4" s="3186" t="s">
        <v>2645</v>
      </c>
      <c r="U4" s="3187"/>
      <c r="V4" s="3211" t="s">
        <v>2646</v>
      </c>
      <c r="W4" s="3211"/>
      <c r="X4" s="1813"/>
      <c r="Y4" s="3186" t="s">
        <v>2648</v>
      </c>
      <c r="Z4" s="3187"/>
      <c r="AA4" s="3181" t="s">
        <v>2644</v>
      </c>
      <c r="AB4" s="3182" t="s">
        <v>2645</v>
      </c>
      <c r="AC4" s="3181" t="s">
        <v>2646</v>
      </c>
    </row>
    <row r="5" spans="1:29">
      <c r="A5" s="404"/>
      <c r="B5" s="405"/>
      <c r="C5" s="3192" t="s">
        <v>2539</v>
      </c>
      <c r="D5" s="3193"/>
      <c r="E5" s="3190" t="s">
        <v>2540</v>
      </c>
      <c r="F5" s="3191"/>
      <c r="G5" s="3192" t="s">
        <v>2541</v>
      </c>
      <c r="H5" s="3193"/>
      <c r="I5" s="3192" t="s">
        <v>2542</v>
      </c>
      <c r="J5" s="3193"/>
      <c r="K5" s="610"/>
      <c r="L5" s="1130"/>
      <c r="M5" s="1131"/>
      <c r="N5" s="1131"/>
      <c r="O5" s="1131"/>
      <c r="P5" s="3205"/>
      <c r="Q5" s="3206"/>
      <c r="R5" s="3188"/>
      <c r="S5" s="3189"/>
      <c r="T5" s="3188"/>
      <c r="U5" s="3189"/>
      <c r="V5" s="3211"/>
      <c r="W5" s="3211"/>
      <c r="X5" s="1813"/>
      <c r="Y5" s="3188"/>
      <c r="Z5" s="3189"/>
      <c r="AA5" s="3182"/>
      <c r="AB5" s="3182"/>
      <c r="AC5" s="3182"/>
    </row>
    <row r="6" spans="1:29" ht="15" thickBot="1">
      <c r="A6" s="406"/>
      <c r="B6" s="407"/>
      <c r="C6" s="3194" t="s">
        <v>2543</v>
      </c>
      <c r="D6" s="3195"/>
      <c r="E6" s="3196" t="s">
        <v>2543</v>
      </c>
      <c r="F6" s="3197"/>
      <c r="G6" s="3194" t="s">
        <v>2543</v>
      </c>
      <c r="H6" s="3195"/>
      <c r="I6" s="3194" t="s">
        <v>2543</v>
      </c>
      <c r="J6" s="3195"/>
      <c r="K6" s="610" t="s">
        <v>2544</v>
      </c>
      <c r="L6" s="1130"/>
      <c r="M6" s="1131"/>
      <c r="N6" s="1131"/>
      <c r="O6" s="1131"/>
      <c r="P6" s="3207"/>
      <c r="Q6" s="3208"/>
      <c r="R6" s="3188"/>
      <c r="S6" s="3189"/>
      <c r="T6" s="3209"/>
      <c r="U6" s="3210"/>
      <c r="V6" s="3211"/>
      <c r="W6" s="3211"/>
      <c r="X6" s="1813"/>
      <c r="Y6" s="3209"/>
      <c r="Z6" s="3210"/>
      <c r="AA6" s="3183"/>
      <c r="AB6" s="3183"/>
      <c r="AC6" s="3183"/>
    </row>
    <row r="7" spans="1:29" s="117" customFormat="1" ht="14.5" thickBot="1">
      <c r="A7" s="408" t="s">
        <v>2545</v>
      </c>
      <c r="B7" s="409"/>
      <c r="C7" s="410">
        <f>'数据-取费表'!B2</f>
        <v>43868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2546</v>
      </c>
      <c r="Q7" s="3212"/>
      <c r="R7" s="770" t="s">
        <v>17</v>
      </c>
      <c r="S7" s="771">
        <f t="shared" ref="S7:S14" si="0">F7</f>
        <v>0</v>
      </c>
      <c r="T7" s="770" t="s">
        <v>17</v>
      </c>
      <c r="U7" s="771">
        <f t="shared" ref="U7:U14" si="1">H7</f>
        <v>0</v>
      </c>
      <c r="V7" s="770" t="s">
        <v>17</v>
      </c>
      <c r="W7" s="771">
        <f t="shared" ref="W7:W14" si="2">J7</f>
        <v>0</v>
      </c>
      <c r="X7" s="772"/>
      <c r="Y7" s="3184" t="s">
        <v>2546</v>
      </c>
      <c r="Z7" s="3185"/>
      <c r="AA7" s="773" t="e">
        <f>D7/F7</f>
        <v>#DIV/0!</v>
      </c>
      <c r="AB7" s="773" t="e">
        <f>D7/H7</f>
        <v>#DIV/0!</v>
      </c>
      <c r="AC7" s="773" t="e">
        <f>D7/J7</f>
        <v>#DIV/0!</v>
      </c>
    </row>
    <row r="8" spans="1:29" s="117" customFormat="1" ht="14.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2549</v>
      </c>
      <c r="Q8" s="3185"/>
      <c r="R8" s="770" t="s">
        <v>17</v>
      </c>
      <c r="S8" s="771">
        <f t="shared" si="0"/>
        <v>0</v>
      </c>
      <c r="T8" s="770" t="s">
        <v>17</v>
      </c>
      <c r="U8" s="771">
        <f t="shared" si="1"/>
        <v>0</v>
      </c>
      <c r="V8" s="770" t="s">
        <v>17</v>
      </c>
      <c r="W8" s="771">
        <f t="shared" si="2"/>
        <v>0</v>
      </c>
      <c r="X8" s="772"/>
      <c r="Y8" s="3184" t="s">
        <v>2549</v>
      </c>
      <c r="Z8" s="3185"/>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6" t="s">
        <v>2552</v>
      </c>
      <c r="Q9" s="1795" t="str">
        <f t="shared" ref="Q9:Q14" si="6">B9</f>
        <v>用途</v>
      </c>
      <c r="R9" s="770" t="s">
        <v>17</v>
      </c>
      <c r="S9" s="771">
        <f t="shared" si="0"/>
        <v>100</v>
      </c>
      <c r="T9" s="770" t="s">
        <v>17</v>
      </c>
      <c r="U9" s="771">
        <f t="shared" si="1"/>
        <v>100</v>
      </c>
      <c r="V9" s="770" t="s">
        <v>17</v>
      </c>
      <c r="W9" s="771">
        <f t="shared" si="2"/>
        <v>100</v>
      </c>
      <c r="X9" s="772"/>
      <c r="Y9" s="3031" t="s">
        <v>2553</v>
      </c>
      <c r="Z9" s="55" t="str">
        <f t="shared" ref="Z9:Z14" si="7">Q9</f>
        <v>用途</v>
      </c>
      <c r="AA9" s="773">
        <f t="shared" si="3"/>
        <v>1</v>
      </c>
      <c r="AB9" s="773">
        <f t="shared" si="4"/>
        <v>1</v>
      </c>
      <c r="AC9" s="773">
        <f t="shared" si="5"/>
        <v>1</v>
      </c>
    </row>
    <row r="10" spans="1:29" s="427" customFormat="1" ht="28">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6"/>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98">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8" t="s">
        <v>2557</v>
      </c>
      <c r="Q14" s="1810" t="str">
        <f t="shared" si="6"/>
        <v>交通便捷度</v>
      </c>
      <c r="R14" s="774" t="s">
        <v>17</v>
      </c>
      <c r="S14" s="775">
        <f t="shared" si="0"/>
        <v>100</v>
      </c>
      <c r="T14" s="774" t="s">
        <v>17</v>
      </c>
      <c r="U14" s="775">
        <f t="shared" si="1"/>
        <v>100</v>
      </c>
      <c r="V14" s="774" t="s">
        <v>17</v>
      </c>
      <c r="W14" s="775">
        <f t="shared" si="2"/>
        <v>100</v>
      </c>
      <c r="X14" s="1813"/>
      <c r="Y14" s="3218" t="s">
        <v>2557</v>
      </c>
      <c r="Z14" s="1814" t="str">
        <f t="shared" si="7"/>
        <v>交通便捷度</v>
      </c>
      <c r="AA14" s="1811">
        <f t="shared" si="3"/>
        <v>1</v>
      </c>
      <c r="AB14" s="1811">
        <f t="shared" si="4"/>
        <v>1</v>
      </c>
      <c r="AC14" s="1811">
        <f t="shared" si="5"/>
        <v>1</v>
      </c>
    </row>
    <row r="15" spans="1:29" ht="15.5">
      <c r="A15" s="404"/>
      <c r="B15" s="647"/>
      <c r="C15" s="447"/>
      <c r="D15" s="448"/>
      <c r="E15" s="447"/>
      <c r="F15" s="449"/>
      <c r="G15" s="447"/>
      <c r="H15" s="450"/>
      <c r="I15" s="447"/>
      <c r="J15" s="448"/>
      <c r="K15" s="615"/>
      <c r="L15" s="1140"/>
      <c r="M15" s="1131"/>
      <c r="N15" s="1131"/>
      <c r="O15" s="1131"/>
      <c r="P15" s="3219"/>
      <c r="Q15" s="1810"/>
      <c r="R15" s="774"/>
      <c r="S15" s="775"/>
      <c r="T15" s="774"/>
      <c r="U15" s="775"/>
      <c r="V15" s="774"/>
      <c r="W15" s="775"/>
      <c r="X15" s="1813"/>
      <c r="Y15" s="3219"/>
      <c r="Z15" s="1814"/>
      <c r="AA15" s="1811">
        <v>1</v>
      </c>
      <c r="AB15" s="1811">
        <v>1</v>
      </c>
      <c r="AC15" s="1811">
        <v>1</v>
      </c>
    </row>
    <row r="16" spans="1:29" ht="42">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9"/>
      <c r="Q16" s="1810" t="str">
        <f>B16</f>
        <v>公共配套设施</v>
      </c>
      <c r="R16" s="774" t="s">
        <v>17</v>
      </c>
      <c r="S16" s="775">
        <f>F16</f>
        <v>100</v>
      </c>
      <c r="T16" s="774" t="s">
        <v>17</v>
      </c>
      <c r="U16" s="775">
        <f>H16</f>
        <v>100</v>
      </c>
      <c r="V16" s="774" t="s">
        <v>17</v>
      </c>
      <c r="W16" s="775">
        <f>J16</f>
        <v>100</v>
      </c>
      <c r="X16" s="1813"/>
      <c r="Y16" s="3219"/>
      <c r="Z16" s="1814" t="str">
        <f>Q16</f>
        <v>公共配套设施</v>
      </c>
      <c r="AA16" s="1811">
        <f t="shared" si="3"/>
        <v>1</v>
      </c>
      <c r="AB16" s="1811">
        <f t="shared" si="4"/>
        <v>1</v>
      </c>
      <c r="AC16" s="1811">
        <f t="shared" si="5"/>
        <v>1</v>
      </c>
    </row>
    <row r="17" spans="1:29" ht="15.5">
      <c r="A17" s="404"/>
      <c r="B17" s="632"/>
      <c r="C17" s="2610"/>
      <c r="D17" s="448"/>
      <c r="E17" s="447"/>
      <c r="F17" s="449"/>
      <c r="G17" s="447"/>
      <c r="H17" s="448"/>
      <c r="I17" s="447"/>
      <c r="J17" s="448"/>
      <c r="K17" s="615"/>
      <c r="L17" s="1140"/>
      <c r="M17" s="1131"/>
      <c r="N17" s="1131"/>
      <c r="O17" s="1131"/>
      <c r="P17" s="3219"/>
      <c r="Q17" s="1810"/>
      <c r="R17" s="774"/>
      <c r="S17" s="775"/>
      <c r="T17" s="774"/>
      <c r="U17" s="775"/>
      <c r="V17" s="774"/>
      <c r="W17" s="775"/>
      <c r="X17" s="1813"/>
      <c r="Y17" s="3219"/>
      <c r="Z17" s="1814"/>
      <c r="AA17" s="1811">
        <v>1</v>
      </c>
      <c r="AB17" s="1811">
        <v>1</v>
      </c>
      <c r="AC17" s="1811">
        <v>1</v>
      </c>
    </row>
    <row r="18" spans="1:29" ht="42">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9"/>
      <c r="Q18" s="1810" t="str">
        <f>B18</f>
        <v>基础设施水平</v>
      </c>
      <c r="R18" s="774" t="s">
        <v>17</v>
      </c>
      <c r="S18" s="775">
        <f>F18</f>
        <v>100</v>
      </c>
      <c r="T18" s="774" t="s">
        <v>17</v>
      </c>
      <c r="U18" s="775">
        <f>H18</f>
        <v>100</v>
      </c>
      <c r="V18" s="774" t="s">
        <v>17</v>
      </c>
      <c r="W18" s="775">
        <f>J18</f>
        <v>100</v>
      </c>
      <c r="X18" s="1813"/>
      <c r="Y18" s="3219"/>
      <c r="Z18" s="1814" t="str">
        <f>Q18</f>
        <v>基础设施水平</v>
      </c>
      <c r="AA18" s="1811">
        <f t="shared" ref="AA18" si="8">D18/F18</f>
        <v>1</v>
      </c>
      <c r="AB18" s="1811">
        <f t="shared" ref="AB18" si="9">D18/H18</f>
        <v>1</v>
      </c>
      <c r="AC18" s="1811">
        <f t="shared" ref="AC18" si="10">D18/J18</f>
        <v>1</v>
      </c>
    </row>
    <row r="19" spans="1:29" ht="15.5">
      <c r="A19" s="404"/>
      <c r="B19" s="633"/>
      <c r="C19" s="2610"/>
      <c r="D19" s="450"/>
      <c r="E19" s="2610"/>
      <c r="F19" s="453"/>
      <c r="G19" s="2610"/>
      <c r="H19" s="448"/>
      <c r="I19" s="447"/>
      <c r="J19" s="448"/>
      <c r="K19" s="1383"/>
      <c r="L19" s="1140"/>
      <c r="M19" s="1131"/>
      <c r="N19" s="1131"/>
      <c r="O19" s="1131"/>
      <c r="P19" s="3219"/>
      <c r="Q19" s="1810"/>
      <c r="R19" s="774"/>
      <c r="S19" s="775"/>
      <c r="T19" s="774"/>
      <c r="U19" s="775"/>
      <c r="V19" s="774"/>
      <c r="W19" s="775"/>
      <c r="X19" s="1813"/>
      <c r="Y19" s="3219"/>
      <c r="Z19" s="1814"/>
      <c r="AA19" s="1811">
        <v>1</v>
      </c>
      <c r="AB19" s="1811">
        <v>1</v>
      </c>
      <c r="AC19" s="1811">
        <v>1</v>
      </c>
    </row>
    <row r="20" spans="1:29" ht="56">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9"/>
      <c r="Q20" s="1810" t="str">
        <f>B20</f>
        <v>自然及人文环境</v>
      </c>
      <c r="R20" s="774" t="s">
        <v>17</v>
      </c>
      <c r="S20" s="775">
        <f>F20</f>
        <v>100</v>
      </c>
      <c r="T20" s="774" t="s">
        <v>17</v>
      </c>
      <c r="U20" s="775">
        <f>H20</f>
        <v>100</v>
      </c>
      <c r="V20" s="774" t="s">
        <v>17</v>
      </c>
      <c r="W20" s="775">
        <f>J20</f>
        <v>100</v>
      </c>
      <c r="X20" s="1813"/>
      <c r="Y20" s="3219"/>
      <c r="Z20" s="1814" t="str">
        <f>Q20</f>
        <v>自然及人文环境</v>
      </c>
      <c r="AA20" s="1811">
        <f t="shared" si="3"/>
        <v>1</v>
      </c>
      <c r="AB20" s="1811">
        <f t="shared" si="4"/>
        <v>1</v>
      </c>
      <c r="AC20" s="1811">
        <f t="shared" si="5"/>
        <v>1</v>
      </c>
    </row>
    <row r="21" spans="1:29" ht="15.5">
      <c r="A21" s="404"/>
      <c r="B21" s="632"/>
      <c r="C21" s="447"/>
      <c r="D21" s="448"/>
      <c r="E21" s="447"/>
      <c r="F21" s="449"/>
      <c r="G21" s="447"/>
      <c r="H21" s="448"/>
      <c r="I21" s="447"/>
      <c r="J21" s="448"/>
      <c r="K21" s="615"/>
      <c r="L21" s="1140"/>
      <c r="M21" s="1131"/>
      <c r="N21" s="1131"/>
      <c r="O21" s="1131"/>
      <c r="P21" s="3219"/>
      <c r="Q21" s="1810"/>
      <c r="R21" s="774"/>
      <c r="S21" s="775"/>
      <c r="T21" s="774"/>
      <c r="U21" s="775"/>
      <c r="V21" s="774"/>
      <c r="W21" s="775"/>
      <c r="X21" s="1813"/>
      <c r="Y21" s="3219"/>
      <c r="Z21" s="1814"/>
      <c r="AA21" s="1811">
        <v>1</v>
      </c>
      <c r="AB21" s="1811">
        <v>1</v>
      </c>
      <c r="AC21" s="1811">
        <v>1</v>
      </c>
    </row>
    <row r="22" spans="1:29" ht="15.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9"/>
      <c r="Q22" s="1810" t="str">
        <f>B22</f>
        <v>楼层</v>
      </c>
      <c r="R22" s="774" t="s">
        <v>17</v>
      </c>
      <c r="S22" s="775">
        <f>F22</f>
        <v>100</v>
      </c>
      <c r="T22" s="774" t="s">
        <v>17</v>
      </c>
      <c r="U22" s="775">
        <f>H22</f>
        <v>100</v>
      </c>
      <c r="V22" s="774" t="s">
        <v>17</v>
      </c>
      <c r="W22" s="775">
        <f>J22</f>
        <v>100</v>
      </c>
      <c r="X22" s="1813"/>
      <c r="Y22" s="3219"/>
      <c r="Z22" s="1814" t="str">
        <f>Q22</f>
        <v>楼层</v>
      </c>
      <c r="AA22" s="1811">
        <f t="shared" si="3"/>
        <v>1</v>
      </c>
      <c r="AB22" s="1811">
        <f t="shared" si="4"/>
        <v>1</v>
      </c>
      <c r="AC22" s="1811">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9"/>
      <c r="Q23" s="1810">
        <f>B23</f>
        <v>111</v>
      </c>
      <c r="R23" s="774" t="s">
        <v>17</v>
      </c>
      <c r="S23" s="775">
        <f>F23</f>
        <v>100</v>
      </c>
      <c r="T23" s="774" t="s">
        <v>17</v>
      </c>
      <c r="U23" s="775">
        <f>H23</f>
        <v>100</v>
      </c>
      <c r="V23" s="774" t="s">
        <v>17</v>
      </c>
      <c r="W23" s="775">
        <f>J23</f>
        <v>100</v>
      </c>
      <c r="X23" s="1813"/>
      <c r="Y23" s="3219"/>
      <c r="Z23" s="1814">
        <f>Q23</f>
        <v>111</v>
      </c>
      <c r="AA23" s="1811">
        <f t="shared" si="3"/>
        <v>1</v>
      </c>
      <c r="AB23" s="1811">
        <f t="shared" si="4"/>
        <v>1</v>
      </c>
      <c r="AC23" s="1811">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9"/>
      <c r="Q24" s="1810">
        <f t="shared" ref="Q24:Q36" si="11">B24</f>
        <v>111</v>
      </c>
      <c r="R24" s="774" t="s">
        <v>17</v>
      </c>
      <c r="S24" s="775">
        <f>F24</f>
        <v>100</v>
      </c>
      <c r="T24" s="774" t="s">
        <v>17</v>
      </c>
      <c r="U24" s="775">
        <f>H24</f>
        <v>100</v>
      </c>
      <c r="V24" s="774" t="s">
        <v>17</v>
      </c>
      <c r="W24" s="775">
        <f>J24</f>
        <v>100</v>
      </c>
      <c r="X24" s="1813"/>
      <c r="Y24" s="3219"/>
      <c r="Z24" s="1814">
        <f>Q24</f>
        <v>111</v>
      </c>
      <c r="AA24" s="1811">
        <f t="shared" si="3"/>
        <v>1</v>
      </c>
      <c r="AB24" s="1811">
        <f t="shared" si="4"/>
        <v>1</v>
      </c>
      <c r="AC24" s="1811">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9"/>
      <c r="Q25" s="1795">
        <f t="shared" si="11"/>
        <v>111</v>
      </c>
      <c r="R25" s="770" t="s">
        <v>17</v>
      </c>
      <c r="S25" s="771">
        <f>F25</f>
        <v>100</v>
      </c>
      <c r="T25" s="770" t="s">
        <v>17</v>
      </c>
      <c r="U25" s="771">
        <f>H25</f>
        <v>100</v>
      </c>
      <c r="V25" s="770" t="s">
        <v>17</v>
      </c>
      <c r="W25" s="771">
        <f>J25</f>
        <v>100</v>
      </c>
      <c r="X25" s="772"/>
      <c r="Y25" s="3219"/>
      <c r="Z25" s="55">
        <f>Q25</f>
        <v>111</v>
      </c>
      <c r="AA25" s="1811">
        <f>D25/F25</f>
        <v>1</v>
      </c>
      <c r="AB25" s="1811">
        <f>D25/H25</f>
        <v>1</v>
      </c>
      <c r="AC25" s="1811">
        <f>D25/J25</f>
        <v>1</v>
      </c>
    </row>
    <row r="26" spans="1:29" ht="29">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2"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3" t="s">
        <v>2562</v>
      </c>
      <c r="Z26" s="1814" t="str">
        <f t="shared" ref="Z26:Z36" si="15">Q26</f>
        <v>配套类型</v>
      </c>
      <c r="AA26" s="1811">
        <f t="shared" si="3"/>
        <v>1</v>
      </c>
      <c r="AB26" s="1811">
        <f t="shared" si="4"/>
        <v>1</v>
      </c>
      <c r="AC26" s="1811">
        <f t="shared" si="5"/>
        <v>1</v>
      </c>
    </row>
    <row r="27" spans="1:29" s="471" customFormat="1" ht="15.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3"/>
      <c r="Q27" s="776" t="str">
        <f t="shared" si="11"/>
        <v>项目停车位配比</v>
      </c>
      <c r="R27" s="777" t="s">
        <v>17</v>
      </c>
      <c r="S27" s="778">
        <f t="shared" si="12"/>
        <v>100</v>
      </c>
      <c r="T27" s="777" t="s">
        <v>17</v>
      </c>
      <c r="U27" s="778">
        <f t="shared" si="13"/>
        <v>100</v>
      </c>
      <c r="V27" s="777" t="s">
        <v>17</v>
      </c>
      <c r="W27" s="778">
        <f t="shared" si="14"/>
        <v>100</v>
      </c>
      <c r="X27" s="779"/>
      <c r="Y27" s="3223"/>
      <c r="Z27" s="780" t="str">
        <f t="shared" si="15"/>
        <v>项目停车位配比</v>
      </c>
      <c r="AA27" s="1811">
        <f t="shared" si="3"/>
        <v>1</v>
      </c>
      <c r="AB27" s="1811">
        <f t="shared" si="4"/>
        <v>1</v>
      </c>
      <c r="AC27" s="1811">
        <f t="shared" si="5"/>
        <v>1</v>
      </c>
    </row>
    <row r="28" spans="1:29" ht="15.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3"/>
      <c r="Q28" s="1810" t="str">
        <f t="shared" si="11"/>
        <v>公共部分装修</v>
      </c>
      <c r="R28" s="774" t="s">
        <v>17</v>
      </c>
      <c r="S28" s="775">
        <f t="shared" si="12"/>
        <v>100</v>
      </c>
      <c r="T28" s="774" t="s">
        <v>17</v>
      </c>
      <c r="U28" s="775">
        <f t="shared" si="13"/>
        <v>100</v>
      </c>
      <c r="V28" s="774" t="s">
        <v>17</v>
      </c>
      <c r="W28" s="775">
        <f t="shared" si="14"/>
        <v>100</v>
      </c>
      <c r="X28" s="1813"/>
      <c r="Y28" s="3223"/>
      <c r="Z28" s="1814" t="str">
        <f t="shared" si="15"/>
        <v>公共部分装修</v>
      </c>
      <c r="AA28" s="1811">
        <f t="shared" si="3"/>
        <v>1</v>
      </c>
      <c r="AB28" s="1811">
        <f t="shared" si="4"/>
        <v>1</v>
      </c>
      <c r="AC28" s="1811">
        <f t="shared" si="5"/>
        <v>1</v>
      </c>
    </row>
    <row r="29" spans="1:29" ht="15.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3"/>
      <c r="Q29" s="1810" t="str">
        <f t="shared" si="11"/>
        <v>成新率</v>
      </c>
      <c r="R29" s="774" t="s">
        <v>17</v>
      </c>
      <c r="S29" s="775" t="e">
        <f t="shared" si="12"/>
        <v>#N/A</v>
      </c>
      <c r="T29" s="774" t="s">
        <v>17</v>
      </c>
      <c r="U29" s="775" t="e">
        <f t="shared" si="13"/>
        <v>#N/A</v>
      </c>
      <c r="V29" s="774" t="s">
        <v>17</v>
      </c>
      <c r="W29" s="775" t="e">
        <f t="shared" si="14"/>
        <v>#N/A</v>
      </c>
      <c r="X29" s="1813"/>
      <c r="Y29" s="3223"/>
      <c r="Z29" s="1814" t="str">
        <f t="shared" si="15"/>
        <v>成新率</v>
      </c>
      <c r="AA29" s="1811" t="e">
        <f t="shared" si="3"/>
        <v>#N/A</v>
      </c>
      <c r="AB29" s="1811" t="e">
        <f t="shared" si="4"/>
        <v>#N/A</v>
      </c>
      <c r="AC29" s="1811" t="e">
        <f t="shared" si="5"/>
        <v>#N/A</v>
      </c>
    </row>
    <row r="30" spans="1:29" ht="15.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3"/>
      <c r="Q30" s="1810" t="str">
        <f t="shared" si="11"/>
        <v>物业等级</v>
      </c>
      <c r="R30" s="774" t="s">
        <v>17</v>
      </c>
      <c r="S30" s="775">
        <f t="shared" si="12"/>
        <v>100</v>
      </c>
      <c r="T30" s="774" t="s">
        <v>17</v>
      </c>
      <c r="U30" s="775">
        <f t="shared" si="13"/>
        <v>100</v>
      </c>
      <c r="V30" s="774" t="s">
        <v>17</v>
      </c>
      <c r="W30" s="775">
        <f t="shared" si="14"/>
        <v>100</v>
      </c>
      <c r="X30" s="1813"/>
      <c r="Y30" s="3223"/>
      <c r="Z30" s="1814" t="str">
        <f t="shared" si="15"/>
        <v>物业等级</v>
      </c>
      <c r="AA30" s="1811">
        <f t="shared" si="3"/>
        <v>1</v>
      </c>
      <c r="AB30" s="1811">
        <f t="shared" si="4"/>
        <v>1</v>
      </c>
      <c r="AC30" s="1811">
        <f t="shared" si="5"/>
        <v>1</v>
      </c>
    </row>
    <row r="31" spans="1:29" s="117" customFormat="1" ht="15.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3"/>
      <c r="Q31" s="1795" t="str">
        <f t="shared" si="11"/>
        <v>停车位面积</v>
      </c>
      <c r="R31" s="770" t="s">
        <v>17</v>
      </c>
      <c r="S31" s="771" t="e">
        <f t="shared" si="12"/>
        <v>#N/A</v>
      </c>
      <c r="T31" s="770" t="s">
        <v>17</v>
      </c>
      <c r="U31" s="771" t="e">
        <f t="shared" si="13"/>
        <v>#N/A</v>
      </c>
      <c r="V31" s="770" t="s">
        <v>17</v>
      </c>
      <c r="W31" s="771" t="e">
        <f t="shared" si="14"/>
        <v>#N/A</v>
      </c>
      <c r="X31" s="772"/>
      <c r="Y31" s="3223"/>
      <c r="Z31" s="55" t="str">
        <f t="shared" si="15"/>
        <v>停车位面积</v>
      </c>
      <c r="AA31" s="773" t="e">
        <f t="shared" si="3"/>
        <v>#N/A</v>
      </c>
      <c r="AB31" s="773" t="e">
        <f t="shared" si="4"/>
        <v>#N/A</v>
      </c>
      <c r="AC31" s="773" t="e">
        <f t="shared" si="5"/>
        <v>#N/A</v>
      </c>
    </row>
    <row r="32" spans="1:29" ht="15.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3" t="s">
        <v>2562</v>
      </c>
      <c r="Q32" s="1810" t="str">
        <f t="shared" si="11"/>
        <v>车位类型</v>
      </c>
      <c r="R32" s="774" t="s">
        <v>17</v>
      </c>
      <c r="S32" s="775">
        <f t="shared" si="12"/>
        <v>100</v>
      </c>
      <c r="T32" s="774" t="s">
        <v>17</v>
      </c>
      <c r="U32" s="775">
        <f t="shared" si="13"/>
        <v>100</v>
      </c>
      <c r="V32" s="774" t="s">
        <v>17</v>
      </c>
      <c r="W32" s="775">
        <f t="shared" si="14"/>
        <v>100</v>
      </c>
      <c r="X32" s="1813"/>
      <c r="Y32" s="3223" t="s">
        <v>2562</v>
      </c>
      <c r="Z32" s="1814" t="str">
        <f t="shared" si="15"/>
        <v>车位类型</v>
      </c>
      <c r="AA32" s="1811">
        <f t="shared" si="3"/>
        <v>1</v>
      </c>
      <c r="AB32" s="1811">
        <f t="shared" si="4"/>
        <v>1</v>
      </c>
      <c r="AC32" s="1811">
        <f t="shared" si="5"/>
        <v>1</v>
      </c>
    </row>
    <row r="33" spans="1:29" ht="15.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3"/>
      <c r="Q33" s="1810" t="str">
        <f t="shared" si="11"/>
        <v>是否直接入户</v>
      </c>
      <c r="R33" s="774" t="s">
        <v>17</v>
      </c>
      <c r="S33" s="775">
        <f t="shared" si="12"/>
        <v>100</v>
      </c>
      <c r="T33" s="774" t="s">
        <v>17</v>
      </c>
      <c r="U33" s="775">
        <f t="shared" si="13"/>
        <v>100</v>
      </c>
      <c r="V33" s="774" t="s">
        <v>17</v>
      </c>
      <c r="W33" s="775">
        <f t="shared" si="14"/>
        <v>100</v>
      </c>
      <c r="X33" s="1813"/>
      <c r="Y33" s="3223"/>
      <c r="Z33" s="1814" t="str">
        <f t="shared" si="15"/>
        <v>是否直接入户</v>
      </c>
      <c r="AA33" s="1811">
        <f t="shared" si="3"/>
        <v>1</v>
      </c>
      <c r="AB33" s="1811">
        <f t="shared" si="4"/>
        <v>1</v>
      </c>
      <c r="AC33" s="1811">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3"/>
      <c r="Q34" s="1810">
        <f t="shared" si="11"/>
        <v>111</v>
      </c>
      <c r="R34" s="774" t="s">
        <v>17</v>
      </c>
      <c r="S34" s="775">
        <f t="shared" si="12"/>
        <v>100</v>
      </c>
      <c r="T34" s="774" t="s">
        <v>17</v>
      </c>
      <c r="U34" s="775">
        <f t="shared" si="13"/>
        <v>100</v>
      </c>
      <c r="V34" s="774" t="s">
        <v>17</v>
      </c>
      <c r="W34" s="775">
        <f t="shared" si="14"/>
        <v>100</v>
      </c>
      <c r="X34" s="1813"/>
      <c r="Y34" s="3223"/>
      <c r="Z34" s="1814">
        <f t="shared" si="15"/>
        <v>111</v>
      </c>
      <c r="AA34" s="1811">
        <f t="shared" si="3"/>
        <v>1</v>
      </c>
      <c r="AB34" s="1811">
        <f t="shared" si="4"/>
        <v>1</v>
      </c>
      <c r="AC34" s="1811">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3"/>
      <c r="Q35" s="776">
        <f t="shared" si="11"/>
        <v>111</v>
      </c>
      <c r="R35" s="777" t="s">
        <v>17</v>
      </c>
      <c r="S35" s="778">
        <f t="shared" si="12"/>
        <v>100</v>
      </c>
      <c r="T35" s="777" t="s">
        <v>17</v>
      </c>
      <c r="U35" s="778">
        <f t="shared" si="13"/>
        <v>100</v>
      </c>
      <c r="V35" s="777" t="s">
        <v>17</v>
      </c>
      <c r="W35" s="778">
        <f t="shared" si="14"/>
        <v>100</v>
      </c>
      <c r="X35" s="779"/>
      <c r="Y35" s="3223"/>
      <c r="Z35" s="780">
        <f t="shared" si="15"/>
        <v>111</v>
      </c>
      <c r="AA35" s="1811">
        <f t="shared" si="3"/>
        <v>1</v>
      </c>
      <c r="AB35" s="1811">
        <f t="shared" si="4"/>
        <v>1</v>
      </c>
      <c r="AC35" s="1811">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3"/>
      <c r="Q36" s="1810">
        <f t="shared" si="11"/>
        <v>111</v>
      </c>
      <c r="R36" s="774" t="s">
        <v>17</v>
      </c>
      <c r="S36" s="775">
        <f t="shared" si="12"/>
        <v>100</v>
      </c>
      <c r="T36" s="774" t="s">
        <v>17</v>
      </c>
      <c r="U36" s="775">
        <f t="shared" si="13"/>
        <v>100</v>
      </c>
      <c r="V36" s="774" t="s">
        <v>17</v>
      </c>
      <c r="W36" s="775">
        <f t="shared" si="14"/>
        <v>100</v>
      </c>
      <c r="X36" s="1813"/>
      <c r="Y36" s="3223"/>
      <c r="Z36" s="1814">
        <f t="shared" si="15"/>
        <v>111</v>
      </c>
      <c r="AA36" s="1811">
        <f t="shared" si="3"/>
        <v>1</v>
      </c>
      <c r="AB36" s="1811">
        <f t="shared" si="4"/>
        <v>1</v>
      </c>
      <c r="AC36" s="1811">
        <f t="shared" si="5"/>
        <v>1</v>
      </c>
    </row>
    <row r="37" spans="1:29">
      <c r="A37" s="479" t="s">
        <v>2717</v>
      </c>
      <c r="B37" s="2697" t="s">
        <v>2718</v>
      </c>
      <c r="C37" s="1407" t="s">
        <v>1</v>
      </c>
      <c r="D37" s="1408"/>
      <c r="E37" s="1409"/>
      <c r="F37" s="1410"/>
      <c r="G37" s="1411"/>
      <c r="H37" s="1412"/>
      <c r="I37" s="1409"/>
      <c r="J37" s="1412"/>
      <c r="K37" s="619"/>
      <c r="L37" s="1143"/>
      <c r="M37" s="1144"/>
      <c r="N37" s="1131"/>
      <c r="O37" s="1144"/>
      <c r="P37" s="3216" t="str">
        <f>A37</f>
        <v>成交单价</v>
      </c>
      <c r="Q37" s="3216"/>
      <c r="R37" s="3217">
        <f>E37</f>
        <v>0</v>
      </c>
      <c r="S37" s="3217"/>
      <c r="T37" s="3217">
        <f>G37</f>
        <v>0</v>
      </c>
      <c r="U37" s="3217"/>
      <c r="V37" s="3217">
        <f>I37</f>
        <v>0</v>
      </c>
      <c r="W37" s="3217"/>
      <c r="X37" s="759"/>
      <c r="Y37" s="781"/>
      <c r="Z37" s="759"/>
      <c r="AA37" s="759"/>
      <c r="AB37" s="759"/>
      <c r="AC37" s="759"/>
    </row>
    <row r="38" spans="1:29" ht="14.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9"/>
      <c r="Y38" s="759"/>
      <c r="Z38" s="759"/>
      <c r="AA38" s="759"/>
      <c r="AB38" s="759"/>
      <c r="AC38" s="759"/>
    </row>
    <row r="39" spans="1:29" ht="14.5" thickBot="1">
      <c r="A39" s="492" t="s">
        <v>2720</v>
      </c>
      <c r="B39" s="493"/>
      <c r="C39" s="1417" t="e">
        <f>R39</f>
        <v>#DIV/0!</v>
      </c>
      <c r="D39" s="1417"/>
      <c r="E39" s="1417"/>
      <c r="F39" s="1417"/>
      <c r="G39" s="1417"/>
      <c r="H39" s="1417"/>
      <c r="I39" s="1417"/>
      <c r="J39" s="1417"/>
      <c r="K39" s="621"/>
      <c r="L39" s="1143"/>
      <c r="M39" s="1144"/>
      <c r="N39" s="1144"/>
      <c r="O39" s="1144"/>
      <c r="P39" s="3213" t="str">
        <f>A39</f>
        <v>估价对象XX用房的比较价值（楼面单价，元/平方米）</v>
      </c>
      <c r="Q39" s="3214"/>
      <c r="R39" s="3215" t="e">
        <f>IF(F1="售价",ROUND(AVERAGE(R38:V38),0),ROUND(AVERAGE(R38:V38),1))</f>
        <v>#DIV/0!</v>
      </c>
      <c r="S39" s="3215"/>
      <c r="T39" s="3215"/>
      <c r="U39" s="3215"/>
      <c r="V39" s="3215"/>
      <c r="W39" s="321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c r="A48" s="505" t="s">
        <v>2725</v>
      </c>
      <c r="B48" s="506"/>
      <c r="C48" s="1574" t="str">
        <f>YEAR(C7)&amp;"-"&amp;MONTH(C7)</f>
        <v>2020-2</v>
      </c>
      <c r="D48" s="1575">
        <f>EDATE(C48,-1)</f>
        <v>43831</v>
      </c>
      <c r="E48" s="1575">
        <f t="shared" ref="E48:O48" si="16">EDATE(D48,-1)</f>
        <v>43800</v>
      </c>
      <c r="F48" s="1575">
        <f t="shared" si="16"/>
        <v>43770</v>
      </c>
      <c r="G48" s="1575">
        <f t="shared" si="16"/>
        <v>43739</v>
      </c>
      <c r="H48" s="1575">
        <f t="shared" si="16"/>
        <v>43709</v>
      </c>
      <c r="I48" s="1575">
        <f t="shared" si="16"/>
        <v>43678</v>
      </c>
      <c r="J48" s="1575">
        <f t="shared" si="16"/>
        <v>43647</v>
      </c>
      <c r="K48" s="1575">
        <f t="shared" si="16"/>
        <v>43617</v>
      </c>
      <c r="L48" s="1575">
        <f t="shared" si="16"/>
        <v>43586</v>
      </c>
      <c r="M48" s="1575">
        <f t="shared" si="16"/>
        <v>43556</v>
      </c>
      <c r="N48" s="1575">
        <f t="shared" si="16"/>
        <v>43525</v>
      </c>
      <c r="O48" s="1575">
        <f t="shared" si="16"/>
        <v>43497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4.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8.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4.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4.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4.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4.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4.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8.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4.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4.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4.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4.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4.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4.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4.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2704</v>
      </c>
      <c r="B1" s="1619"/>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2642</v>
      </c>
      <c r="B4" s="402"/>
      <c r="C4" s="3199" t="s">
        <v>2643</v>
      </c>
      <c r="D4" s="3200"/>
      <c r="E4" s="3201" t="s">
        <v>2644</v>
      </c>
      <c r="F4" s="3202"/>
      <c r="G4" s="3199" t="s">
        <v>2645</v>
      </c>
      <c r="H4" s="3200"/>
      <c r="I4" s="3199" t="s">
        <v>2646</v>
      </c>
      <c r="J4" s="3200"/>
      <c r="K4" s="610" t="s">
        <v>2647</v>
      </c>
      <c r="L4" s="1130"/>
      <c r="M4" s="1131"/>
      <c r="N4" s="1131"/>
      <c r="O4" s="1131"/>
      <c r="P4" s="3203" t="s">
        <v>2648</v>
      </c>
      <c r="Q4" s="3204"/>
      <c r="R4" s="3186" t="s">
        <v>2644</v>
      </c>
      <c r="S4" s="3187"/>
      <c r="T4" s="3186" t="s">
        <v>2645</v>
      </c>
      <c r="U4" s="3187"/>
      <c r="V4" s="3211" t="s">
        <v>2646</v>
      </c>
      <c r="W4" s="3211"/>
      <c r="X4" s="1813"/>
      <c r="Y4" s="3186" t="s">
        <v>2648</v>
      </c>
      <c r="Z4" s="3187"/>
      <c r="AA4" s="3181" t="s">
        <v>2644</v>
      </c>
      <c r="AB4" s="3182" t="s">
        <v>2645</v>
      </c>
      <c r="AC4" s="3181" t="s">
        <v>2646</v>
      </c>
    </row>
    <row r="5" spans="1:29">
      <c r="A5" s="404"/>
      <c r="B5" s="405"/>
      <c r="C5" s="3192" t="s">
        <v>2539</v>
      </c>
      <c r="D5" s="3193"/>
      <c r="E5" s="3190" t="s">
        <v>2540</v>
      </c>
      <c r="F5" s="3191"/>
      <c r="G5" s="3192" t="s">
        <v>2541</v>
      </c>
      <c r="H5" s="3193"/>
      <c r="I5" s="3192" t="s">
        <v>2542</v>
      </c>
      <c r="J5" s="3193"/>
      <c r="K5" s="610"/>
      <c r="L5" s="1130"/>
      <c r="M5" s="1131"/>
      <c r="N5" s="1131"/>
      <c r="O5" s="1131"/>
      <c r="P5" s="3205"/>
      <c r="Q5" s="3206"/>
      <c r="R5" s="3188"/>
      <c r="S5" s="3189"/>
      <c r="T5" s="3188"/>
      <c r="U5" s="3189"/>
      <c r="V5" s="3211"/>
      <c r="W5" s="3211"/>
      <c r="X5" s="1813"/>
      <c r="Y5" s="3188"/>
      <c r="Z5" s="3189"/>
      <c r="AA5" s="3182"/>
      <c r="AB5" s="3182"/>
      <c r="AC5" s="3182"/>
    </row>
    <row r="6" spans="1:29" ht="15" thickBot="1">
      <c r="A6" s="406"/>
      <c r="B6" s="407"/>
      <c r="C6" s="3194" t="s">
        <v>2543</v>
      </c>
      <c r="D6" s="3195"/>
      <c r="E6" s="3196" t="s">
        <v>2543</v>
      </c>
      <c r="F6" s="3197"/>
      <c r="G6" s="3194" t="s">
        <v>2543</v>
      </c>
      <c r="H6" s="3195"/>
      <c r="I6" s="3194" t="s">
        <v>2543</v>
      </c>
      <c r="J6" s="3195"/>
      <c r="K6" s="610" t="s">
        <v>2544</v>
      </c>
      <c r="L6" s="1130"/>
      <c r="M6" s="1131"/>
      <c r="N6" s="1131"/>
      <c r="O6" s="1131"/>
      <c r="P6" s="3207"/>
      <c r="Q6" s="3208"/>
      <c r="R6" s="3188"/>
      <c r="S6" s="3189"/>
      <c r="T6" s="3209"/>
      <c r="U6" s="3210"/>
      <c r="V6" s="3211"/>
      <c r="W6" s="3211"/>
      <c r="X6" s="1813"/>
      <c r="Y6" s="3209"/>
      <c r="Z6" s="3210"/>
      <c r="AA6" s="3183"/>
      <c r="AB6" s="3183"/>
      <c r="AC6" s="3183"/>
    </row>
    <row r="7" spans="1:29" s="117" customFormat="1" ht="14.5" thickBot="1">
      <c r="A7" s="408" t="s">
        <v>2545</v>
      </c>
      <c r="B7" s="409"/>
      <c r="C7" s="410">
        <f>'数据-取费表'!B2</f>
        <v>43868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84" t="s">
        <v>2546</v>
      </c>
      <c r="Q7" s="3212"/>
      <c r="R7" s="770" t="s">
        <v>17</v>
      </c>
      <c r="S7" s="771">
        <f t="shared" ref="S7:S14" si="0">F7</f>
        <v>0</v>
      </c>
      <c r="T7" s="770" t="s">
        <v>17</v>
      </c>
      <c r="U7" s="771">
        <f t="shared" ref="U7:U14" si="1">H7</f>
        <v>0</v>
      </c>
      <c r="V7" s="770" t="s">
        <v>17</v>
      </c>
      <c r="W7" s="771">
        <f t="shared" ref="W7:W14" si="2">J7</f>
        <v>0</v>
      </c>
      <c r="X7" s="772"/>
      <c r="Y7" s="3184" t="s">
        <v>2546</v>
      </c>
      <c r="Z7" s="3185"/>
      <c r="AA7" s="773" t="e">
        <f>D7/F7</f>
        <v>#DIV/0!</v>
      </c>
      <c r="AB7" s="773" t="e">
        <f>D7/H7</f>
        <v>#DIV/0!</v>
      </c>
      <c r="AC7" s="773" t="e">
        <f>D7/J7</f>
        <v>#DIV/0!</v>
      </c>
    </row>
    <row r="8" spans="1:29" s="117" customFormat="1" ht="14.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2549</v>
      </c>
      <c r="Q8" s="3185"/>
      <c r="R8" s="770" t="s">
        <v>17</v>
      </c>
      <c r="S8" s="771">
        <f t="shared" si="0"/>
        <v>0</v>
      </c>
      <c r="T8" s="770" t="s">
        <v>17</v>
      </c>
      <c r="U8" s="771">
        <f t="shared" si="1"/>
        <v>0</v>
      </c>
      <c r="V8" s="770" t="s">
        <v>17</v>
      </c>
      <c r="W8" s="771">
        <f t="shared" si="2"/>
        <v>0</v>
      </c>
      <c r="X8" s="772"/>
      <c r="Y8" s="3184" t="s">
        <v>2549</v>
      </c>
      <c r="Z8" s="3185"/>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6" t="s">
        <v>2552</v>
      </c>
      <c r="Q9" s="1795" t="str">
        <f t="shared" ref="Q9:Q14" si="6">B9</f>
        <v>用途</v>
      </c>
      <c r="R9" s="770" t="s">
        <v>17</v>
      </c>
      <c r="S9" s="771">
        <f t="shared" si="0"/>
        <v>100</v>
      </c>
      <c r="T9" s="770" t="s">
        <v>17</v>
      </c>
      <c r="U9" s="771">
        <f t="shared" si="1"/>
        <v>100</v>
      </c>
      <c r="V9" s="770" t="s">
        <v>17</v>
      </c>
      <c r="W9" s="771">
        <f t="shared" si="2"/>
        <v>100</v>
      </c>
      <c r="X9" s="772"/>
      <c r="Y9" s="3031" t="s">
        <v>2553</v>
      </c>
      <c r="Z9" s="55" t="str">
        <f t="shared" ref="Z9:Z14" si="7">Q9</f>
        <v>用途</v>
      </c>
      <c r="AA9" s="773">
        <f t="shared" si="3"/>
        <v>1</v>
      </c>
      <c r="AB9" s="773">
        <f t="shared" si="4"/>
        <v>1</v>
      </c>
      <c r="AC9" s="773">
        <f t="shared" si="5"/>
        <v>1</v>
      </c>
    </row>
    <row r="10" spans="1:29" s="427" customFormat="1" ht="28">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6"/>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98">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8" t="s">
        <v>2557</v>
      </c>
      <c r="Q14" s="1810" t="str">
        <f t="shared" si="6"/>
        <v>交通便捷度</v>
      </c>
      <c r="R14" s="774" t="s">
        <v>17</v>
      </c>
      <c r="S14" s="775">
        <f t="shared" si="0"/>
        <v>100</v>
      </c>
      <c r="T14" s="774" t="s">
        <v>17</v>
      </c>
      <c r="U14" s="775">
        <f t="shared" si="1"/>
        <v>100</v>
      </c>
      <c r="V14" s="774" t="s">
        <v>17</v>
      </c>
      <c r="W14" s="775">
        <f t="shared" si="2"/>
        <v>100</v>
      </c>
      <c r="X14" s="1813"/>
      <c r="Y14" s="3218" t="s">
        <v>2557</v>
      </c>
      <c r="Z14" s="1814" t="str">
        <f t="shared" si="7"/>
        <v>交通便捷度</v>
      </c>
      <c r="AA14" s="1811">
        <f t="shared" si="3"/>
        <v>1</v>
      </c>
      <c r="AB14" s="1811">
        <f t="shared" si="4"/>
        <v>1</v>
      </c>
      <c r="AC14" s="1811">
        <f t="shared" si="5"/>
        <v>1</v>
      </c>
    </row>
    <row r="15" spans="1:29" ht="15.5">
      <c r="A15" s="428"/>
      <c r="B15" s="446"/>
      <c r="C15" s="447"/>
      <c r="D15" s="448"/>
      <c r="E15" s="447"/>
      <c r="F15" s="449"/>
      <c r="G15" s="447"/>
      <c r="H15" s="450"/>
      <c r="I15" s="447"/>
      <c r="J15" s="448"/>
      <c r="K15" s="615"/>
      <c r="L15" s="1140"/>
      <c r="M15" s="1131"/>
      <c r="N15" s="1131"/>
      <c r="O15" s="1139"/>
      <c r="P15" s="3219"/>
      <c r="Q15" s="1810"/>
      <c r="R15" s="774"/>
      <c r="S15" s="775"/>
      <c r="T15" s="774"/>
      <c r="U15" s="775"/>
      <c r="V15" s="774"/>
      <c r="W15" s="775"/>
      <c r="X15" s="1813"/>
      <c r="Y15" s="3219"/>
      <c r="Z15" s="1814"/>
      <c r="AA15" s="1811">
        <v>1</v>
      </c>
      <c r="AB15" s="1811">
        <v>1</v>
      </c>
      <c r="AC15" s="1811">
        <v>1</v>
      </c>
    </row>
    <row r="16" spans="1:29" ht="42">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9"/>
      <c r="Q16" s="1810" t="str">
        <f>B16</f>
        <v>公共配套设施</v>
      </c>
      <c r="R16" s="774" t="s">
        <v>17</v>
      </c>
      <c r="S16" s="775">
        <f>F16</f>
        <v>100</v>
      </c>
      <c r="T16" s="774" t="s">
        <v>17</v>
      </c>
      <c r="U16" s="775">
        <f>H16</f>
        <v>100</v>
      </c>
      <c r="V16" s="774" t="s">
        <v>17</v>
      </c>
      <c r="W16" s="775">
        <f>J16</f>
        <v>100</v>
      </c>
      <c r="X16" s="1813"/>
      <c r="Y16" s="3219"/>
      <c r="Z16" s="1814" t="str">
        <f>Q16</f>
        <v>公共配套设施</v>
      </c>
      <c r="AA16" s="1811">
        <f t="shared" si="3"/>
        <v>1</v>
      </c>
      <c r="AB16" s="1811">
        <f t="shared" si="4"/>
        <v>1</v>
      </c>
      <c r="AC16" s="1811">
        <f t="shared" si="5"/>
        <v>1</v>
      </c>
    </row>
    <row r="17" spans="1:29" ht="15.5">
      <c r="A17" s="428"/>
      <c r="B17" s="456"/>
      <c r="C17" s="2610"/>
      <c r="D17" s="448"/>
      <c r="E17" s="447"/>
      <c r="F17" s="449"/>
      <c r="G17" s="447"/>
      <c r="H17" s="448"/>
      <c r="I17" s="447"/>
      <c r="J17" s="448"/>
      <c r="K17" s="615"/>
      <c r="L17" s="1140"/>
      <c r="M17" s="1131"/>
      <c r="N17" s="1131"/>
      <c r="O17" s="1139"/>
      <c r="P17" s="3219"/>
      <c r="Q17" s="1810"/>
      <c r="R17" s="774"/>
      <c r="S17" s="775"/>
      <c r="T17" s="774"/>
      <c r="U17" s="775"/>
      <c r="V17" s="774"/>
      <c r="W17" s="775"/>
      <c r="X17" s="1813"/>
      <c r="Y17" s="3219"/>
      <c r="Z17" s="1814"/>
      <c r="AA17" s="1811">
        <v>1</v>
      </c>
      <c r="AB17" s="1811">
        <v>1</v>
      </c>
      <c r="AC17" s="1811">
        <v>1</v>
      </c>
    </row>
    <row r="18" spans="1:29" ht="42">
      <c r="A18" s="428"/>
      <c r="B18" s="1384"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9"/>
      <c r="Q18" s="1810" t="str">
        <f>B18</f>
        <v>基础设施水平</v>
      </c>
      <c r="R18" s="774" t="s">
        <v>17</v>
      </c>
      <c r="S18" s="775">
        <f>F18</f>
        <v>100</v>
      </c>
      <c r="T18" s="774" t="s">
        <v>17</v>
      </c>
      <c r="U18" s="775">
        <f>H18</f>
        <v>100</v>
      </c>
      <c r="V18" s="774" t="s">
        <v>17</v>
      </c>
      <c r="W18" s="775">
        <f>J18</f>
        <v>100</v>
      </c>
      <c r="X18" s="1813"/>
      <c r="Y18" s="3219"/>
      <c r="Z18" s="1814" t="str">
        <f>Q18</f>
        <v>基础设施水平</v>
      </c>
      <c r="AA18" s="1811">
        <f t="shared" ref="AA18" si="8">D18/F18</f>
        <v>1</v>
      </c>
      <c r="AB18" s="1811">
        <f t="shared" ref="AB18" si="9">D18/H18</f>
        <v>1</v>
      </c>
      <c r="AC18" s="1811">
        <f t="shared" ref="AC18" si="10">D18/J18</f>
        <v>1</v>
      </c>
    </row>
    <row r="19" spans="1:29" ht="15.5">
      <c r="A19" s="428"/>
      <c r="B19" s="1384"/>
      <c r="C19" s="2610"/>
      <c r="D19" s="450"/>
      <c r="E19" s="2610"/>
      <c r="F19" s="453"/>
      <c r="G19" s="2610"/>
      <c r="H19" s="448"/>
      <c r="I19" s="447"/>
      <c r="J19" s="448"/>
      <c r="K19" s="1383"/>
      <c r="L19" s="1140"/>
      <c r="M19" s="1131"/>
      <c r="N19" s="1131"/>
      <c r="O19" s="1139"/>
      <c r="P19" s="3219"/>
      <c r="Q19" s="1810"/>
      <c r="R19" s="774"/>
      <c r="S19" s="775"/>
      <c r="T19" s="774"/>
      <c r="U19" s="775"/>
      <c r="V19" s="774"/>
      <c r="W19" s="775"/>
      <c r="X19" s="1813"/>
      <c r="Y19" s="3219"/>
      <c r="Z19" s="1814"/>
      <c r="AA19" s="1811">
        <v>1</v>
      </c>
      <c r="AB19" s="1811">
        <v>1</v>
      </c>
      <c r="AC19" s="1811">
        <v>1</v>
      </c>
    </row>
    <row r="20" spans="1:29" ht="56">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9"/>
      <c r="Q20" s="1810" t="str">
        <f>B20</f>
        <v>自然及人文环境</v>
      </c>
      <c r="R20" s="774" t="s">
        <v>17</v>
      </c>
      <c r="S20" s="775">
        <f>F20</f>
        <v>100</v>
      </c>
      <c r="T20" s="774" t="s">
        <v>17</v>
      </c>
      <c r="U20" s="775">
        <f>H20</f>
        <v>100</v>
      </c>
      <c r="V20" s="774" t="s">
        <v>17</v>
      </c>
      <c r="W20" s="775">
        <f>J20</f>
        <v>100</v>
      </c>
      <c r="X20" s="1813"/>
      <c r="Y20" s="3219"/>
      <c r="Z20" s="1814" t="str">
        <f>Q20</f>
        <v>自然及人文环境</v>
      </c>
      <c r="AA20" s="1811">
        <f t="shared" si="3"/>
        <v>1</v>
      </c>
      <c r="AB20" s="1811">
        <f t="shared" si="4"/>
        <v>1</v>
      </c>
      <c r="AC20" s="1811">
        <f t="shared" si="5"/>
        <v>1</v>
      </c>
    </row>
    <row r="21" spans="1:29" ht="15.5">
      <c r="A21" s="428"/>
      <c r="B21" s="456"/>
      <c r="C21" s="447"/>
      <c r="D21" s="448"/>
      <c r="E21" s="447"/>
      <c r="F21" s="449"/>
      <c r="G21" s="447"/>
      <c r="H21" s="448"/>
      <c r="I21" s="447"/>
      <c r="J21" s="448"/>
      <c r="K21" s="615"/>
      <c r="L21" s="1140"/>
      <c r="M21" s="1131"/>
      <c r="N21" s="1131"/>
      <c r="O21" s="1139"/>
      <c r="P21" s="3219"/>
      <c r="Q21" s="1810"/>
      <c r="R21" s="774"/>
      <c r="S21" s="775"/>
      <c r="T21" s="774"/>
      <c r="U21" s="775"/>
      <c r="V21" s="774"/>
      <c r="W21" s="775"/>
      <c r="X21" s="1813"/>
      <c r="Y21" s="3219"/>
      <c r="Z21" s="1814"/>
      <c r="AA21" s="1811">
        <v>1</v>
      </c>
      <c r="AB21" s="1811">
        <v>1</v>
      </c>
      <c r="AC21" s="1811">
        <v>1</v>
      </c>
    </row>
    <row r="22" spans="1:29" ht="15.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9"/>
      <c r="Q22" s="1810" t="str">
        <f>B22</f>
        <v>楼层</v>
      </c>
      <c r="R22" s="774" t="s">
        <v>17</v>
      </c>
      <c r="S22" s="775">
        <f>F22</f>
        <v>100</v>
      </c>
      <c r="T22" s="774" t="s">
        <v>17</v>
      </c>
      <c r="U22" s="775">
        <f>H22</f>
        <v>100</v>
      </c>
      <c r="V22" s="774" t="s">
        <v>17</v>
      </c>
      <c r="W22" s="775">
        <f>J22</f>
        <v>100</v>
      </c>
      <c r="X22" s="1813"/>
      <c r="Y22" s="3219"/>
      <c r="Z22" s="1814" t="str">
        <f>Q22</f>
        <v>楼层</v>
      </c>
      <c r="AA22" s="1811">
        <f t="shared" si="3"/>
        <v>1</v>
      </c>
      <c r="AB22" s="1811">
        <f t="shared" si="4"/>
        <v>1</v>
      </c>
      <c r="AC22" s="1811">
        <f t="shared" si="5"/>
        <v>1</v>
      </c>
    </row>
    <row r="23" spans="1:29" ht="15.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9"/>
      <c r="Q23" s="1810">
        <f>B23</f>
        <v>111</v>
      </c>
      <c r="R23" s="774" t="s">
        <v>17</v>
      </c>
      <c r="S23" s="775">
        <f>F23</f>
        <v>100</v>
      </c>
      <c r="T23" s="774" t="s">
        <v>17</v>
      </c>
      <c r="U23" s="775">
        <f>H23</f>
        <v>100</v>
      </c>
      <c r="V23" s="774" t="s">
        <v>17</v>
      </c>
      <c r="W23" s="775">
        <f>J23</f>
        <v>100</v>
      </c>
      <c r="X23" s="1813"/>
      <c r="Y23" s="3219"/>
      <c r="Z23" s="1814">
        <f>Q23</f>
        <v>111</v>
      </c>
      <c r="AA23" s="1811">
        <f t="shared" si="3"/>
        <v>1</v>
      </c>
      <c r="AB23" s="1811">
        <f t="shared" si="4"/>
        <v>1</v>
      </c>
      <c r="AC23" s="1811">
        <f t="shared" si="5"/>
        <v>1</v>
      </c>
    </row>
    <row r="24" spans="1:29" ht="15.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9"/>
      <c r="Q24" s="1810">
        <f t="shared" ref="Q24:Q34" si="11">B24</f>
        <v>111</v>
      </c>
      <c r="R24" s="774" t="s">
        <v>17</v>
      </c>
      <c r="S24" s="775">
        <f>F24</f>
        <v>100</v>
      </c>
      <c r="T24" s="774" t="s">
        <v>17</v>
      </c>
      <c r="U24" s="775">
        <f>H24</f>
        <v>100</v>
      </c>
      <c r="V24" s="774" t="s">
        <v>17</v>
      </c>
      <c r="W24" s="775">
        <f>J24</f>
        <v>100</v>
      </c>
      <c r="X24" s="1813"/>
      <c r="Y24" s="3219"/>
      <c r="Z24" s="1814">
        <f>Q24</f>
        <v>111</v>
      </c>
      <c r="AA24" s="1811">
        <f t="shared" si="3"/>
        <v>1</v>
      </c>
      <c r="AB24" s="1811">
        <f t="shared" si="4"/>
        <v>1</v>
      </c>
      <c r="AC24" s="1811">
        <f t="shared" si="5"/>
        <v>1</v>
      </c>
    </row>
    <row r="25" spans="1:29" s="117" customFormat="1" ht="1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19"/>
      <c r="Q25" s="1795">
        <f t="shared" si="11"/>
        <v>111</v>
      </c>
      <c r="R25" s="770" t="s">
        <v>17</v>
      </c>
      <c r="S25" s="771">
        <f>F25</f>
        <v>100</v>
      </c>
      <c r="T25" s="770" t="s">
        <v>17</v>
      </c>
      <c r="U25" s="771">
        <f>H25</f>
        <v>100</v>
      </c>
      <c r="V25" s="770" t="s">
        <v>17</v>
      </c>
      <c r="W25" s="771">
        <f>J25</f>
        <v>100</v>
      </c>
      <c r="X25" s="772"/>
      <c r="Y25" s="3219"/>
      <c r="Z25" s="55">
        <f>Q25</f>
        <v>111</v>
      </c>
      <c r="AA25" s="1811">
        <f>D25/F25</f>
        <v>1</v>
      </c>
      <c r="AB25" s="1811">
        <f>D25/H25</f>
        <v>1</v>
      </c>
      <c r="AC25" s="1811">
        <f>D25/J25</f>
        <v>1</v>
      </c>
    </row>
    <row r="26" spans="1:29" ht="29">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42"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3" t="s">
        <v>2562</v>
      </c>
      <c r="Z26" s="1814" t="str">
        <f t="shared" ref="Z26:Z34" si="15">Q26</f>
        <v>公共部分装修</v>
      </c>
      <c r="AA26" s="1811">
        <f t="shared" si="3"/>
        <v>1</v>
      </c>
      <c r="AB26" s="1811">
        <f t="shared" si="4"/>
        <v>1</v>
      </c>
      <c r="AC26" s="1811">
        <f t="shared" si="5"/>
        <v>1</v>
      </c>
    </row>
    <row r="27" spans="1:29" s="471" customFormat="1" ht="15.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3"/>
      <c r="Q27" s="776" t="str">
        <f t="shared" si="11"/>
        <v>成新率</v>
      </c>
      <c r="R27" s="777" t="s">
        <v>17</v>
      </c>
      <c r="S27" s="778" t="e">
        <f t="shared" si="12"/>
        <v>#N/A</v>
      </c>
      <c r="T27" s="777" t="s">
        <v>17</v>
      </c>
      <c r="U27" s="778" t="e">
        <f t="shared" si="13"/>
        <v>#N/A</v>
      </c>
      <c r="V27" s="777" t="s">
        <v>17</v>
      </c>
      <c r="W27" s="778" t="e">
        <f t="shared" si="14"/>
        <v>#N/A</v>
      </c>
      <c r="X27" s="779"/>
      <c r="Y27" s="3223"/>
      <c r="Z27" s="780" t="str">
        <f t="shared" si="15"/>
        <v>成新率</v>
      </c>
      <c r="AA27" s="1811" t="e">
        <f t="shared" si="3"/>
        <v>#N/A</v>
      </c>
      <c r="AB27" s="1811" t="e">
        <f t="shared" si="4"/>
        <v>#N/A</v>
      </c>
      <c r="AC27" s="1811" t="e">
        <f t="shared" si="5"/>
        <v>#N/A</v>
      </c>
    </row>
    <row r="28" spans="1:29" ht="15.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3"/>
      <c r="Q28" s="1810" t="str">
        <f t="shared" si="11"/>
        <v>物业等级</v>
      </c>
      <c r="R28" s="774" t="s">
        <v>17</v>
      </c>
      <c r="S28" s="775">
        <f t="shared" si="12"/>
        <v>100</v>
      </c>
      <c r="T28" s="774" t="s">
        <v>17</v>
      </c>
      <c r="U28" s="775">
        <f t="shared" si="13"/>
        <v>100</v>
      </c>
      <c r="V28" s="774" t="s">
        <v>17</v>
      </c>
      <c r="W28" s="775">
        <f t="shared" si="14"/>
        <v>100</v>
      </c>
      <c r="X28" s="1813"/>
      <c r="Y28" s="3223"/>
      <c r="Z28" s="1814" t="str">
        <f t="shared" si="15"/>
        <v>物业等级</v>
      </c>
      <c r="AA28" s="1811">
        <f t="shared" si="3"/>
        <v>1</v>
      </c>
      <c r="AB28" s="1811">
        <f t="shared" si="4"/>
        <v>1</v>
      </c>
      <c r="AC28" s="1811">
        <f t="shared" si="5"/>
        <v>1</v>
      </c>
    </row>
    <row r="29" spans="1:29" ht="15.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3"/>
      <c r="Q29" s="1810" t="str">
        <f t="shared" si="11"/>
        <v>有无电梯</v>
      </c>
      <c r="R29" s="774" t="s">
        <v>17</v>
      </c>
      <c r="S29" s="775">
        <f t="shared" si="12"/>
        <v>100</v>
      </c>
      <c r="T29" s="774" t="s">
        <v>17</v>
      </c>
      <c r="U29" s="775">
        <f t="shared" si="13"/>
        <v>100</v>
      </c>
      <c r="V29" s="774" t="s">
        <v>17</v>
      </c>
      <c r="W29" s="775">
        <f t="shared" si="14"/>
        <v>100</v>
      </c>
      <c r="X29" s="1813"/>
      <c r="Y29" s="3223"/>
      <c r="Z29" s="1814" t="str">
        <f t="shared" si="15"/>
        <v>有无电梯</v>
      </c>
      <c r="AA29" s="1811">
        <f t="shared" si="3"/>
        <v>1</v>
      </c>
      <c r="AB29" s="1811">
        <f t="shared" si="4"/>
        <v>1</v>
      </c>
      <c r="AC29" s="1811">
        <f t="shared" si="5"/>
        <v>1</v>
      </c>
    </row>
    <row r="30" spans="1:29" ht="15.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3"/>
      <c r="Q30" s="1810" t="str">
        <f t="shared" si="11"/>
        <v>建筑面积</v>
      </c>
      <c r="R30" s="774" t="s">
        <v>17</v>
      </c>
      <c r="S30" s="775" t="e">
        <f t="shared" si="12"/>
        <v>#N/A</v>
      </c>
      <c r="T30" s="774" t="s">
        <v>17</v>
      </c>
      <c r="U30" s="775" t="e">
        <f t="shared" si="13"/>
        <v>#N/A</v>
      </c>
      <c r="V30" s="774" t="s">
        <v>17</v>
      </c>
      <c r="W30" s="775" t="e">
        <f t="shared" si="14"/>
        <v>#N/A</v>
      </c>
      <c r="X30" s="1813"/>
      <c r="Y30" s="3223"/>
      <c r="Z30" s="1814" t="str">
        <f t="shared" si="15"/>
        <v>建筑面积</v>
      </c>
      <c r="AA30" s="1811" t="e">
        <f t="shared" si="3"/>
        <v>#N/A</v>
      </c>
      <c r="AB30" s="1811" t="e">
        <f t="shared" si="4"/>
        <v>#N/A</v>
      </c>
      <c r="AC30" s="1811" t="e">
        <f t="shared" si="5"/>
        <v>#N/A</v>
      </c>
    </row>
    <row r="31" spans="1:29" s="117" customFormat="1" ht="15.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3"/>
      <c r="Q31" s="1795" t="str">
        <f t="shared" si="11"/>
        <v>是否封闭</v>
      </c>
      <c r="R31" s="770" t="s">
        <v>17</v>
      </c>
      <c r="S31" s="771">
        <f t="shared" si="12"/>
        <v>100</v>
      </c>
      <c r="T31" s="770" t="s">
        <v>17</v>
      </c>
      <c r="U31" s="771">
        <f t="shared" si="13"/>
        <v>100</v>
      </c>
      <c r="V31" s="770" t="s">
        <v>17</v>
      </c>
      <c r="W31" s="771">
        <f t="shared" si="14"/>
        <v>100</v>
      </c>
      <c r="X31" s="772"/>
      <c r="Y31" s="3223"/>
      <c r="Z31" s="55" t="str">
        <f t="shared" si="15"/>
        <v>是否封闭</v>
      </c>
      <c r="AA31" s="773">
        <f t="shared" si="3"/>
        <v>1</v>
      </c>
      <c r="AB31" s="773">
        <f t="shared" si="4"/>
        <v>1</v>
      </c>
      <c r="AC31" s="773">
        <f t="shared" si="5"/>
        <v>1</v>
      </c>
    </row>
    <row r="32" spans="1:29" ht="15.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3" t="s">
        <v>2562</v>
      </c>
      <c r="Q32" s="1810">
        <f t="shared" si="11"/>
        <v>111</v>
      </c>
      <c r="R32" s="774" t="s">
        <v>17</v>
      </c>
      <c r="S32" s="775">
        <f t="shared" si="12"/>
        <v>100</v>
      </c>
      <c r="T32" s="774" t="s">
        <v>17</v>
      </c>
      <c r="U32" s="775">
        <f t="shared" si="13"/>
        <v>100</v>
      </c>
      <c r="V32" s="774" t="s">
        <v>17</v>
      </c>
      <c r="W32" s="775">
        <f t="shared" si="14"/>
        <v>100</v>
      </c>
      <c r="X32" s="1813"/>
      <c r="Y32" s="3223" t="s">
        <v>2562</v>
      </c>
      <c r="Z32" s="1814">
        <f t="shared" si="15"/>
        <v>111</v>
      </c>
      <c r="AA32" s="1811">
        <f t="shared" si="3"/>
        <v>1</v>
      </c>
      <c r="AB32" s="1811">
        <f t="shared" si="4"/>
        <v>1</v>
      </c>
      <c r="AC32" s="1811">
        <f t="shared" si="5"/>
        <v>1</v>
      </c>
    </row>
    <row r="33" spans="1:29" ht="15.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3"/>
      <c r="Q33" s="1810">
        <f t="shared" si="11"/>
        <v>111</v>
      </c>
      <c r="R33" s="774" t="s">
        <v>17</v>
      </c>
      <c r="S33" s="775">
        <f t="shared" si="12"/>
        <v>100</v>
      </c>
      <c r="T33" s="774" t="s">
        <v>17</v>
      </c>
      <c r="U33" s="775">
        <f t="shared" si="13"/>
        <v>100</v>
      </c>
      <c r="V33" s="774" t="s">
        <v>17</v>
      </c>
      <c r="W33" s="775">
        <f t="shared" si="14"/>
        <v>100</v>
      </c>
      <c r="X33" s="1813"/>
      <c r="Y33" s="3223"/>
      <c r="Z33" s="1814">
        <f t="shared" si="15"/>
        <v>111</v>
      </c>
      <c r="AA33" s="1811">
        <f t="shared" si="3"/>
        <v>1</v>
      </c>
      <c r="AB33" s="1811">
        <f t="shared" si="4"/>
        <v>1</v>
      </c>
      <c r="AC33" s="1811">
        <f t="shared" si="5"/>
        <v>1</v>
      </c>
    </row>
    <row r="34" spans="1:29" ht="1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23"/>
      <c r="Q34" s="1810">
        <f t="shared" si="11"/>
        <v>111</v>
      </c>
      <c r="R34" s="774" t="s">
        <v>17</v>
      </c>
      <c r="S34" s="775">
        <f t="shared" si="12"/>
        <v>100</v>
      </c>
      <c r="T34" s="774" t="s">
        <v>17</v>
      </c>
      <c r="U34" s="775">
        <f t="shared" si="13"/>
        <v>100</v>
      </c>
      <c r="V34" s="774" t="s">
        <v>17</v>
      </c>
      <c r="W34" s="775">
        <f t="shared" si="14"/>
        <v>100</v>
      </c>
      <c r="X34" s="1813"/>
      <c r="Y34" s="3223"/>
      <c r="Z34" s="1814">
        <f t="shared" si="15"/>
        <v>111</v>
      </c>
      <c r="AA34" s="1811">
        <f t="shared" si="3"/>
        <v>1</v>
      </c>
      <c r="AB34" s="1811">
        <f t="shared" si="4"/>
        <v>1</v>
      </c>
      <c r="AC34" s="1811">
        <f t="shared" si="5"/>
        <v>1</v>
      </c>
    </row>
    <row r="35" spans="1:29">
      <c r="A35" s="479" t="s">
        <v>2574</v>
      </c>
      <c r="B35" s="480"/>
      <c r="C35" s="1407" t="s">
        <v>1</v>
      </c>
      <c r="D35" s="1408"/>
      <c r="E35" s="1409"/>
      <c r="F35" s="1410"/>
      <c r="G35" s="1411"/>
      <c r="H35" s="1412"/>
      <c r="I35" s="1409"/>
      <c r="J35" s="1412"/>
      <c r="K35" s="783"/>
      <c r="L35" s="1143"/>
      <c r="M35" s="1144"/>
      <c r="N35" s="1131"/>
      <c r="O35" s="1144"/>
      <c r="P35" s="3216" t="str">
        <f>A35</f>
        <v>成交单价（元/平方米）</v>
      </c>
      <c r="Q35" s="3216"/>
      <c r="R35" s="3217">
        <f>E35</f>
        <v>0</v>
      </c>
      <c r="S35" s="3217"/>
      <c r="T35" s="3217">
        <f>G35</f>
        <v>0</v>
      </c>
      <c r="U35" s="3217"/>
      <c r="V35" s="3217">
        <f>I35</f>
        <v>0</v>
      </c>
      <c r="W35" s="3217"/>
      <c r="X35" s="759"/>
      <c r="Y35" s="781"/>
      <c r="Z35" s="759"/>
      <c r="AA35" s="759"/>
      <c r="AB35" s="759"/>
      <c r="AC35" s="759"/>
    </row>
    <row r="36" spans="1:29" ht="14.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9"/>
      <c r="Y36" s="759"/>
      <c r="Z36" s="759"/>
      <c r="AA36" s="759"/>
      <c r="AB36" s="759"/>
      <c r="AC36" s="759"/>
    </row>
    <row r="37" spans="1:29" ht="14.5" thickBot="1">
      <c r="A37" s="492" t="s">
        <v>2667</v>
      </c>
      <c r="B37" s="493"/>
      <c r="C37" s="1417" t="e">
        <f>R37</f>
        <v>#DIV/0!</v>
      </c>
      <c r="D37" s="1417"/>
      <c r="E37" s="1417"/>
      <c r="F37" s="1417"/>
      <c r="G37" s="1417"/>
      <c r="H37" s="1417"/>
      <c r="I37" s="1417"/>
      <c r="J37" s="1417"/>
      <c r="K37" s="785"/>
      <c r="L37" s="1143"/>
      <c r="M37" s="1144"/>
      <c r="N37" s="1144"/>
      <c r="O37" s="1144"/>
      <c r="P37" s="3213" t="str">
        <f>A37</f>
        <v>估价对象XX用房的比较价值（楼面单价，元/平方米）</v>
      </c>
      <c r="Q37" s="3214"/>
      <c r="R37" s="3215" t="e">
        <f>IF(F1="售价",ROUND(AVERAGE(R36:V36),0),ROUND(AVERAGE(R36:V36),1))</f>
        <v>#DIV/0!</v>
      </c>
      <c r="S37" s="3215"/>
      <c r="T37" s="3215"/>
      <c r="U37" s="3215"/>
      <c r="V37" s="3215"/>
      <c r="W37" s="321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5" thickBot="1">
      <c r="A45" s="763" t="s">
        <v>2671</v>
      </c>
      <c r="B45" s="759"/>
      <c r="C45" s="764"/>
      <c r="D45" s="764"/>
      <c r="E45" s="764"/>
      <c r="F45" s="765"/>
      <c r="G45" s="765"/>
      <c r="H45" s="764"/>
      <c r="I45" s="764"/>
      <c r="J45" s="764"/>
      <c r="K45" s="766"/>
      <c r="L45" s="767"/>
      <c r="M45" s="764"/>
      <c r="N45" s="764"/>
      <c r="O45" s="764"/>
      <c r="P45" s="503"/>
      <c r="Q45" s="504"/>
    </row>
    <row r="46" spans="1:29" s="508" customFormat="1">
      <c r="A46" s="505" t="s">
        <v>2545</v>
      </c>
      <c r="B46" s="506"/>
      <c r="C46" s="1574" t="str">
        <f>YEAR(C7)&amp;"-"&amp;MONTH(C7)</f>
        <v>2020-2</v>
      </c>
      <c r="D46" s="1575">
        <f>EDATE(C46,-1)</f>
        <v>43831</v>
      </c>
      <c r="E46" s="1575">
        <f t="shared" ref="E46:O46" si="16">EDATE(D46,-1)</f>
        <v>43800</v>
      </c>
      <c r="F46" s="1575">
        <f t="shared" si="16"/>
        <v>43770</v>
      </c>
      <c r="G46" s="1575">
        <f t="shared" si="16"/>
        <v>43739</v>
      </c>
      <c r="H46" s="1575">
        <f t="shared" si="16"/>
        <v>43709</v>
      </c>
      <c r="I46" s="1575">
        <f t="shared" si="16"/>
        <v>43678</v>
      </c>
      <c r="J46" s="1575">
        <f t="shared" si="16"/>
        <v>43647</v>
      </c>
      <c r="K46" s="1575">
        <f t="shared" si="16"/>
        <v>43617</v>
      </c>
      <c r="L46" s="1575">
        <f t="shared" si="16"/>
        <v>43586</v>
      </c>
      <c r="M46" s="1575">
        <f t="shared" si="16"/>
        <v>43556</v>
      </c>
      <c r="N46" s="1575">
        <f t="shared" si="16"/>
        <v>43525</v>
      </c>
      <c r="O46" s="1575">
        <f t="shared" si="16"/>
        <v>43497</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4.5" thickBot="1">
      <c r="A48" s="515" t="s">
        <v>2582</v>
      </c>
      <c r="B48" s="516"/>
      <c r="C48" s="517"/>
      <c r="D48" s="518"/>
      <c r="E48" s="518"/>
      <c r="F48" s="518"/>
      <c r="G48" s="518"/>
      <c r="H48" s="518"/>
      <c r="I48" s="518"/>
      <c r="J48" s="518"/>
      <c r="K48" s="518"/>
      <c r="L48" s="518"/>
      <c r="M48" s="519"/>
      <c r="N48" s="518"/>
      <c r="O48" s="520"/>
      <c r="P48" s="504"/>
      <c r="Q48" s="504"/>
    </row>
    <row r="49" spans="1:17" s="117" customFormat="1">
      <c r="A49" s="521" t="s">
        <v>2547</v>
      </c>
      <c r="B49" s="510"/>
      <c r="C49" s="522" t="s">
        <v>2649</v>
      </c>
      <c r="D49" s="523"/>
      <c r="E49" s="523"/>
      <c r="F49" s="523"/>
      <c r="G49" s="523"/>
      <c r="H49" s="523"/>
      <c r="I49" s="523"/>
      <c r="J49" s="523"/>
      <c r="K49" s="523"/>
      <c r="L49" s="524"/>
      <c r="M49" s="525"/>
      <c r="N49" s="1151"/>
      <c r="O49" s="1151"/>
      <c r="P49" s="526"/>
      <c r="Q49" s="504"/>
    </row>
    <row r="50" spans="1:17" s="117" customFormat="1" ht="14.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4.5" thickBot="1">
      <c r="A52" s="534"/>
      <c r="B52" s="535"/>
      <c r="C52" s="536">
        <v>100</v>
      </c>
      <c r="D52" s="536"/>
      <c r="E52" s="536"/>
      <c r="F52" s="536"/>
      <c r="G52" s="536"/>
      <c r="H52" s="536"/>
      <c r="I52" s="536"/>
      <c r="J52" s="536"/>
      <c r="K52" s="536"/>
      <c r="L52" s="536"/>
      <c r="M52" s="537"/>
      <c r="N52" s="1153"/>
      <c r="O52" s="1153"/>
      <c r="P52" s="45"/>
      <c r="Q52" s="504"/>
    </row>
    <row r="53" spans="1:17" ht="28.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5" thickTop="1">
      <c r="A55" s="534"/>
      <c r="B55" s="660">
        <f>B11</f>
        <v>111</v>
      </c>
      <c r="C55" s="549"/>
      <c r="D55" s="549"/>
      <c r="E55" s="549"/>
      <c r="F55" s="549"/>
      <c r="G55" s="549"/>
      <c r="H55" s="549"/>
      <c r="I55" s="549"/>
      <c r="J55" s="549"/>
      <c r="K55" s="550"/>
      <c r="L55" s="551"/>
      <c r="M55" s="552"/>
      <c r="N55" s="1152"/>
      <c r="O55" s="1152"/>
      <c r="P55" s="45"/>
      <c r="Q55" s="504"/>
    </row>
    <row r="56" spans="1:17" ht="14.5" thickBot="1">
      <c r="A56" s="534"/>
      <c r="B56" s="535"/>
      <c r="C56" s="560"/>
      <c r="D56" s="536"/>
      <c r="E56" s="536"/>
      <c r="F56" s="536"/>
      <c r="G56" s="536"/>
      <c r="H56" s="536"/>
      <c r="I56" s="536"/>
      <c r="J56" s="536"/>
      <c r="K56" s="536"/>
      <c r="L56" s="536"/>
      <c r="M56" s="537"/>
      <c r="N56" s="1153"/>
      <c r="O56" s="1153"/>
      <c r="P56" s="45"/>
      <c r="Q56" s="504"/>
    </row>
    <row r="57" spans="1:17" s="471" customFormat="1" ht="14.5" thickTop="1">
      <c r="A57" s="553"/>
      <c r="B57" s="538">
        <f>B12</f>
        <v>111</v>
      </c>
      <c r="C57" s="549"/>
      <c r="D57" s="549"/>
      <c r="E57" s="549"/>
      <c r="F57" s="549"/>
      <c r="G57" s="554"/>
      <c r="H57" s="555"/>
      <c r="I57" s="555"/>
      <c r="J57" s="555"/>
      <c r="K57" s="555"/>
      <c r="L57" s="556"/>
      <c r="M57" s="557"/>
      <c r="N57" s="1154"/>
      <c r="O57" s="1154"/>
      <c r="P57" s="558"/>
      <c r="Q57" s="559"/>
    </row>
    <row r="58" spans="1:17" s="471" customFormat="1" ht="14.5" thickBot="1">
      <c r="A58" s="553"/>
      <c r="B58" s="543"/>
      <c r="C58" s="560"/>
      <c r="D58" s="536"/>
      <c r="E58" s="536"/>
      <c r="F58" s="536"/>
      <c r="G58" s="536"/>
      <c r="H58" s="536"/>
      <c r="I58" s="536"/>
      <c r="J58" s="536"/>
      <c r="K58" s="536"/>
      <c r="L58" s="536"/>
      <c r="M58" s="537"/>
      <c r="N58" s="1153"/>
      <c r="O58" s="1153"/>
      <c r="P58" s="558"/>
      <c r="Q58" s="559"/>
    </row>
    <row r="59" spans="1:17" s="471" customFormat="1" ht="14.5" thickTop="1">
      <c r="A59" s="553"/>
      <c r="B59" s="538">
        <f>B13</f>
        <v>111</v>
      </c>
      <c r="C59" s="549"/>
      <c r="D59" s="549"/>
      <c r="E59" s="549"/>
      <c r="F59" s="549"/>
      <c r="G59" s="554"/>
      <c r="H59" s="555"/>
      <c r="I59" s="555"/>
      <c r="J59" s="555"/>
      <c r="K59" s="555"/>
      <c r="L59" s="556"/>
      <c r="M59" s="557"/>
      <c r="N59" s="1154"/>
      <c r="O59" s="1154"/>
      <c r="P59" s="470"/>
      <c r="Q59" s="561"/>
    </row>
    <row r="60" spans="1:17" s="471" customFormat="1" ht="14.5" thickBot="1">
      <c r="A60" s="553"/>
      <c r="B60" s="543"/>
      <c r="C60" s="560"/>
      <c r="D60" s="560"/>
      <c r="E60" s="560"/>
      <c r="F60" s="560"/>
      <c r="G60" s="560"/>
      <c r="H60" s="562"/>
      <c r="I60" s="562"/>
      <c r="J60" s="562"/>
      <c r="K60" s="562"/>
      <c r="L60" s="562"/>
      <c r="M60" s="563"/>
      <c r="N60" s="1154"/>
      <c r="O60" s="1154"/>
      <c r="P60" s="558"/>
      <c r="Q60" s="559"/>
    </row>
    <row r="61" spans="1:17" ht="14.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8.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4.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4.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4.5" thickTop="1">
      <c r="A69" s="534"/>
      <c r="B69" s="538" t="s">
        <v>2726</v>
      </c>
      <c r="C69" s="554"/>
      <c r="D69" s="554"/>
      <c r="E69" s="554"/>
      <c r="F69" s="554"/>
      <c r="G69" s="554"/>
      <c r="H69" s="583"/>
      <c r="I69" s="583"/>
      <c r="J69" s="583"/>
      <c r="K69" s="584"/>
      <c r="L69" s="585"/>
      <c r="M69" s="586"/>
      <c r="N69" s="1152"/>
      <c r="O69" s="1152"/>
      <c r="P69" s="45"/>
      <c r="Q69" s="504"/>
    </row>
    <row r="70" spans="1:17" ht="14.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5" thickTop="1">
      <c r="A71" s="579"/>
      <c r="B71" s="538">
        <f>B23</f>
        <v>111</v>
      </c>
      <c r="C71" s="549"/>
      <c r="D71" s="549"/>
      <c r="E71" s="549"/>
      <c r="F71" s="549"/>
      <c r="G71" s="554"/>
      <c r="H71" s="554"/>
      <c r="I71" s="554"/>
      <c r="J71" s="554"/>
      <c r="K71" s="554"/>
      <c r="L71" s="580"/>
      <c r="M71" s="581"/>
      <c r="N71" s="1151"/>
      <c r="O71" s="1151"/>
      <c r="P71" s="45"/>
      <c r="Q71" s="504"/>
    </row>
    <row r="72" spans="1:17" s="117" customFormat="1" ht="14.5" thickBot="1">
      <c r="A72" s="579"/>
      <c r="B72" s="543"/>
      <c r="C72" s="560"/>
      <c r="D72" s="536"/>
      <c r="E72" s="536"/>
      <c r="F72" s="536"/>
      <c r="G72" s="536"/>
      <c r="H72" s="536"/>
      <c r="I72" s="536"/>
      <c r="J72" s="536"/>
      <c r="K72" s="536"/>
      <c r="L72" s="536"/>
      <c r="M72" s="537"/>
      <c r="N72" s="1153"/>
      <c r="O72" s="1153"/>
      <c r="P72" s="45"/>
      <c r="Q72" s="504"/>
    </row>
    <row r="73" spans="1:17" s="117" customFormat="1" ht="14.5" thickTop="1">
      <c r="A73" s="579"/>
      <c r="B73" s="538">
        <f>B24</f>
        <v>111</v>
      </c>
      <c r="C73" s="549"/>
      <c r="D73" s="549"/>
      <c r="E73" s="549"/>
      <c r="F73" s="549"/>
      <c r="G73" s="554"/>
      <c r="H73" s="554"/>
      <c r="I73" s="554"/>
      <c r="J73" s="554"/>
      <c r="K73" s="554"/>
      <c r="L73" s="554"/>
      <c r="M73" s="581"/>
      <c r="N73" s="1151"/>
      <c r="O73" s="1151"/>
      <c r="P73" s="45"/>
      <c r="Q73" s="504"/>
    </row>
    <row r="74" spans="1:17" s="117" customFormat="1" ht="14.5" thickBot="1">
      <c r="A74" s="579"/>
      <c r="B74" s="543"/>
      <c r="C74" s="560"/>
      <c r="D74" s="536"/>
      <c r="E74" s="536"/>
      <c r="F74" s="536"/>
      <c r="G74" s="536"/>
      <c r="H74" s="536"/>
      <c r="I74" s="536"/>
      <c r="J74" s="536"/>
      <c r="K74" s="536"/>
      <c r="L74" s="536"/>
      <c r="M74" s="537"/>
      <c r="N74" s="1153"/>
      <c r="O74" s="1153"/>
      <c r="P74" s="45"/>
      <c r="Q74" s="504"/>
    </row>
    <row r="75" spans="1:17" s="471" customFormat="1" ht="14.5" thickTop="1">
      <c r="A75" s="553"/>
      <c r="B75" s="538">
        <f>B25</f>
        <v>111</v>
      </c>
      <c r="C75" s="549"/>
      <c r="D75" s="549"/>
      <c r="E75" s="549"/>
      <c r="F75" s="549"/>
      <c r="G75" s="554"/>
      <c r="H75" s="555"/>
      <c r="I75" s="555"/>
      <c r="J75" s="555"/>
      <c r="K75" s="555"/>
      <c r="L75" s="556"/>
      <c r="M75" s="557"/>
      <c r="N75" s="1154"/>
      <c r="O75" s="1154"/>
      <c r="P75" s="558"/>
      <c r="Q75" s="559"/>
    </row>
    <row r="76" spans="1:17" s="471" customFormat="1" ht="14.5" thickBot="1">
      <c r="A76" s="553"/>
      <c r="B76" s="543"/>
      <c r="C76" s="560"/>
      <c r="D76" s="560"/>
      <c r="E76" s="560"/>
      <c r="F76" s="560"/>
      <c r="G76" s="536"/>
      <c r="H76" s="536"/>
      <c r="I76" s="536"/>
      <c r="J76" s="536"/>
      <c r="K76" s="536"/>
      <c r="L76" s="536"/>
      <c r="M76" s="537"/>
      <c r="N76" s="1154"/>
      <c r="O76" s="1154"/>
      <c r="P76" s="558"/>
      <c r="Q76" s="559"/>
    </row>
    <row r="77" spans="1:17" ht="14.5" thickTop="1">
      <c r="A77" s="527" t="s">
        <v>2560</v>
      </c>
      <c r="B77" s="528" t="s">
        <v>2613</v>
      </c>
      <c r="C77" s="554"/>
      <c r="D77" s="554"/>
      <c r="E77" s="530"/>
      <c r="F77" s="530"/>
      <c r="G77" s="530"/>
      <c r="H77" s="530"/>
      <c r="I77" s="530"/>
      <c r="J77" s="530"/>
      <c r="K77" s="531"/>
      <c r="L77" s="532"/>
      <c r="M77" s="533"/>
      <c r="N77" s="1152"/>
      <c r="O77" s="1152"/>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4.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4.5" thickTop="1">
      <c r="A82" s="599"/>
      <c r="B82" s="546" t="s">
        <v>2730</v>
      </c>
      <c r="C82" s="554"/>
      <c r="D82" s="554"/>
      <c r="E82" s="583"/>
      <c r="F82" s="583"/>
      <c r="G82" s="583"/>
      <c r="H82" s="583"/>
      <c r="I82" s="583"/>
      <c r="J82" s="583"/>
      <c r="K82" s="584"/>
      <c r="L82" s="585"/>
      <c r="M82" s="586"/>
      <c r="N82" s="1152"/>
      <c r="O82" s="1152"/>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4.5" thickTop="1">
      <c r="A84" s="599"/>
      <c r="B84" s="538" t="s">
        <v>2738</v>
      </c>
      <c r="C84" s="554"/>
      <c r="D84" s="554"/>
      <c r="E84" s="554"/>
      <c r="F84" s="554"/>
      <c r="G84" s="554"/>
      <c r="H84" s="554"/>
      <c r="I84" s="583"/>
      <c r="J84" s="583"/>
      <c r="K84" s="584"/>
      <c r="L84" s="585"/>
      <c r="M84" s="586"/>
      <c r="N84" s="1152"/>
      <c r="O84" s="1152"/>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4.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5" thickBot="1">
      <c r="A88" s="534"/>
      <c r="B88" s="543"/>
      <c r="C88" s="560"/>
      <c r="D88" s="536"/>
      <c r="E88" s="536"/>
      <c r="F88" s="536"/>
      <c r="G88" s="536"/>
      <c r="H88" s="536"/>
      <c r="I88" s="536"/>
      <c r="J88" s="536"/>
      <c r="K88" s="536"/>
      <c r="L88" s="536"/>
      <c r="M88" s="536"/>
      <c r="N88" s="1153"/>
      <c r="O88" s="1153"/>
      <c r="P88" s="45"/>
      <c r="Q88" s="504"/>
    </row>
    <row r="89" spans="1:17" s="471" customFormat="1" ht="14.5" thickTop="1">
      <c r="A89" s="593"/>
      <c r="B89" s="538" t="s">
        <v>2740</v>
      </c>
      <c r="C89" s="554"/>
      <c r="D89" s="554"/>
      <c r="E89" s="554"/>
      <c r="F89" s="554"/>
      <c r="G89" s="554"/>
      <c r="H89" s="554"/>
      <c r="I89" s="554"/>
      <c r="J89" s="554"/>
      <c r="K89" s="554"/>
      <c r="L89" s="554"/>
      <c r="M89" s="581"/>
      <c r="N89" s="1154"/>
      <c r="O89" s="1154"/>
      <c r="P89" s="558"/>
      <c r="Q89" s="559"/>
    </row>
    <row r="90" spans="1:17" s="471" customFormat="1" ht="14.5" thickBot="1">
      <c r="A90" s="553"/>
      <c r="B90" s="543"/>
      <c r="C90" s="560"/>
      <c r="D90" s="536"/>
      <c r="E90" s="536"/>
      <c r="F90" s="536"/>
      <c r="G90" s="536"/>
      <c r="H90" s="536"/>
      <c r="I90" s="536"/>
      <c r="J90" s="536"/>
      <c r="K90" s="536"/>
      <c r="L90" s="536"/>
      <c r="M90" s="537"/>
      <c r="N90" s="1154"/>
      <c r="O90" s="1154"/>
      <c r="P90" s="558"/>
      <c r="Q90" s="559"/>
    </row>
    <row r="91" spans="1:17" ht="14.5" thickTop="1">
      <c r="A91" s="599"/>
      <c r="B91" s="538">
        <f>B32</f>
        <v>111</v>
      </c>
      <c r="C91" s="549"/>
      <c r="D91" s="549"/>
      <c r="E91" s="549"/>
      <c r="F91" s="549"/>
      <c r="G91" s="554"/>
      <c r="H91" s="555"/>
      <c r="I91" s="555"/>
      <c r="J91" s="555"/>
      <c r="K91" s="555"/>
      <c r="L91" s="556"/>
      <c r="M91" s="557"/>
      <c r="N91" s="1152"/>
      <c r="O91" s="1152"/>
      <c r="P91" s="45"/>
      <c r="Q91" s="504"/>
    </row>
    <row r="92" spans="1:17" ht="14.5" thickBot="1">
      <c r="A92" s="534"/>
      <c r="B92" s="543"/>
      <c r="C92" s="560"/>
      <c r="D92" s="536"/>
      <c r="E92" s="536"/>
      <c r="F92" s="536"/>
      <c r="G92" s="560"/>
      <c r="H92" s="562"/>
      <c r="I92" s="562"/>
      <c r="J92" s="562"/>
      <c r="K92" s="562"/>
      <c r="L92" s="562"/>
      <c r="M92" s="563"/>
      <c r="N92" s="1153"/>
      <c r="O92" s="1153"/>
      <c r="P92" s="45"/>
      <c r="Q92" s="504"/>
    </row>
    <row r="93" spans="1:17" ht="14.5" thickTop="1">
      <c r="A93" s="599"/>
      <c r="B93" s="538">
        <f>B33</f>
        <v>111</v>
      </c>
      <c r="C93" s="549"/>
      <c r="D93" s="549"/>
      <c r="E93" s="549"/>
      <c r="F93" s="549"/>
      <c r="G93" s="554"/>
      <c r="H93" s="555"/>
      <c r="I93" s="555"/>
      <c r="J93" s="555"/>
      <c r="K93" s="555"/>
      <c r="L93" s="556"/>
      <c r="M93" s="557"/>
      <c r="N93" s="1152"/>
      <c r="O93" s="1152"/>
      <c r="P93" s="45"/>
      <c r="Q93" s="504"/>
    </row>
    <row r="94" spans="1:17" ht="14.5" thickBot="1">
      <c r="A94" s="534"/>
      <c r="B94" s="543"/>
      <c r="C94" s="560"/>
      <c r="D94" s="536"/>
      <c r="E94" s="536"/>
      <c r="F94" s="536"/>
      <c r="G94" s="560"/>
      <c r="H94" s="562"/>
      <c r="I94" s="562"/>
      <c r="J94" s="562"/>
      <c r="K94" s="562"/>
      <c r="L94" s="562"/>
      <c r="M94" s="563"/>
      <c r="N94" s="1153"/>
      <c r="O94" s="1153"/>
      <c r="P94" s="45"/>
      <c r="Q94" s="504"/>
    </row>
    <row r="95" spans="1:17" ht="14.5" thickTop="1">
      <c r="A95" s="599"/>
      <c r="B95" s="636">
        <f>B34</f>
        <v>111</v>
      </c>
      <c r="C95" s="549"/>
      <c r="D95" s="549"/>
      <c r="E95" s="549"/>
      <c r="F95" s="549"/>
      <c r="G95" s="554"/>
      <c r="H95" s="555"/>
      <c r="I95" s="555"/>
      <c r="J95" s="555"/>
      <c r="K95" s="555"/>
      <c r="L95" s="556"/>
      <c r="M95" s="557"/>
      <c r="N95" s="1153"/>
      <c r="O95" s="1153"/>
      <c r="P95" s="637"/>
      <c r="Q95" s="638"/>
    </row>
    <row r="96" spans="1:17" ht="14.5" thickBot="1">
      <c r="A96" s="534"/>
      <c r="B96" s="543"/>
      <c r="C96" s="560"/>
      <c r="D96" s="560"/>
      <c r="E96" s="560"/>
      <c r="F96" s="560"/>
      <c r="G96" s="560"/>
      <c r="H96" s="562"/>
      <c r="I96" s="562"/>
      <c r="J96" s="562"/>
      <c r="K96" s="562"/>
      <c r="L96" s="562"/>
      <c r="M96" s="563"/>
      <c r="N96" s="1153"/>
      <c r="O96" s="1153"/>
      <c r="P96" s="45"/>
      <c r="Q96" s="504"/>
    </row>
    <row r="97" spans="1:20" ht="14.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zoomScale="80" zoomScaleNormal="80" workbookViewId="0">
      <selection sqref="A1:XFD1048576"/>
    </sheetView>
  </sheetViews>
  <sheetFormatPr defaultColWidth="9" defaultRowHeight="14"/>
  <cols>
    <col min="1" max="1" width="14.36328125" style="403" customWidth="1"/>
    <col min="2" max="2" width="15.81640625" style="403" customWidth="1"/>
    <col min="3" max="3" width="14.36328125" style="403" customWidth="1"/>
    <col min="4" max="4" width="14.089843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c r="A4" s="401" t="s">
        <v>2642</v>
      </c>
      <c r="B4" s="402"/>
      <c r="C4" s="3199" t="s">
        <v>2643</v>
      </c>
      <c r="D4" s="3200"/>
      <c r="E4" s="3201" t="s">
        <v>2644</v>
      </c>
      <c r="F4" s="3202"/>
      <c r="G4" s="3199" t="s">
        <v>2645</v>
      </c>
      <c r="H4" s="3200"/>
      <c r="I4" s="3199" t="s">
        <v>2646</v>
      </c>
      <c r="J4" s="3200"/>
      <c r="K4" s="610" t="s">
        <v>2647</v>
      </c>
      <c r="L4" s="1130"/>
      <c r="M4" s="1131"/>
      <c r="N4" s="1131"/>
      <c r="O4" s="1131"/>
      <c r="P4" s="3203" t="s">
        <v>2648</v>
      </c>
      <c r="Q4" s="3204"/>
      <c r="R4" s="3186" t="s">
        <v>2644</v>
      </c>
      <c r="S4" s="3187"/>
      <c r="T4" s="3186" t="s">
        <v>2645</v>
      </c>
      <c r="U4" s="3187"/>
      <c r="V4" s="3211" t="s">
        <v>2646</v>
      </c>
      <c r="W4" s="3211"/>
      <c r="X4" s="1813"/>
      <c r="Y4" s="3186" t="s">
        <v>2648</v>
      </c>
      <c r="Z4" s="3187"/>
      <c r="AA4" s="3181" t="s">
        <v>2644</v>
      </c>
      <c r="AB4" s="3182" t="s">
        <v>2645</v>
      </c>
      <c r="AC4" s="3181" t="s">
        <v>2646</v>
      </c>
    </row>
    <row r="5" spans="1:30">
      <c r="A5" s="404"/>
      <c r="B5" s="405"/>
      <c r="C5" s="3192" t="s">
        <v>2539</v>
      </c>
      <c r="D5" s="3193"/>
      <c r="E5" s="3190" t="s">
        <v>2540</v>
      </c>
      <c r="F5" s="3191"/>
      <c r="G5" s="3192" t="s">
        <v>2541</v>
      </c>
      <c r="H5" s="3193"/>
      <c r="I5" s="3192" t="s">
        <v>2542</v>
      </c>
      <c r="J5" s="3193"/>
      <c r="K5" s="610"/>
      <c r="L5" s="1130"/>
      <c r="M5" s="1131"/>
      <c r="N5" s="1131"/>
      <c r="O5" s="1131"/>
      <c r="P5" s="3205"/>
      <c r="Q5" s="3206"/>
      <c r="R5" s="3188"/>
      <c r="S5" s="3189"/>
      <c r="T5" s="3188"/>
      <c r="U5" s="3189"/>
      <c r="V5" s="3211"/>
      <c r="W5" s="3211"/>
      <c r="X5" s="1813"/>
      <c r="Y5" s="3188"/>
      <c r="Z5" s="3189"/>
      <c r="AA5" s="3182"/>
      <c r="AB5" s="3182"/>
      <c r="AC5" s="3182"/>
    </row>
    <row r="6" spans="1:30" ht="15" thickBot="1">
      <c r="A6" s="406"/>
      <c r="B6" s="407"/>
      <c r="C6" s="3194" t="s">
        <v>2543</v>
      </c>
      <c r="D6" s="3195"/>
      <c r="E6" s="3196" t="s">
        <v>2543</v>
      </c>
      <c r="F6" s="3197"/>
      <c r="G6" s="3194" t="s">
        <v>2543</v>
      </c>
      <c r="H6" s="3195"/>
      <c r="I6" s="3194" t="s">
        <v>2543</v>
      </c>
      <c r="J6" s="3195"/>
      <c r="K6" s="610" t="s">
        <v>2544</v>
      </c>
      <c r="L6" s="1130"/>
      <c r="M6" s="1131"/>
      <c r="N6" s="1131"/>
      <c r="O6" s="1131"/>
      <c r="P6" s="3207"/>
      <c r="Q6" s="3208"/>
      <c r="R6" s="3188"/>
      <c r="S6" s="3189"/>
      <c r="T6" s="3209"/>
      <c r="U6" s="3210"/>
      <c r="V6" s="3211"/>
      <c r="W6" s="3211"/>
      <c r="X6" s="1813"/>
      <c r="Y6" s="3209"/>
      <c r="Z6" s="3210"/>
      <c r="AA6" s="3183"/>
      <c r="AB6" s="3183"/>
      <c r="AC6" s="3183"/>
    </row>
    <row r="7" spans="1:30" s="117" customFormat="1" ht="14.5" thickBot="1">
      <c r="A7" s="408" t="s">
        <v>2545</v>
      </c>
      <c r="B7" s="409"/>
      <c r="C7" s="410">
        <f>'数据-取费表'!B2</f>
        <v>43868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84" t="s">
        <v>2546</v>
      </c>
      <c r="Q7" s="3212"/>
      <c r="R7" s="770" t="s">
        <v>17</v>
      </c>
      <c r="S7" s="771">
        <f t="shared" ref="S7:S15" si="0">F7</f>
        <v>0</v>
      </c>
      <c r="T7" s="770" t="s">
        <v>17</v>
      </c>
      <c r="U7" s="771">
        <f t="shared" ref="U7:U15" si="1">H7</f>
        <v>0</v>
      </c>
      <c r="V7" s="770" t="s">
        <v>17</v>
      </c>
      <c r="W7" s="771">
        <f t="shared" ref="W7:W15" si="2">J7</f>
        <v>0</v>
      </c>
      <c r="X7" s="772"/>
      <c r="Y7" s="3184" t="s">
        <v>2546</v>
      </c>
      <c r="Z7" s="3185"/>
      <c r="AA7" s="773" t="e">
        <f>D7/F7</f>
        <v>#DIV/0!</v>
      </c>
      <c r="AB7" s="773" t="e">
        <f>D7/H7</f>
        <v>#DIV/0!</v>
      </c>
      <c r="AC7" s="773" t="e">
        <f>D7/J7</f>
        <v>#DIV/0!</v>
      </c>
    </row>
    <row r="8" spans="1:30" s="117" customFormat="1" ht="14.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4" t="s">
        <v>2549</v>
      </c>
      <c r="Q8" s="3185"/>
      <c r="R8" s="770" t="s">
        <v>17</v>
      </c>
      <c r="S8" s="771">
        <f t="shared" si="0"/>
        <v>0</v>
      </c>
      <c r="T8" s="770" t="s">
        <v>17</v>
      </c>
      <c r="U8" s="771">
        <f t="shared" si="1"/>
        <v>0</v>
      </c>
      <c r="V8" s="770" t="s">
        <v>17</v>
      </c>
      <c r="W8" s="771">
        <f t="shared" si="2"/>
        <v>0</v>
      </c>
      <c r="X8" s="772"/>
      <c r="Y8" s="3184" t="s">
        <v>2549</v>
      </c>
      <c r="Z8" s="3185"/>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16" t="s">
        <v>2552</v>
      </c>
      <c r="Q9" s="1795" t="str">
        <f t="shared" ref="Q9:Q15" si="6">B9</f>
        <v>用途</v>
      </c>
      <c r="R9" s="770" t="s">
        <v>17</v>
      </c>
      <c r="S9" s="771">
        <f t="shared" si="0"/>
        <v>100</v>
      </c>
      <c r="T9" s="770" t="s">
        <v>17</v>
      </c>
      <c r="U9" s="771">
        <f t="shared" si="1"/>
        <v>100</v>
      </c>
      <c r="V9" s="770" t="s">
        <v>17</v>
      </c>
      <c r="W9" s="771">
        <f t="shared" si="2"/>
        <v>100</v>
      </c>
      <c r="X9" s="772"/>
      <c r="Y9" s="3031" t="s">
        <v>2553</v>
      </c>
      <c r="Z9" s="55" t="str">
        <f t="shared" ref="Z9:Z15" si="7">Q9</f>
        <v>用途</v>
      </c>
      <c r="AA9" s="773">
        <f t="shared" si="3"/>
        <v>1</v>
      </c>
      <c r="AB9" s="773">
        <f t="shared" si="4"/>
        <v>1</v>
      </c>
      <c r="AC9" s="773">
        <f t="shared" si="5"/>
        <v>1</v>
      </c>
    </row>
    <row r="10" spans="1:30" s="427" customFormat="1" ht="28">
      <c r="A10" s="421"/>
      <c r="B10" s="422" t="s">
        <v>2554</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216"/>
      <c r="Q10" s="1795" t="str">
        <f t="shared" si="6"/>
        <v>土地使用年限（年）</v>
      </c>
      <c r="R10" s="770" t="s">
        <v>17</v>
      </c>
      <c r="S10" s="771">
        <f t="shared" si="0"/>
        <v>101</v>
      </c>
      <c r="T10" s="770" t="s">
        <v>17</v>
      </c>
      <c r="U10" s="771">
        <f t="shared" si="1"/>
        <v>101</v>
      </c>
      <c r="V10" s="770" t="s">
        <v>17</v>
      </c>
      <c r="W10" s="771">
        <f t="shared" si="2"/>
        <v>101</v>
      </c>
      <c r="X10" s="772"/>
      <c r="Y10" s="3031"/>
      <c r="Z10" s="55" t="str">
        <f t="shared" si="7"/>
        <v>土地使用年限（年）</v>
      </c>
      <c r="AA10" s="773">
        <f t="shared" si="3"/>
        <v>0.99009900990099009</v>
      </c>
      <c r="AB10" s="773">
        <f t="shared" si="4"/>
        <v>0.99009900990099009</v>
      </c>
      <c r="AC10" s="773">
        <f t="shared" si="5"/>
        <v>0.99009900990099009</v>
      </c>
    </row>
    <row r="11" spans="1:30" ht="15.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6"/>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6"/>
      <c r="Q12" s="1795"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6"/>
      <c r="Q14" s="1795">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8">
      <c r="A15" s="440" t="s">
        <v>2556</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8" t="s">
        <v>2557</v>
      </c>
      <c r="Q15" s="1810" t="str">
        <f t="shared" si="6"/>
        <v>居住社区成熟度</v>
      </c>
      <c r="R15" s="774" t="s">
        <v>17</v>
      </c>
      <c r="S15" s="775">
        <f t="shared" si="0"/>
        <v>100</v>
      </c>
      <c r="T15" s="774" t="s">
        <v>17</v>
      </c>
      <c r="U15" s="775">
        <f t="shared" si="1"/>
        <v>100</v>
      </c>
      <c r="V15" s="774" t="s">
        <v>17</v>
      </c>
      <c r="W15" s="775">
        <f t="shared" si="2"/>
        <v>100</v>
      </c>
      <c r="X15" s="1813"/>
      <c r="Y15" s="3218" t="s">
        <v>2557</v>
      </c>
      <c r="Z15" s="1814" t="str">
        <f t="shared" si="7"/>
        <v>居住社区成熟度</v>
      </c>
      <c r="AA15" s="1811">
        <f t="shared" si="3"/>
        <v>1</v>
      </c>
      <c r="AB15" s="1811">
        <f t="shared" si="4"/>
        <v>1</v>
      </c>
      <c r="AC15" s="1811">
        <f t="shared" si="5"/>
        <v>1</v>
      </c>
    </row>
    <row r="16" spans="1:30" ht="15.5">
      <c r="A16" s="428"/>
      <c r="B16" s="446"/>
      <c r="C16" s="447"/>
      <c r="D16" s="448"/>
      <c r="E16" s="2607"/>
      <c r="F16" s="448"/>
      <c r="G16" s="2607"/>
      <c r="H16" s="450"/>
      <c r="I16" s="2606"/>
      <c r="J16" s="448"/>
      <c r="K16" s="672"/>
      <c r="L16" s="1140"/>
      <c r="M16" s="1131"/>
      <c r="N16" s="1131"/>
      <c r="O16" s="1139"/>
      <c r="P16" s="3219"/>
      <c r="Q16" s="1810"/>
      <c r="R16" s="774"/>
      <c r="S16" s="775"/>
      <c r="T16" s="774"/>
      <c r="U16" s="775"/>
      <c r="V16" s="774"/>
      <c r="W16" s="775"/>
      <c r="X16" s="1813"/>
      <c r="Y16" s="3219"/>
      <c r="Z16" s="1814"/>
      <c r="AA16" s="1811">
        <v>1</v>
      </c>
      <c r="AB16" s="1811">
        <v>1</v>
      </c>
      <c r="AC16" s="1811">
        <v>1</v>
      </c>
    </row>
    <row r="17" spans="1:29" ht="84">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9"/>
      <c r="Q17" s="1810" t="str">
        <f>B17</f>
        <v>商业繁华度</v>
      </c>
      <c r="R17" s="774" t="s">
        <v>17</v>
      </c>
      <c r="S17" s="775">
        <f>F17</f>
        <v>100</v>
      </c>
      <c r="T17" s="774" t="s">
        <v>17</v>
      </c>
      <c r="U17" s="775">
        <f>H17</f>
        <v>100</v>
      </c>
      <c r="V17" s="774" t="s">
        <v>17</v>
      </c>
      <c r="W17" s="775">
        <f>J17</f>
        <v>100</v>
      </c>
      <c r="X17" s="1813"/>
      <c r="Y17" s="3219"/>
      <c r="Z17" s="1814" t="str">
        <f>Q17</f>
        <v>商业繁华度</v>
      </c>
      <c r="AA17" s="1811">
        <f t="shared" si="3"/>
        <v>1</v>
      </c>
      <c r="AB17" s="1811">
        <f t="shared" si="4"/>
        <v>1</v>
      </c>
      <c r="AC17" s="1811">
        <f t="shared" si="5"/>
        <v>1</v>
      </c>
    </row>
    <row r="18" spans="1:29" ht="15.5">
      <c r="A18" s="428"/>
      <c r="B18" s="456"/>
      <c r="C18" s="2610"/>
      <c r="D18" s="450"/>
      <c r="E18" s="2612"/>
      <c r="F18" s="450"/>
      <c r="G18" s="2612"/>
      <c r="H18" s="448"/>
      <c r="I18" s="2611"/>
      <c r="J18" s="448"/>
      <c r="K18" s="672"/>
      <c r="L18" s="1140"/>
      <c r="M18" s="1131"/>
      <c r="N18" s="1131"/>
      <c r="O18" s="1139"/>
      <c r="P18" s="3219"/>
      <c r="Q18" s="1810"/>
      <c r="R18" s="774"/>
      <c r="S18" s="775"/>
      <c r="T18" s="774"/>
      <c r="U18" s="775"/>
      <c r="V18" s="774"/>
      <c r="W18" s="775"/>
      <c r="X18" s="1813"/>
      <c r="Y18" s="3219"/>
      <c r="Z18" s="1814"/>
      <c r="AA18" s="1811">
        <v>1</v>
      </c>
      <c r="AB18" s="1811">
        <v>1</v>
      </c>
      <c r="AC18" s="1811">
        <v>1</v>
      </c>
    </row>
    <row r="19" spans="1:29" ht="84">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9"/>
      <c r="Q19" s="1810" t="str">
        <f>B19</f>
        <v>办公集聚程度</v>
      </c>
      <c r="R19" s="774" t="s">
        <v>17</v>
      </c>
      <c r="S19" s="775">
        <f>F19</f>
        <v>100</v>
      </c>
      <c r="T19" s="774" t="s">
        <v>17</v>
      </c>
      <c r="U19" s="775">
        <f>H19</f>
        <v>100</v>
      </c>
      <c r="V19" s="774" t="s">
        <v>17</v>
      </c>
      <c r="W19" s="775">
        <f>J19</f>
        <v>100</v>
      </c>
      <c r="X19" s="1813"/>
      <c r="Y19" s="3219"/>
      <c r="Z19" s="1814" t="str">
        <f>Q19</f>
        <v>办公集聚程度</v>
      </c>
      <c r="AA19" s="1811">
        <f t="shared" si="3"/>
        <v>1</v>
      </c>
      <c r="AB19" s="1811">
        <f t="shared" si="4"/>
        <v>1</v>
      </c>
      <c r="AC19" s="1811">
        <f t="shared" si="5"/>
        <v>1</v>
      </c>
    </row>
    <row r="20" spans="1:29" ht="15.5">
      <c r="A20" s="428"/>
      <c r="B20" s="456"/>
      <c r="C20" s="447"/>
      <c r="D20" s="448"/>
      <c r="E20" s="2607"/>
      <c r="F20" s="448"/>
      <c r="G20" s="2607"/>
      <c r="H20" s="448"/>
      <c r="I20" s="2606"/>
      <c r="J20" s="448"/>
      <c r="K20" s="672"/>
      <c r="L20" s="1140"/>
      <c r="M20" s="1131"/>
      <c r="N20" s="1131"/>
      <c r="O20" s="1139"/>
      <c r="P20" s="3219"/>
      <c r="Q20" s="1810"/>
      <c r="R20" s="774"/>
      <c r="S20" s="775"/>
      <c r="T20" s="774"/>
      <c r="U20" s="775"/>
      <c r="V20" s="774"/>
      <c r="W20" s="775"/>
      <c r="X20" s="1813"/>
      <c r="Y20" s="3219"/>
      <c r="Z20" s="1814"/>
      <c r="AA20" s="1811">
        <v>1</v>
      </c>
      <c r="AB20" s="1811">
        <v>1</v>
      </c>
      <c r="AC20" s="1811">
        <v>1</v>
      </c>
    </row>
    <row r="21" spans="1:29" ht="98">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9"/>
      <c r="Q21" s="1810" t="str">
        <f>B21</f>
        <v>交通便捷度</v>
      </c>
      <c r="R21" s="774" t="s">
        <v>17</v>
      </c>
      <c r="S21" s="775">
        <f>F21</f>
        <v>100</v>
      </c>
      <c r="T21" s="774" t="s">
        <v>17</v>
      </c>
      <c r="U21" s="775">
        <f>H21</f>
        <v>100</v>
      </c>
      <c r="V21" s="774" t="s">
        <v>17</v>
      </c>
      <c r="W21" s="775">
        <f>J21</f>
        <v>100</v>
      </c>
      <c r="X21" s="1813"/>
      <c r="Y21" s="3219"/>
      <c r="Z21" s="1814" t="str">
        <f>Q21</f>
        <v>交通便捷度</v>
      </c>
      <c r="AA21" s="1811">
        <f t="shared" si="3"/>
        <v>1</v>
      </c>
      <c r="AB21" s="1811">
        <f t="shared" si="4"/>
        <v>1</v>
      </c>
      <c r="AC21" s="1811">
        <f t="shared" si="5"/>
        <v>1</v>
      </c>
    </row>
    <row r="22" spans="1:29" ht="15.5">
      <c r="A22" s="428"/>
      <c r="B22" s="1384"/>
      <c r="C22" s="447"/>
      <c r="D22" s="450"/>
      <c r="E22" s="2607"/>
      <c r="F22" s="448"/>
      <c r="G22" s="2607"/>
      <c r="H22" s="448"/>
      <c r="I22" s="2606"/>
      <c r="J22" s="448"/>
      <c r="K22" s="672"/>
      <c r="L22" s="1140"/>
      <c r="M22" s="1131"/>
      <c r="N22" s="1131"/>
      <c r="O22" s="1139"/>
      <c r="P22" s="3219"/>
      <c r="Q22" s="1810"/>
      <c r="R22" s="774"/>
      <c r="S22" s="775"/>
      <c r="T22" s="774"/>
      <c r="U22" s="775"/>
      <c r="V22" s="774"/>
      <c r="W22" s="775"/>
      <c r="X22" s="1813"/>
      <c r="Y22" s="3219"/>
      <c r="Z22" s="1814"/>
      <c r="AA22" s="1811">
        <v>1</v>
      </c>
      <c r="AB22" s="1811">
        <v>1</v>
      </c>
      <c r="AC22" s="1811">
        <v>1</v>
      </c>
    </row>
    <row r="23" spans="1:29" ht="28">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9"/>
      <c r="Q23" s="1810" t="str">
        <f t="shared" ref="Q23:Q37" si="8">B23</f>
        <v>区域土地利用方向</v>
      </c>
      <c r="R23" s="774" t="s">
        <v>17</v>
      </c>
      <c r="S23" s="775">
        <f>F23</f>
        <v>100</v>
      </c>
      <c r="T23" s="774" t="s">
        <v>17</v>
      </c>
      <c r="U23" s="775">
        <f>H23</f>
        <v>100</v>
      </c>
      <c r="V23" s="774" t="s">
        <v>17</v>
      </c>
      <c r="W23" s="775">
        <f>J23</f>
        <v>100</v>
      </c>
      <c r="X23" s="1813"/>
      <c r="Y23" s="3219"/>
      <c r="Z23" s="1814" t="str">
        <f>Q23</f>
        <v>区域土地利用方向</v>
      </c>
      <c r="AA23" s="1811">
        <f t="shared" si="3"/>
        <v>1</v>
      </c>
      <c r="AB23" s="1811">
        <f t="shared" si="4"/>
        <v>1</v>
      </c>
      <c r="AC23" s="1811">
        <f t="shared" si="5"/>
        <v>1</v>
      </c>
    </row>
    <row r="24" spans="1:29" ht="15.5">
      <c r="A24" s="404"/>
      <c r="B24" s="456"/>
      <c r="C24" s="616"/>
      <c r="D24" s="448"/>
      <c r="E24" s="2607"/>
      <c r="F24" s="448"/>
      <c r="G24" s="2606"/>
      <c r="H24" s="448"/>
      <c r="I24" s="2606"/>
      <c r="J24" s="448"/>
      <c r="K24" s="812"/>
      <c r="L24" s="1140"/>
      <c r="M24" s="1131"/>
      <c r="N24" s="1131"/>
      <c r="O24" s="1139"/>
      <c r="P24" s="3219"/>
      <c r="Q24" s="1810"/>
      <c r="R24" s="774"/>
      <c r="S24" s="775"/>
      <c r="T24" s="774"/>
      <c r="U24" s="775"/>
      <c r="V24" s="774"/>
      <c r="W24" s="775"/>
      <c r="X24" s="1813"/>
      <c r="Y24" s="3219"/>
      <c r="Z24" s="1814"/>
      <c r="AA24" s="1811"/>
      <c r="AB24" s="1811"/>
      <c r="AC24" s="1811"/>
    </row>
    <row r="25" spans="1:29" ht="56">
      <c r="A25" s="404"/>
      <c r="B25" s="1384"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9"/>
      <c r="Q25" s="1810" t="str">
        <f t="shared" si="8"/>
        <v>自然及人文环境状况</v>
      </c>
      <c r="R25" s="774" t="s">
        <v>17</v>
      </c>
      <c r="S25" s="775">
        <f>F25</f>
        <v>100</v>
      </c>
      <c r="T25" s="774" t="s">
        <v>17</v>
      </c>
      <c r="U25" s="775">
        <f>H25</f>
        <v>100</v>
      </c>
      <c r="V25" s="774" t="s">
        <v>17</v>
      </c>
      <c r="W25" s="775">
        <f>J25</f>
        <v>100</v>
      </c>
      <c r="X25" s="1813"/>
      <c r="Y25" s="3219"/>
      <c r="Z25" s="1814" t="str">
        <f>Q25</f>
        <v>自然及人文环境状况</v>
      </c>
      <c r="AA25" s="1811">
        <f t="shared" si="3"/>
        <v>1</v>
      </c>
      <c r="AB25" s="1811">
        <f t="shared" si="4"/>
        <v>1</v>
      </c>
      <c r="AC25" s="1811">
        <f t="shared" si="5"/>
        <v>1</v>
      </c>
    </row>
    <row r="26" spans="1:29" ht="15.5">
      <c r="A26" s="404"/>
      <c r="B26" s="456"/>
      <c r="C26" s="447"/>
      <c r="D26" s="448"/>
      <c r="E26" s="2613"/>
      <c r="F26" s="448"/>
      <c r="G26" s="2613"/>
      <c r="H26" s="448"/>
      <c r="I26" s="447"/>
      <c r="J26" s="448"/>
      <c r="K26" s="672"/>
      <c r="L26" s="1140"/>
      <c r="M26" s="1131"/>
      <c r="N26" s="1131"/>
      <c r="O26" s="1139"/>
      <c r="P26" s="3219"/>
      <c r="Q26" s="1810"/>
      <c r="R26" s="774"/>
      <c r="S26" s="775"/>
      <c r="T26" s="774"/>
      <c r="U26" s="775"/>
      <c r="V26" s="774"/>
      <c r="W26" s="775"/>
      <c r="X26" s="1813"/>
      <c r="Y26" s="3219"/>
      <c r="Z26" s="1814"/>
      <c r="AA26" s="1811">
        <v>1</v>
      </c>
      <c r="AB26" s="1811">
        <v>1</v>
      </c>
      <c r="AC26" s="1811">
        <v>1</v>
      </c>
    </row>
    <row r="27" spans="1:29" s="117" customFormat="1" ht="42">
      <c r="A27" s="649"/>
      <c r="B27" s="1384"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9"/>
      <c r="Q27" s="1795" t="str">
        <f t="shared" si="8"/>
        <v>公共配套设施</v>
      </c>
      <c r="R27" s="770" t="s">
        <v>17</v>
      </c>
      <c r="S27" s="771">
        <f>F27</f>
        <v>100</v>
      </c>
      <c r="T27" s="770" t="s">
        <v>17</v>
      </c>
      <c r="U27" s="771">
        <f>H27</f>
        <v>100</v>
      </c>
      <c r="V27" s="770" t="s">
        <v>17</v>
      </c>
      <c r="W27" s="771">
        <f>J27</f>
        <v>100</v>
      </c>
      <c r="X27" s="772"/>
      <c r="Y27" s="3219"/>
      <c r="Z27" s="55" t="str">
        <f>Q27</f>
        <v>公共配套设施</v>
      </c>
      <c r="AA27" s="1811">
        <f>D27/F27</f>
        <v>1</v>
      </c>
      <c r="AB27" s="1811">
        <f>D27/H27</f>
        <v>1</v>
      </c>
      <c r="AC27" s="1811">
        <f>D27/J27</f>
        <v>1</v>
      </c>
    </row>
    <row r="28" spans="1:29" s="117" customFormat="1" ht="15.5">
      <c r="A28" s="649"/>
      <c r="B28" s="456"/>
      <c r="C28" s="2702"/>
      <c r="D28" s="448"/>
      <c r="E28" s="2613"/>
      <c r="F28" s="448"/>
      <c r="G28" s="2613"/>
      <c r="H28" s="448"/>
      <c r="I28" s="447"/>
      <c r="J28" s="448"/>
      <c r="K28" s="672"/>
      <c r="L28" s="1132"/>
      <c r="M28" s="1133"/>
      <c r="N28" s="1133"/>
      <c r="O28" s="1134"/>
      <c r="P28" s="3219"/>
      <c r="Q28" s="1795"/>
      <c r="R28" s="770"/>
      <c r="S28" s="771"/>
      <c r="T28" s="770"/>
      <c r="U28" s="771"/>
      <c r="V28" s="770"/>
      <c r="W28" s="771"/>
      <c r="X28" s="772"/>
      <c r="Y28" s="3219"/>
      <c r="Z28" s="55"/>
      <c r="AA28" s="1811">
        <v>1</v>
      </c>
      <c r="AB28" s="1811">
        <v>1</v>
      </c>
      <c r="AC28" s="1811">
        <v>1</v>
      </c>
    </row>
    <row r="29" spans="1:29" s="117" customFormat="1" ht="42">
      <c r="A29" s="649"/>
      <c r="B29" s="1384"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9"/>
      <c r="Q29" s="1795" t="str">
        <f t="shared" ref="Q29" si="9">B29</f>
        <v>基础设施水平</v>
      </c>
      <c r="R29" s="770" t="s">
        <v>17</v>
      </c>
      <c r="S29" s="771">
        <f>F29</f>
        <v>100</v>
      </c>
      <c r="T29" s="770" t="s">
        <v>17</v>
      </c>
      <c r="U29" s="771">
        <f>H29</f>
        <v>100</v>
      </c>
      <c r="V29" s="770" t="s">
        <v>17</v>
      </c>
      <c r="W29" s="771">
        <f>J29</f>
        <v>100</v>
      </c>
      <c r="X29" s="772"/>
      <c r="Y29" s="3219"/>
      <c r="Z29" s="55" t="str">
        <f>Q29</f>
        <v>基础设施水平</v>
      </c>
      <c r="AA29" s="1811">
        <f>D29/F29</f>
        <v>1</v>
      </c>
      <c r="AB29" s="1811">
        <f>D29/H29</f>
        <v>1</v>
      </c>
      <c r="AC29" s="1811">
        <f>D29/J29</f>
        <v>1</v>
      </c>
    </row>
    <row r="30" spans="1:29" s="117" customFormat="1" ht="15.5">
      <c r="A30" s="649"/>
      <c r="B30" s="456"/>
      <c r="C30" s="2702"/>
      <c r="D30" s="448"/>
      <c r="E30" s="2703"/>
      <c r="F30" s="448"/>
      <c r="G30" s="2703"/>
      <c r="H30" s="448"/>
      <c r="I30" s="2703"/>
      <c r="J30" s="448"/>
      <c r="K30" s="672"/>
      <c r="L30" s="1132"/>
      <c r="M30" s="1133"/>
      <c r="N30" s="1133"/>
      <c r="O30" s="1134"/>
      <c r="P30" s="3219"/>
      <c r="Q30" s="1795"/>
      <c r="R30" s="770"/>
      <c r="S30" s="771"/>
      <c r="T30" s="770"/>
      <c r="U30" s="771"/>
      <c r="V30" s="770"/>
      <c r="W30" s="771"/>
      <c r="X30" s="772"/>
      <c r="Y30" s="3219"/>
      <c r="Z30" s="55"/>
      <c r="AA30" s="1811">
        <v>1</v>
      </c>
      <c r="AB30" s="1811">
        <v>1</v>
      </c>
      <c r="AC30" s="1811">
        <v>1</v>
      </c>
    </row>
    <row r="31" spans="1:29" ht="15.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9"/>
      <c r="Z31" s="1814" t="str">
        <f t="shared" ref="Z31:Z45" si="13">Q31</f>
        <v>临街状况</v>
      </c>
      <c r="AA31" s="1811">
        <f t="shared" si="3"/>
        <v>1</v>
      </c>
      <c r="AB31" s="1811">
        <f t="shared" si="4"/>
        <v>1</v>
      </c>
      <c r="AC31" s="1811">
        <f t="shared" si="5"/>
        <v>1</v>
      </c>
    </row>
    <row r="32" spans="1:29" ht="28">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9"/>
      <c r="Q32" s="1810" t="str">
        <f t="shared" si="8"/>
        <v>毗邻道路的类型与等级</v>
      </c>
      <c r="R32" s="774" t="s">
        <v>17</v>
      </c>
      <c r="S32" s="775">
        <f t="shared" si="10"/>
        <v>100</v>
      </c>
      <c r="T32" s="774" t="s">
        <v>17</v>
      </c>
      <c r="U32" s="775">
        <f t="shared" si="11"/>
        <v>100</v>
      </c>
      <c r="V32" s="774" t="s">
        <v>17</v>
      </c>
      <c r="W32" s="775">
        <f t="shared" si="12"/>
        <v>100</v>
      </c>
      <c r="X32" s="1813"/>
      <c r="Y32" s="3219"/>
      <c r="Z32" s="1814" t="str">
        <f t="shared" si="13"/>
        <v>毗邻道路的类型与等级</v>
      </c>
      <c r="AA32" s="1811">
        <f t="shared" si="3"/>
        <v>1</v>
      </c>
      <c r="AB32" s="1811">
        <f t="shared" si="4"/>
        <v>1</v>
      </c>
      <c r="AC32" s="1811">
        <f t="shared" si="5"/>
        <v>1</v>
      </c>
    </row>
    <row r="33" spans="1:29" ht="15.5">
      <c r="A33" s="428"/>
      <c r="B33" s="456"/>
      <c r="C33" s="447"/>
      <c r="D33" s="448"/>
      <c r="E33" s="2613"/>
      <c r="F33" s="448"/>
      <c r="G33" s="2613"/>
      <c r="H33" s="448"/>
      <c r="I33" s="447"/>
      <c r="J33" s="448"/>
      <c r="K33" s="613"/>
      <c r="L33" s="1140"/>
      <c r="M33" s="1131"/>
      <c r="N33" s="1131"/>
      <c r="O33" s="1139"/>
      <c r="P33" s="3219"/>
      <c r="Q33" s="1810"/>
      <c r="R33" s="774"/>
      <c r="S33" s="775"/>
      <c r="T33" s="774"/>
      <c r="U33" s="775"/>
      <c r="V33" s="774"/>
      <c r="W33" s="775"/>
      <c r="X33" s="1813"/>
      <c r="Y33" s="3219"/>
      <c r="Z33" s="1814"/>
      <c r="AA33" s="1811">
        <v>1</v>
      </c>
      <c r="AB33" s="1811">
        <v>1</v>
      </c>
      <c r="AC33" s="1811">
        <v>1</v>
      </c>
    </row>
    <row r="34" spans="1:29" ht="15.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9"/>
      <c r="Q34" s="1810" t="str">
        <f t="shared" si="8"/>
        <v>土地级别</v>
      </c>
      <c r="R34" s="774" t="s">
        <v>17</v>
      </c>
      <c r="S34" s="775">
        <f t="shared" si="10"/>
        <v>100</v>
      </c>
      <c r="T34" s="774" t="s">
        <v>17</v>
      </c>
      <c r="U34" s="775">
        <f t="shared" si="11"/>
        <v>100</v>
      </c>
      <c r="V34" s="774" t="s">
        <v>17</v>
      </c>
      <c r="W34" s="775">
        <f t="shared" si="12"/>
        <v>100</v>
      </c>
      <c r="X34" s="1813"/>
      <c r="Y34" s="3219"/>
      <c r="Z34" s="1814" t="str">
        <f t="shared" si="13"/>
        <v>土地级别</v>
      </c>
      <c r="AA34" s="1811">
        <f t="shared" si="3"/>
        <v>1</v>
      </c>
      <c r="AB34" s="1811">
        <f t="shared" si="4"/>
        <v>1</v>
      </c>
      <c r="AC34" s="1811">
        <f t="shared" si="5"/>
        <v>1</v>
      </c>
    </row>
    <row r="35" spans="1:29" ht="15.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9"/>
      <c r="Q35" s="1810">
        <f t="shared" si="8"/>
        <v>111</v>
      </c>
      <c r="R35" s="774" t="s">
        <v>17</v>
      </c>
      <c r="S35" s="775">
        <f t="shared" si="10"/>
        <v>100</v>
      </c>
      <c r="T35" s="774" t="s">
        <v>17</v>
      </c>
      <c r="U35" s="775">
        <f t="shared" si="11"/>
        <v>100</v>
      </c>
      <c r="V35" s="774" t="s">
        <v>17</v>
      </c>
      <c r="W35" s="775">
        <f t="shared" si="12"/>
        <v>100</v>
      </c>
      <c r="X35" s="1813"/>
      <c r="Y35" s="3219"/>
      <c r="Z35" s="1814">
        <f t="shared" si="13"/>
        <v>111</v>
      </c>
      <c r="AA35" s="1811">
        <f t="shared" si="3"/>
        <v>1</v>
      </c>
      <c r="AB35" s="1811">
        <f t="shared" si="4"/>
        <v>1</v>
      </c>
      <c r="AC35" s="1811">
        <f t="shared" si="5"/>
        <v>1</v>
      </c>
    </row>
    <row r="36" spans="1:29" ht="15.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2" t="s">
        <v>2562</v>
      </c>
      <c r="Q36" s="1810">
        <f t="shared" si="8"/>
        <v>111</v>
      </c>
      <c r="R36" s="774" t="s">
        <v>17</v>
      </c>
      <c r="S36" s="775">
        <f t="shared" si="10"/>
        <v>100</v>
      </c>
      <c r="T36" s="774" t="s">
        <v>17</v>
      </c>
      <c r="U36" s="775">
        <f t="shared" si="11"/>
        <v>100</v>
      </c>
      <c r="V36" s="774" t="s">
        <v>17</v>
      </c>
      <c r="W36" s="775">
        <f t="shared" si="12"/>
        <v>100</v>
      </c>
      <c r="X36" s="1813"/>
      <c r="Y36" s="3223" t="s">
        <v>2562</v>
      </c>
      <c r="Z36" s="1814">
        <f t="shared" si="13"/>
        <v>111</v>
      </c>
      <c r="AA36" s="1811">
        <f t="shared" si="3"/>
        <v>1</v>
      </c>
      <c r="AB36" s="1811">
        <f t="shared" si="4"/>
        <v>1</v>
      </c>
      <c r="AC36" s="1811">
        <f t="shared" si="5"/>
        <v>1</v>
      </c>
    </row>
    <row r="37" spans="1:29" s="471" customFormat="1" ht="1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3"/>
      <c r="Q37" s="1810">
        <f t="shared" si="8"/>
        <v>111</v>
      </c>
      <c r="R37" s="777" t="s">
        <v>17</v>
      </c>
      <c r="S37" s="778">
        <f t="shared" si="10"/>
        <v>100</v>
      </c>
      <c r="T37" s="777" t="s">
        <v>17</v>
      </c>
      <c r="U37" s="778">
        <f t="shared" si="11"/>
        <v>100</v>
      </c>
      <c r="V37" s="777" t="s">
        <v>17</v>
      </c>
      <c r="W37" s="778">
        <f t="shared" si="12"/>
        <v>100</v>
      </c>
      <c r="X37" s="779"/>
      <c r="Y37" s="3223"/>
      <c r="Z37" s="780">
        <f t="shared" si="13"/>
        <v>111</v>
      </c>
      <c r="AA37" s="1811">
        <f t="shared" si="3"/>
        <v>1</v>
      </c>
      <c r="AB37" s="1811">
        <f t="shared" si="4"/>
        <v>1</v>
      </c>
      <c r="AC37" s="1811">
        <f t="shared" si="5"/>
        <v>1</v>
      </c>
    </row>
    <row r="38" spans="1:29" ht="15.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3"/>
      <c r="Q38" s="1810" t="str">
        <f>B38</f>
        <v>宗地面积</v>
      </c>
      <c r="R38" s="774" t="s">
        <v>17</v>
      </c>
      <c r="S38" s="775" t="e">
        <f t="shared" si="10"/>
        <v>#N/A</v>
      </c>
      <c r="T38" s="774" t="s">
        <v>17</v>
      </c>
      <c r="U38" s="775" t="e">
        <f t="shared" si="11"/>
        <v>#N/A</v>
      </c>
      <c r="V38" s="774" t="s">
        <v>17</v>
      </c>
      <c r="W38" s="775" t="e">
        <f t="shared" si="12"/>
        <v>#N/A</v>
      </c>
      <c r="X38" s="1813"/>
      <c r="Y38" s="3223"/>
      <c r="Z38" s="1814" t="str">
        <f t="shared" si="13"/>
        <v>宗地面积</v>
      </c>
      <c r="AA38" s="1811" t="e">
        <f t="shared" si="3"/>
        <v>#N/A</v>
      </c>
      <c r="AB38" s="1811" t="e">
        <f t="shared" si="4"/>
        <v>#N/A</v>
      </c>
      <c r="AC38" s="1811" t="e">
        <f t="shared" si="5"/>
        <v>#N/A</v>
      </c>
    </row>
    <row r="39" spans="1:29" ht="15.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23"/>
      <c r="Q39" s="1810" t="str">
        <f t="shared" ref="Q39:Q45" si="14">B39</f>
        <v>宗地形状</v>
      </c>
      <c r="R39" s="774" t="s">
        <v>17</v>
      </c>
      <c r="S39" s="775">
        <f t="shared" si="10"/>
        <v>100</v>
      </c>
      <c r="T39" s="774" t="s">
        <v>17</v>
      </c>
      <c r="U39" s="775">
        <f t="shared" si="11"/>
        <v>100</v>
      </c>
      <c r="V39" s="774" t="s">
        <v>17</v>
      </c>
      <c r="W39" s="775">
        <f t="shared" si="12"/>
        <v>100</v>
      </c>
      <c r="X39" s="1813"/>
      <c r="Y39" s="3223"/>
      <c r="Z39" s="1814" t="str">
        <f t="shared" si="13"/>
        <v>宗地形状</v>
      </c>
      <c r="AA39" s="1811">
        <f t="shared" si="3"/>
        <v>1</v>
      </c>
      <c r="AB39" s="1811">
        <f t="shared" si="4"/>
        <v>1</v>
      </c>
      <c r="AC39" s="1811">
        <f t="shared" si="5"/>
        <v>1</v>
      </c>
    </row>
    <row r="40" spans="1:29" ht="15.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23"/>
      <c r="Q40" s="1810" t="str">
        <f t="shared" si="14"/>
        <v>临街宽度及深度</v>
      </c>
      <c r="R40" s="774" t="s">
        <v>17</v>
      </c>
      <c r="S40" s="775">
        <f t="shared" si="10"/>
        <v>100</v>
      </c>
      <c r="T40" s="774" t="s">
        <v>17</v>
      </c>
      <c r="U40" s="775">
        <f t="shared" si="11"/>
        <v>100</v>
      </c>
      <c r="V40" s="774" t="s">
        <v>17</v>
      </c>
      <c r="W40" s="775">
        <f t="shared" si="12"/>
        <v>100</v>
      </c>
      <c r="X40" s="1813"/>
      <c r="Y40" s="3223"/>
      <c r="Z40" s="1814" t="str">
        <f t="shared" si="13"/>
        <v>临街宽度及深度</v>
      </c>
      <c r="AA40" s="1811">
        <f t="shared" si="3"/>
        <v>1</v>
      </c>
      <c r="AB40" s="1811">
        <f t="shared" si="4"/>
        <v>1</v>
      </c>
      <c r="AC40" s="1811">
        <f t="shared" si="5"/>
        <v>1</v>
      </c>
    </row>
    <row r="41" spans="1:29" s="117" customFormat="1" ht="15.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23"/>
      <c r="Q41" s="1810" t="str">
        <f t="shared" si="14"/>
        <v>宗地开发程度</v>
      </c>
      <c r="R41" s="770" t="s">
        <v>17</v>
      </c>
      <c r="S41" s="771">
        <f t="shared" si="10"/>
        <v>100</v>
      </c>
      <c r="T41" s="770" t="s">
        <v>17</v>
      </c>
      <c r="U41" s="771">
        <f t="shared" si="11"/>
        <v>100</v>
      </c>
      <c r="V41" s="770" t="s">
        <v>17</v>
      </c>
      <c r="W41" s="771">
        <f t="shared" si="12"/>
        <v>100</v>
      </c>
      <c r="X41" s="772"/>
      <c r="Y41" s="3223"/>
      <c r="Z41" s="55" t="str">
        <f t="shared" si="13"/>
        <v>宗地开发程度</v>
      </c>
      <c r="AA41" s="773">
        <f t="shared" si="3"/>
        <v>1</v>
      </c>
      <c r="AB41" s="773">
        <f t="shared" si="4"/>
        <v>1</v>
      </c>
      <c r="AC41" s="773">
        <f t="shared" si="5"/>
        <v>1</v>
      </c>
    </row>
    <row r="42" spans="1:29" ht="15.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23" t="s">
        <v>2562</v>
      </c>
      <c r="Q42" s="1810" t="str">
        <f t="shared" si="14"/>
        <v>工程地质条件</v>
      </c>
      <c r="R42" s="774" t="s">
        <v>17</v>
      </c>
      <c r="S42" s="775">
        <f t="shared" si="10"/>
        <v>100</v>
      </c>
      <c r="T42" s="774" t="s">
        <v>17</v>
      </c>
      <c r="U42" s="775">
        <f t="shared" si="11"/>
        <v>100</v>
      </c>
      <c r="V42" s="774" t="s">
        <v>17</v>
      </c>
      <c r="W42" s="775">
        <f t="shared" si="12"/>
        <v>100</v>
      </c>
      <c r="X42" s="1813"/>
      <c r="Y42" s="3223" t="s">
        <v>2562</v>
      </c>
      <c r="Z42" s="1814" t="str">
        <f t="shared" si="13"/>
        <v>工程地质条件</v>
      </c>
      <c r="AA42" s="1811">
        <f t="shared" si="3"/>
        <v>1</v>
      </c>
      <c r="AB42" s="1811">
        <f t="shared" si="4"/>
        <v>1</v>
      </c>
      <c r="AC42" s="1811">
        <f t="shared" si="5"/>
        <v>1</v>
      </c>
    </row>
    <row r="43" spans="1:29" ht="15.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3"/>
      <c r="Q43" s="1810">
        <f t="shared" si="14"/>
        <v>111</v>
      </c>
      <c r="R43" s="774" t="s">
        <v>17</v>
      </c>
      <c r="S43" s="775">
        <f t="shared" si="10"/>
        <v>100</v>
      </c>
      <c r="T43" s="774" t="s">
        <v>17</v>
      </c>
      <c r="U43" s="775">
        <f t="shared" si="11"/>
        <v>100</v>
      </c>
      <c r="V43" s="774" t="s">
        <v>17</v>
      </c>
      <c r="W43" s="775">
        <f t="shared" si="12"/>
        <v>100</v>
      </c>
      <c r="X43" s="1813"/>
      <c r="Y43" s="3223"/>
      <c r="Z43" s="1814">
        <f t="shared" si="13"/>
        <v>111</v>
      </c>
      <c r="AA43" s="1811">
        <f t="shared" si="3"/>
        <v>1</v>
      </c>
      <c r="AB43" s="1811">
        <f t="shared" si="4"/>
        <v>1</v>
      </c>
      <c r="AC43" s="1811">
        <f t="shared" si="5"/>
        <v>1</v>
      </c>
    </row>
    <row r="44" spans="1:29" ht="15.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3"/>
      <c r="Q44" s="1810">
        <f t="shared" si="14"/>
        <v>111</v>
      </c>
      <c r="R44" s="774" t="s">
        <v>17</v>
      </c>
      <c r="S44" s="775">
        <f t="shared" si="10"/>
        <v>100</v>
      </c>
      <c r="T44" s="774" t="s">
        <v>17</v>
      </c>
      <c r="U44" s="775">
        <f t="shared" si="11"/>
        <v>100</v>
      </c>
      <c r="V44" s="774" t="s">
        <v>17</v>
      </c>
      <c r="W44" s="775">
        <f t="shared" si="12"/>
        <v>100</v>
      </c>
      <c r="X44" s="1813"/>
      <c r="Y44" s="3223"/>
      <c r="Z44" s="1814">
        <f t="shared" si="13"/>
        <v>111</v>
      </c>
      <c r="AA44" s="1811">
        <f t="shared" si="3"/>
        <v>1</v>
      </c>
      <c r="AB44" s="1811">
        <f t="shared" si="4"/>
        <v>1</v>
      </c>
      <c r="AC44" s="1811">
        <f t="shared" si="5"/>
        <v>1</v>
      </c>
    </row>
    <row r="45" spans="1:29" s="471" customFormat="1" ht="16"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3"/>
      <c r="Q45" s="1810">
        <f t="shared" si="14"/>
        <v>111</v>
      </c>
      <c r="R45" s="777" t="s">
        <v>17</v>
      </c>
      <c r="S45" s="778">
        <f t="shared" si="10"/>
        <v>100</v>
      </c>
      <c r="T45" s="777" t="s">
        <v>17</v>
      </c>
      <c r="U45" s="778">
        <f t="shared" si="11"/>
        <v>100</v>
      </c>
      <c r="V45" s="777" t="s">
        <v>17</v>
      </c>
      <c r="W45" s="778">
        <f t="shared" si="12"/>
        <v>100</v>
      </c>
      <c r="X45" s="779"/>
      <c r="Y45" s="3223"/>
      <c r="Z45" s="780">
        <f t="shared" si="13"/>
        <v>111</v>
      </c>
      <c r="AA45" s="1811">
        <f t="shared" si="3"/>
        <v>1</v>
      </c>
      <c r="AB45" s="1811">
        <f t="shared" si="4"/>
        <v>1</v>
      </c>
      <c r="AC45" s="1811">
        <f t="shared" si="5"/>
        <v>1</v>
      </c>
    </row>
    <row r="46" spans="1:29">
      <c r="A46" s="479" t="s">
        <v>2717</v>
      </c>
      <c r="B46" s="2706" t="s">
        <v>2753</v>
      </c>
      <c r="C46" s="682" t="s">
        <v>1</v>
      </c>
      <c r="D46" s="481"/>
      <c r="E46" s="482"/>
      <c r="F46" s="483"/>
      <c r="G46" s="484"/>
      <c r="H46" s="485"/>
      <c r="I46" s="482"/>
      <c r="J46" s="485"/>
      <c r="K46" s="783"/>
      <c r="L46" s="1143"/>
      <c r="M46" s="1144"/>
      <c r="N46" s="1131"/>
      <c r="O46" s="1144"/>
      <c r="P46" s="3216" t="str">
        <f>A46</f>
        <v>成交单价</v>
      </c>
      <c r="Q46" s="3216"/>
      <c r="R46" s="3211">
        <f>E46</f>
        <v>0</v>
      </c>
      <c r="S46" s="3211"/>
      <c r="T46" s="3211">
        <f>G46</f>
        <v>0</v>
      </c>
      <c r="U46" s="3211"/>
      <c r="V46" s="3211">
        <f>I46</f>
        <v>0</v>
      </c>
      <c r="W46" s="3211"/>
      <c r="X46" s="759"/>
      <c r="Y46" s="781"/>
      <c r="Z46" s="759"/>
      <c r="AA46" s="759"/>
      <c r="AB46" s="759"/>
      <c r="AC46" s="759"/>
    </row>
    <row r="47" spans="1:29" ht="14.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16" t="str">
        <f>A47</f>
        <v>比较价值（元/平方米）</v>
      </c>
      <c r="Q47" s="3216"/>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4.5" thickBot="1">
      <c r="A48" s="492" t="s">
        <v>2754</v>
      </c>
      <c r="B48" s="493"/>
      <c r="C48" s="494" t="e">
        <f>R48</f>
        <v>#DIV/0!</v>
      </c>
      <c r="D48" s="494"/>
      <c r="E48" s="494"/>
      <c r="F48" s="494"/>
      <c r="G48" s="494"/>
      <c r="H48" s="494"/>
      <c r="I48" s="494"/>
      <c r="J48" s="494"/>
      <c r="K48" s="785"/>
      <c r="L48" s="1143"/>
      <c r="M48" s="1144"/>
      <c r="N48" s="1144"/>
      <c r="O48" s="1144"/>
      <c r="P48" s="3213" t="str">
        <f>A48</f>
        <v>估价对象XX用房的比较价值（楼面单价，元/平方米）</v>
      </c>
      <c r="Q48" s="3214"/>
      <c r="R48" s="3244" t="e">
        <f>ROUND(AVERAGE(R47:V47),0)</f>
        <v>#DIV/0!</v>
      </c>
      <c r="S48" s="3244"/>
      <c r="T48" s="3244"/>
      <c r="U48" s="3244"/>
      <c r="V48" s="3244"/>
      <c r="W48" s="324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7" t="s">
        <v>2757</v>
      </c>
      <c r="D55" s="2708" t="s">
        <v>2758</v>
      </c>
      <c r="E55" s="686" t="s">
        <v>2759</v>
      </c>
      <c r="F55" s="1107" t="s">
        <v>2760</v>
      </c>
      <c r="G55" s="3199" t="s">
        <v>2761</v>
      </c>
      <c r="H55" s="3245"/>
      <c r="I55" s="144" t="s">
        <v>2762</v>
      </c>
      <c r="J55" s="2709">
        <f>项目基本情况!F35</f>
        <v>0</v>
      </c>
      <c r="K55" s="2710" t="s">
        <v>2763</v>
      </c>
      <c r="L55" s="1106"/>
      <c r="M55" s="1144"/>
      <c r="N55" s="1144"/>
      <c r="O55" s="1144"/>
    </row>
    <row r="56" spans="1:15" s="692" customFormat="1">
      <c r="A56" s="688" t="s">
        <v>2764</v>
      </c>
      <c r="B56" s="689" t="e">
        <f>C48</f>
        <v>#DIV/0!</v>
      </c>
      <c r="C56" s="690">
        <v>1</v>
      </c>
      <c r="D56" s="1163">
        <v>1</v>
      </c>
      <c r="E56" s="690">
        <f>'数据-汇总表'!E8+'数据-汇总表'!E9</f>
        <v>69600</v>
      </c>
      <c r="F56" s="1103" t="e">
        <f t="shared" ref="F56:F65" si="15">ROUND(B56*E56/10000,0)</f>
        <v>#DIV/0!</v>
      </c>
      <c r="G56" s="3198"/>
      <c r="H56" s="3216"/>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46"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46"/>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46"/>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46"/>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1"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11" t="s">
        <v>2766</v>
      </c>
      <c r="H64" s="1104">
        <f>项目基本情况!B37</f>
        <v>0</v>
      </c>
      <c r="I64" s="1108">
        <f>SUMIF(修正!A45:A56,H64,修正!H45:H56)</f>
        <v>0</v>
      </c>
      <c r="J64" s="1112"/>
      <c r="K64" s="1145"/>
      <c r="L64" s="941"/>
      <c r="M64" s="941"/>
      <c r="N64" s="941"/>
      <c r="O64" s="941"/>
    </row>
    <row r="65" spans="1:17" s="692" customFormat="1" ht="14.5" thickBot="1">
      <c r="A65" s="693" t="s">
        <v>2777</v>
      </c>
      <c r="B65" s="262" t="e">
        <f t="shared" si="17"/>
        <v>#DIV/0!</v>
      </c>
      <c r="C65" s="200">
        <f t="shared" si="16"/>
        <v>0</v>
      </c>
      <c r="D65" s="1164">
        <v>0.25</v>
      </c>
      <c r="E65" s="261">
        <f>'数据-汇总表'!E15</f>
        <v>0</v>
      </c>
      <c r="F65" s="1103" t="e">
        <f t="shared" si="15"/>
        <v>#DIV/0!</v>
      </c>
      <c r="G65" s="2712" t="s">
        <v>2771</v>
      </c>
      <c r="H65" s="1114">
        <f>项目基本情况!C37</f>
        <v>0</v>
      </c>
      <c r="I65" s="1110">
        <f>SUMIF(修正!A45:A56,H65,修正!H45:H56)</f>
        <v>0</v>
      </c>
      <c r="J65" s="1113"/>
      <c r="K65" s="1144"/>
      <c r="L65" s="941"/>
      <c r="M65" s="941"/>
      <c r="N65" s="941"/>
      <c r="O65" s="941"/>
    </row>
    <row r="66" spans="1:17" s="692" customFormat="1" thickBot="1">
      <c r="A66" s="695" t="s">
        <v>2778</v>
      </c>
      <c r="B66" s="696" t="s">
        <v>28</v>
      </c>
      <c r="C66" s="696" t="s">
        <v>29</v>
      </c>
      <c r="D66" s="696" t="s">
        <v>1025</v>
      </c>
      <c r="E66" s="696">
        <f>IF(B46="楼面地价",SUM(E56:E65),'数据-汇总表'!D3)</f>
        <v>69600</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1.5" thickBot="1">
      <c r="A69" s="763" t="s">
        <v>2671</v>
      </c>
      <c r="B69" s="759"/>
      <c r="C69" s="764"/>
      <c r="D69" s="764"/>
      <c r="E69" s="764"/>
      <c r="F69" s="765"/>
      <c r="G69" s="765"/>
      <c r="H69" s="764"/>
      <c r="I69" s="764"/>
      <c r="J69" s="1159"/>
      <c r="K69" s="1160"/>
      <c r="L69" s="1161"/>
      <c r="M69" s="1159"/>
      <c r="N69" s="1159"/>
      <c r="O69" s="1159"/>
      <c r="P69" s="503"/>
      <c r="Q69" s="504"/>
    </row>
    <row r="70" spans="1:17" s="508" customFormat="1">
      <c r="A70" s="2713" t="s">
        <v>2779</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2780</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4.5" thickBot="1">
      <c r="A72" s="515" t="s">
        <v>2582</v>
      </c>
      <c r="B72" s="516"/>
      <c r="C72" s="517"/>
      <c r="D72" s="518"/>
      <c r="E72" s="518"/>
      <c r="F72" s="518"/>
      <c r="G72" s="518"/>
      <c r="H72" s="518"/>
      <c r="I72" s="518"/>
      <c r="J72" s="518"/>
      <c r="K72" s="518"/>
      <c r="L72" s="518"/>
      <c r="M72" s="519"/>
      <c r="N72" s="518"/>
      <c r="O72" s="1162"/>
      <c r="P72" s="504"/>
      <c r="Q72" s="504"/>
    </row>
    <row r="73" spans="1:17" s="117" customFormat="1">
      <c r="A73" s="521" t="s">
        <v>2547</v>
      </c>
      <c r="B73" s="510"/>
      <c r="C73" s="522" t="s">
        <v>2649</v>
      </c>
      <c r="D73" s="523"/>
      <c r="E73" s="523"/>
      <c r="F73" s="523"/>
      <c r="G73" s="523"/>
      <c r="H73" s="523"/>
      <c r="I73" s="523"/>
      <c r="J73" s="523"/>
      <c r="K73" s="523"/>
      <c r="L73" s="524"/>
      <c r="M73" s="525"/>
      <c r="N73" s="1151"/>
      <c r="O73" s="1151"/>
      <c r="P73" s="526"/>
      <c r="Q73" s="504"/>
    </row>
    <row r="74" spans="1:17" s="117" customFormat="1" ht="14.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4.5" thickBot="1">
      <c r="A76" s="534"/>
      <c r="B76" s="535"/>
      <c r="C76" s="536"/>
      <c r="D76" s="536"/>
      <c r="E76" s="536"/>
      <c r="F76" s="536"/>
      <c r="G76" s="536"/>
      <c r="H76" s="536"/>
      <c r="I76" s="536"/>
      <c r="J76" s="536"/>
      <c r="K76" s="536"/>
      <c r="L76" s="536"/>
      <c r="M76" s="537"/>
      <c r="N76" s="1153"/>
      <c r="O76" s="1153"/>
      <c r="P76" s="45"/>
      <c r="Q76" s="504"/>
    </row>
    <row r="77" spans="1:17" ht="28.5" thickTop="1">
      <c r="A77" s="534"/>
      <c r="B77" s="538" t="s">
        <v>2554</v>
      </c>
      <c r="C77" s="539"/>
      <c r="D77" s="539"/>
      <c r="E77" s="539"/>
      <c r="F77" s="539"/>
      <c r="G77" s="539"/>
      <c r="H77" s="539"/>
      <c r="I77" s="539"/>
      <c r="J77" s="539"/>
      <c r="K77" s="540"/>
      <c r="L77" s="541"/>
      <c r="M77" s="542"/>
      <c r="N77" s="1152"/>
      <c r="O77" s="1152"/>
      <c r="P77" s="45"/>
      <c r="Q77" s="504"/>
    </row>
    <row r="78" spans="1:17" ht="14.5" thickBot="1">
      <c r="A78" s="534"/>
      <c r="B78" s="543"/>
      <c r="C78" s="544"/>
      <c r="D78" s="544"/>
      <c r="E78" s="544"/>
      <c r="F78" s="544"/>
      <c r="G78" s="544"/>
      <c r="H78" s="544"/>
      <c r="I78" s="544"/>
      <c r="J78" s="544"/>
      <c r="K78" s="544"/>
      <c r="L78" s="544"/>
      <c r="M78" s="545"/>
      <c r="N78" s="1153"/>
      <c r="O78" s="1153"/>
      <c r="P78" s="45"/>
      <c r="Q78" s="504"/>
    </row>
    <row r="79" spans="1:17" ht="14.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5" thickBot="1">
      <c r="A83" s="553"/>
      <c r="B83" s="543"/>
      <c r="C83" s="560"/>
      <c r="D83" s="536"/>
      <c r="E83" s="536"/>
      <c r="F83" s="536"/>
      <c r="G83" s="536"/>
      <c r="H83" s="536"/>
      <c r="I83" s="536"/>
      <c r="J83" s="536"/>
      <c r="K83" s="536"/>
      <c r="L83" s="536"/>
      <c r="M83" s="537"/>
      <c r="N83" s="1153"/>
      <c r="O83" s="1153"/>
      <c r="P83" s="558"/>
      <c r="Q83" s="559"/>
    </row>
    <row r="84" spans="1:17" s="471" customFormat="1" ht="14.5" thickTop="1">
      <c r="A84" s="553"/>
      <c r="B84" s="538">
        <f>B13</f>
        <v>111</v>
      </c>
      <c r="C84" s="554"/>
      <c r="D84" s="554"/>
      <c r="E84" s="554"/>
      <c r="F84" s="554"/>
      <c r="G84" s="554"/>
      <c r="H84" s="555"/>
      <c r="I84" s="555"/>
      <c r="J84" s="555"/>
      <c r="K84" s="555"/>
      <c r="L84" s="556"/>
      <c r="M84" s="557"/>
      <c r="N84" s="1154"/>
      <c r="O84" s="1154"/>
      <c r="P84" s="470"/>
      <c r="Q84" s="561"/>
    </row>
    <row r="85" spans="1:17" s="471" customFormat="1" ht="14.5" thickBot="1">
      <c r="A85" s="553"/>
      <c r="B85" s="543"/>
      <c r="C85" s="560"/>
      <c r="D85" s="560"/>
      <c r="E85" s="560"/>
      <c r="F85" s="560"/>
      <c r="G85" s="560"/>
      <c r="H85" s="562"/>
      <c r="I85" s="562"/>
      <c r="J85" s="562"/>
      <c r="K85" s="562"/>
      <c r="L85" s="562"/>
      <c r="M85" s="563"/>
      <c r="N85" s="1154"/>
      <c r="O85" s="1154"/>
      <c r="P85" s="558"/>
      <c r="Q85" s="559"/>
    </row>
    <row r="86" spans="1:17" s="471" customFormat="1" ht="14.5" thickTop="1">
      <c r="A86" s="553"/>
      <c r="B86" s="546">
        <f>B14</f>
        <v>111</v>
      </c>
      <c r="C86" s="523"/>
      <c r="D86" s="523"/>
      <c r="E86" s="523"/>
      <c r="F86" s="523"/>
      <c r="G86" s="523"/>
      <c r="H86" s="564"/>
      <c r="I86" s="564"/>
      <c r="J86" s="564"/>
      <c r="K86" s="564"/>
      <c r="L86" s="565"/>
      <c r="M86" s="566"/>
      <c r="N86" s="1154"/>
      <c r="O86" s="1154"/>
      <c r="P86" s="567"/>
      <c r="Q86" s="559"/>
    </row>
    <row r="87" spans="1:17" s="471" customFormat="1" ht="14.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4.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4.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4.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8.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8.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4.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4.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4.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8.5" thickTop="1">
      <c r="A106" s="534"/>
      <c r="B106" s="538" t="s">
        <v>2688</v>
      </c>
      <c r="C106" s="554"/>
      <c r="D106" s="554"/>
      <c r="E106" s="554"/>
      <c r="F106" s="554"/>
      <c r="G106" s="554"/>
      <c r="H106" s="583"/>
      <c r="I106" s="583"/>
      <c r="J106" s="583"/>
      <c r="K106" s="584"/>
      <c r="L106" s="585"/>
      <c r="M106" s="586"/>
      <c r="N106" s="1152"/>
      <c r="O106" s="1152"/>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4.5" thickTop="1">
      <c r="A108" s="534"/>
      <c r="B108" s="538" t="s">
        <v>2747</v>
      </c>
      <c r="C108" s="583"/>
      <c r="D108" s="583"/>
      <c r="E108" s="583"/>
      <c r="F108" s="583"/>
      <c r="G108" s="583"/>
      <c r="H108" s="583"/>
      <c r="I108" s="583"/>
      <c r="J108" s="583"/>
      <c r="K108" s="584"/>
      <c r="L108" s="585"/>
      <c r="M108" s="586"/>
      <c r="N108" s="1152"/>
      <c r="O108" s="1152"/>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5" thickTop="1">
      <c r="A110" s="534"/>
      <c r="B110" s="546">
        <f>B35</f>
        <v>111</v>
      </c>
      <c r="C110" s="554"/>
      <c r="D110" s="554"/>
      <c r="E110" s="554"/>
      <c r="F110" s="554"/>
      <c r="G110" s="587"/>
      <c r="H110" s="587"/>
      <c r="I110" s="587"/>
      <c r="J110" s="587"/>
      <c r="K110" s="588"/>
      <c r="L110" s="589"/>
      <c r="M110" s="590"/>
      <c r="N110" s="1152"/>
      <c r="O110" s="1152"/>
      <c r="P110" s="45"/>
      <c r="Q110" s="504"/>
    </row>
    <row r="111" spans="1:17" ht="14.5" thickBot="1">
      <c r="A111" s="534"/>
      <c r="B111" s="569"/>
      <c r="C111" s="560"/>
      <c r="D111" s="560"/>
      <c r="E111" s="560"/>
      <c r="F111" s="560"/>
      <c r="G111" s="591"/>
      <c r="H111" s="591"/>
      <c r="I111" s="591"/>
      <c r="J111" s="591"/>
      <c r="K111" s="591"/>
      <c r="L111" s="591"/>
      <c r="M111" s="592"/>
      <c r="N111" s="1153"/>
      <c r="O111" s="1153"/>
      <c r="P111" s="45"/>
      <c r="Q111" s="504"/>
    </row>
    <row r="112" spans="1:17" ht="14.5" thickTop="1">
      <c r="A112" s="675"/>
      <c r="B112" s="538">
        <f>B36</f>
        <v>111</v>
      </c>
      <c r="C112" s="523"/>
      <c r="D112" s="523"/>
      <c r="E112" s="523"/>
      <c r="F112" s="523"/>
      <c r="G112" s="583"/>
      <c r="H112" s="583"/>
      <c r="I112" s="583"/>
      <c r="J112" s="583"/>
      <c r="K112" s="584"/>
      <c r="L112" s="585"/>
      <c r="M112" s="586"/>
      <c r="N112" s="1152"/>
      <c r="O112" s="1152"/>
      <c r="P112" s="45"/>
      <c r="Q112" s="504"/>
    </row>
    <row r="113" spans="1:17" ht="14.5" thickBot="1">
      <c r="A113" s="534"/>
      <c r="B113" s="543"/>
      <c r="C113" s="570"/>
      <c r="D113" s="570"/>
      <c r="E113" s="570"/>
      <c r="F113" s="570"/>
      <c r="G113" s="536"/>
      <c r="H113" s="536"/>
      <c r="I113" s="536"/>
      <c r="J113" s="536"/>
      <c r="K113" s="536"/>
      <c r="L113" s="536"/>
      <c r="M113" s="537"/>
      <c r="N113" s="1153"/>
      <c r="O113" s="1153"/>
      <c r="P113" s="45"/>
      <c r="Q113" s="504"/>
    </row>
    <row r="114" spans="1:17" s="471" customFormat="1" ht="14.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5" thickBot="1">
      <c r="A118" s="534"/>
      <c r="B118" s="543"/>
      <c r="C118" s="570"/>
      <c r="D118" s="591"/>
      <c r="E118" s="591"/>
      <c r="F118" s="591"/>
      <c r="G118" s="591"/>
      <c r="H118" s="591"/>
      <c r="I118" s="591"/>
      <c r="J118" s="591"/>
      <c r="K118" s="591"/>
      <c r="L118" s="591"/>
      <c r="M118" s="592"/>
      <c r="N118" s="1153"/>
      <c r="O118" s="1153"/>
      <c r="P118" s="45"/>
      <c r="Q118" s="504"/>
    </row>
    <row r="119" spans="1:17" ht="14.5" thickTop="1">
      <c r="A119" s="599"/>
      <c r="B119" s="538" t="s">
        <v>2789</v>
      </c>
      <c r="C119" s="583"/>
      <c r="D119" s="583"/>
      <c r="E119" s="583"/>
      <c r="F119" s="583"/>
      <c r="G119" s="583"/>
      <c r="H119" s="583"/>
      <c r="I119" s="583"/>
      <c r="J119" s="583"/>
      <c r="K119" s="584"/>
      <c r="L119" s="585"/>
      <c r="M119" s="586"/>
      <c r="N119" s="1152"/>
      <c r="O119" s="1152"/>
      <c r="P119" s="45"/>
      <c r="Q119" s="504"/>
    </row>
    <row r="120" spans="1:17" ht="14.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4.5" thickTop="1">
      <c r="A121" s="599"/>
      <c r="B121" s="538" t="s">
        <v>2790</v>
      </c>
      <c r="C121" s="554"/>
      <c r="D121" s="554"/>
      <c r="E121" s="554"/>
      <c r="F121" s="583"/>
      <c r="G121" s="583"/>
      <c r="H121" s="583"/>
      <c r="I121" s="583"/>
      <c r="J121" s="583"/>
      <c r="K121" s="584"/>
      <c r="L121" s="585"/>
      <c r="M121" s="586"/>
      <c r="N121" s="1152"/>
      <c r="O121" s="1152"/>
      <c r="P121" s="45"/>
      <c r="Q121" s="504"/>
    </row>
    <row r="122" spans="1:17" ht="14.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4.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4.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4.5" thickTop="1">
      <c r="A125" s="599"/>
      <c r="B125" s="538" t="s">
        <v>2792</v>
      </c>
      <c r="C125" s="554"/>
      <c r="D125" s="554"/>
      <c r="E125" s="583"/>
      <c r="F125" s="583"/>
      <c r="G125" s="583"/>
      <c r="H125" s="583"/>
      <c r="I125" s="583"/>
      <c r="J125" s="583"/>
      <c r="K125" s="584"/>
      <c r="L125" s="585"/>
      <c r="M125" s="586"/>
      <c r="N125" s="1152"/>
      <c r="O125" s="1152"/>
      <c r="P125" s="45"/>
      <c r="Q125" s="504"/>
    </row>
    <row r="126" spans="1:17" ht="14.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5" thickTop="1">
      <c r="A127" s="599"/>
      <c r="B127" s="538">
        <f>B43</f>
        <v>111</v>
      </c>
      <c r="C127" s="554"/>
      <c r="D127" s="554"/>
      <c r="E127" s="554"/>
      <c r="F127" s="554"/>
      <c r="G127" s="554"/>
      <c r="H127" s="583"/>
      <c r="I127" s="583"/>
      <c r="J127" s="583"/>
      <c r="K127" s="584"/>
      <c r="L127" s="585"/>
      <c r="M127" s="586"/>
      <c r="N127" s="1152"/>
      <c r="O127" s="1152"/>
      <c r="P127" s="45"/>
      <c r="Q127" s="504"/>
    </row>
    <row r="128" spans="1:17" ht="14.5" thickBot="1">
      <c r="A128" s="534"/>
      <c r="B128" s="543"/>
      <c r="C128" s="560"/>
      <c r="D128" s="560"/>
      <c r="E128" s="560"/>
      <c r="F128" s="560"/>
      <c r="G128" s="536"/>
      <c r="H128" s="536"/>
      <c r="I128" s="536"/>
      <c r="J128" s="536"/>
      <c r="K128" s="536"/>
      <c r="L128" s="536"/>
      <c r="M128" s="537"/>
      <c r="N128" s="1153"/>
      <c r="O128" s="1153"/>
      <c r="P128" s="45"/>
      <c r="Q128" s="504"/>
    </row>
    <row r="129" spans="1:17" ht="14.5" thickTop="1">
      <c r="A129" s="599"/>
      <c r="B129" s="538">
        <f>B44</f>
        <v>111</v>
      </c>
      <c r="C129" s="523"/>
      <c r="D129" s="523"/>
      <c r="E129" s="523"/>
      <c r="F129" s="523"/>
      <c r="G129" s="583"/>
      <c r="H129" s="583"/>
      <c r="I129" s="583"/>
      <c r="J129" s="583"/>
      <c r="K129" s="584"/>
      <c r="L129" s="585"/>
      <c r="M129" s="586"/>
      <c r="N129" s="1152"/>
      <c r="O129" s="1152"/>
      <c r="P129" s="45"/>
      <c r="Q129" s="504"/>
    </row>
    <row r="130" spans="1:17" ht="14.5" thickBot="1">
      <c r="A130" s="534"/>
      <c r="B130" s="543"/>
      <c r="C130" s="570"/>
      <c r="D130" s="570"/>
      <c r="E130" s="570"/>
      <c r="F130" s="570"/>
      <c r="G130" s="536"/>
      <c r="H130" s="536"/>
      <c r="I130" s="536"/>
      <c r="J130" s="536"/>
      <c r="K130" s="536"/>
      <c r="L130" s="536"/>
      <c r="M130" s="537"/>
      <c r="N130" s="1153"/>
      <c r="O130" s="1153"/>
      <c r="P130" s="45"/>
      <c r="Q130" s="504"/>
    </row>
    <row r="131" spans="1:17" s="471" customFormat="1" ht="14.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activeCell="L17" sqref="L17"/>
    </sheetView>
  </sheetViews>
  <sheetFormatPr defaultColWidth="9" defaultRowHeight="14"/>
  <cols>
    <col min="1" max="1" width="14.36328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f>F61</f>
        <v>3122</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ROUND(IF(D3="",B2*10000/'数据-汇总表'!E3,B2*10000/D3),0)</f>
        <v>445</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2642</v>
      </c>
      <c r="B4" s="402"/>
      <c r="C4" s="3199" t="s">
        <v>2643</v>
      </c>
      <c r="D4" s="3200"/>
      <c r="E4" s="3201" t="s">
        <v>2644</v>
      </c>
      <c r="F4" s="3202"/>
      <c r="G4" s="3199" t="s">
        <v>2645</v>
      </c>
      <c r="H4" s="3200"/>
      <c r="I4" s="3199" t="s">
        <v>2646</v>
      </c>
      <c r="J4" s="3200"/>
      <c r="K4" s="610" t="s">
        <v>2647</v>
      </c>
      <c r="L4" s="1130"/>
      <c r="M4" s="1131"/>
      <c r="N4" s="1131"/>
      <c r="O4" s="1131"/>
      <c r="P4" s="3203" t="s">
        <v>2648</v>
      </c>
      <c r="Q4" s="3204"/>
      <c r="R4" s="3186" t="s">
        <v>2644</v>
      </c>
      <c r="S4" s="3187"/>
      <c r="T4" s="3186" t="s">
        <v>2645</v>
      </c>
      <c r="U4" s="3187"/>
      <c r="V4" s="3211" t="s">
        <v>2646</v>
      </c>
      <c r="W4" s="3211"/>
      <c r="X4" s="1813"/>
      <c r="Y4" s="3186" t="s">
        <v>2648</v>
      </c>
      <c r="Z4" s="3187"/>
      <c r="AA4" s="3181" t="s">
        <v>2644</v>
      </c>
      <c r="AB4" s="3182" t="s">
        <v>2645</v>
      </c>
      <c r="AC4" s="3181" t="s">
        <v>2646</v>
      </c>
    </row>
    <row r="5" spans="1:29">
      <c r="A5" s="404"/>
      <c r="B5" s="405"/>
      <c r="C5" s="3192" t="s">
        <v>2539</v>
      </c>
      <c r="D5" s="3193"/>
      <c r="E5" s="3190" t="s">
        <v>2540</v>
      </c>
      <c r="F5" s="3191"/>
      <c r="G5" s="3192" t="s">
        <v>2541</v>
      </c>
      <c r="H5" s="3193"/>
      <c r="I5" s="3192" t="s">
        <v>2542</v>
      </c>
      <c r="J5" s="3193"/>
      <c r="K5" s="610"/>
      <c r="L5" s="1130"/>
      <c r="M5" s="1131"/>
      <c r="N5" s="1131"/>
      <c r="O5" s="1131"/>
      <c r="P5" s="3205"/>
      <c r="Q5" s="3206"/>
      <c r="R5" s="3188"/>
      <c r="S5" s="3189"/>
      <c r="T5" s="3188"/>
      <c r="U5" s="3189"/>
      <c r="V5" s="3211"/>
      <c r="W5" s="3211"/>
      <c r="X5" s="1813"/>
      <c r="Y5" s="3188"/>
      <c r="Z5" s="3189"/>
      <c r="AA5" s="3182"/>
      <c r="AB5" s="3182"/>
      <c r="AC5" s="3182"/>
    </row>
    <row r="6" spans="1:29" ht="15" thickBot="1">
      <c r="A6" s="406"/>
      <c r="B6" s="407"/>
      <c r="C6" s="3247" t="s">
        <v>2794</v>
      </c>
      <c r="D6" s="3248"/>
      <c r="E6" s="3249" t="s">
        <v>2794</v>
      </c>
      <c r="F6" s="3250"/>
      <c r="G6" s="3247" t="s">
        <v>2794</v>
      </c>
      <c r="H6" s="3248"/>
      <c r="I6" s="3247" t="s">
        <v>2794</v>
      </c>
      <c r="J6" s="3248"/>
      <c r="K6" s="610" t="s">
        <v>2544</v>
      </c>
      <c r="L6" s="1130"/>
      <c r="M6" s="1131"/>
      <c r="N6" s="1131"/>
      <c r="O6" s="1131"/>
      <c r="P6" s="3207"/>
      <c r="Q6" s="3208"/>
      <c r="R6" s="3188"/>
      <c r="S6" s="3189"/>
      <c r="T6" s="3209"/>
      <c r="U6" s="3210"/>
      <c r="V6" s="3211"/>
      <c r="W6" s="3211"/>
      <c r="X6" s="1813"/>
      <c r="Y6" s="3209"/>
      <c r="Z6" s="3210"/>
      <c r="AA6" s="3183"/>
      <c r="AB6" s="3183"/>
      <c r="AC6" s="3183"/>
    </row>
    <row r="7" spans="1:29" s="117" customFormat="1" ht="14.5" thickBot="1">
      <c r="A7" s="408" t="s">
        <v>2545</v>
      </c>
      <c r="B7" s="409"/>
      <c r="C7" s="410">
        <f>'数据-取费表'!B2</f>
        <v>43868</v>
      </c>
      <c r="D7" s="411">
        <v>100</v>
      </c>
      <c r="E7" s="412" t="str">
        <f>Sheet1!H14</f>
        <v>2019-01-29</v>
      </c>
      <c r="F7" s="413">
        <f>SUMIF(65:65,YEAR(E7)&amp;"-"&amp;INT((MONTH(E7)+2)/3),66:66)</f>
        <v>98</v>
      </c>
      <c r="G7" s="2698" t="str">
        <f>Sheet1!H16</f>
        <v>2019-01-29</v>
      </c>
      <c r="H7" s="411">
        <f>SUMIF(65:65,YEAR(G7)&amp;"-"&amp;INT((MONTH(G7)+2)/3),66:66)</f>
        <v>98</v>
      </c>
      <c r="I7" s="2698" t="str">
        <f>Sheet1!H17</f>
        <v>2019-01-29</v>
      </c>
      <c r="J7" s="411">
        <f>SUMIF(65:65,YEAR(I7)&amp;"-"&amp;INT((MONTH(I7)+2)/3),66:66)</f>
        <v>98</v>
      </c>
      <c r="K7" s="611"/>
      <c r="L7" s="1132"/>
      <c r="M7" s="1133"/>
      <c r="N7" s="1133"/>
      <c r="O7" s="1133"/>
      <c r="P7" s="3184" t="s">
        <v>2546</v>
      </c>
      <c r="Q7" s="3212"/>
      <c r="R7" s="770" t="s">
        <v>17</v>
      </c>
      <c r="S7" s="771">
        <f t="shared" ref="S7:S15" si="0">F7</f>
        <v>98</v>
      </c>
      <c r="T7" s="770" t="s">
        <v>17</v>
      </c>
      <c r="U7" s="771">
        <f t="shared" ref="U7:U15" si="1">H7</f>
        <v>98</v>
      </c>
      <c r="V7" s="770" t="s">
        <v>17</v>
      </c>
      <c r="W7" s="771">
        <f t="shared" ref="W7:W15" si="2">J7</f>
        <v>98</v>
      </c>
      <c r="X7" s="772"/>
      <c r="Y7" s="3184" t="s">
        <v>2546</v>
      </c>
      <c r="Z7" s="3185"/>
      <c r="AA7" s="773">
        <f>D7/F7</f>
        <v>1.0204081632653061</v>
      </c>
      <c r="AB7" s="773">
        <f>D7/H7</f>
        <v>1.0204081632653061</v>
      </c>
      <c r="AC7" s="773">
        <f>D7/J7</f>
        <v>1.0204081632653061</v>
      </c>
    </row>
    <row r="8" spans="1:29" s="117" customFormat="1" ht="14.5" thickBot="1">
      <c r="A8" s="408" t="s">
        <v>2547</v>
      </c>
      <c r="B8" s="409"/>
      <c r="C8" s="414" t="s">
        <v>2548</v>
      </c>
      <c r="D8" s="411">
        <v>100</v>
      </c>
      <c r="E8" s="414" t="s">
        <v>3238</v>
      </c>
      <c r="F8" s="413">
        <f>SUMIF(68:68,E8,69:69)-SUMIF(68:68,C8,69:69)+100</f>
        <v>100</v>
      </c>
      <c r="G8" s="414" t="s">
        <v>3238</v>
      </c>
      <c r="H8" s="411">
        <f>SUMIF(68:68,G8,69:69)-SUMIF(68:68,C8,69:69)+100</f>
        <v>100</v>
      </c>
      <c r="I8" s="414" t="s">
        <v>3238</v>
      </c>
      <c r="J8" s="411">
        <f>SUMIF(68:68,I8,69:69)-SUMIF(68:68,C8,69:69)+100</f>
        <v>100</v>
      </c>
      <c r="K8" s="611"/>
      <c r="L8" s="1132"/>
      <c r="M8" s="1133"/>
      <c r="N8" s="1133"/>
      <c r="O8" s="1133"/>
      <c r="P8" s="3184" t="s">
        <v>2549</v>
      </c>
      <c r="Q8" s="3185"/>
      <c r="R8" s="770" t="s">
        <v>17</v>
      </c>
      <c r="S8" s="771">
        <f t="shared" si="0"/>
        <v>100</v>
      </c>
      <c r="T8" s="770" t="s">
        <v>17</v>
      </c>
      <c r="U8" s="771">
        <f t="shared" si="1"/>
        <v>100</v>
      </c>
      <c r="V8" s="770" t="s">
        <v>17</v>
      </c>
      <c r="W8" s="771">
        <f t="shared" si="2"/>
        <v>100</v>
      </c>
      <c r="X8" s="772"/>
      <c r="Y8" s="3184" t="s">
        <v>2549</v>
      </c>
      <c r="Z8" s="3185"/>
      <c r="AA8" s="773">
        <f t="shared" ref="AA8:AA40" si="3">D8/F8</f>
        <v>1</v>
      </c>
      <c r="AB8" s="773">
        <f t="shared" ref="AB8:AB40" si="4">D8/H8</f>
        <v>1</v>
      </c>
      <c r="AC8" s="773">
        <f t="shared" ref="AC8:AC40" si="5">D8/J8</f>
        <v>1</v>
      </c>
    </row>
    <row r="9" spans="1:29" s="117" customFormat="1">
      <c r="A9" s="415" t="s">
        <v>2550</v>
      </c>
      <c r="B9" s="71" t="s">
        <v>2551</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2"/>
      <c r="M9" s="1133"/>
      <c r="N9" s="1133"/>
      <c r="O9" s="1134"/>
      <c r="P9" s="3216" t="s">
        <v>2552</v>
      </c>
      <c r="Q9" s="1795" t="str">
        <f t="shared" ref="Q9:Q15" si="6">B9</f>
        <v>用途</v>
      </c>
      <c r="R9" s="770" t="s">
        <v>17</v>
      </c>
      <c r="S9" s="771">
        <f t="shared" si="0"/>
        <v>100</v>
      </c>
      <c r="T9" s="770" t="s">
        <v>17</v>
      </c>
      <c r="U9" s="771">
        <f t="shared" si="1"/>
        <v>100</v>
      </c>
      <c r="V9" s="770" t="s">
        <v>17</v>
      </c>
      <c r="W9" s="771">
        <f t="shared" si="2"/>
        <v>100</v>
      </c>
      <c r="X9" s="772"/>
      <c r="Y9" s="3031" t="s">
        <v>2553</v>
      </c>
      <c r="Z9" s="55" t="str">
        <f t="shared" ref="Z9:Z15" si="7">Q9</f>
        <v>用途</v>
      </c>
      <c r="AA9" s="773">
        <f t="shared" si="3"/>
        <v>1</v>
      </c>
      <c r="AB9" s="773">
        <f t="shared" si="4"/>
        <v>1</v>
      </c>
      <c r="AC9" s="773">
        <f t="shared" si="5"/>
        <v>1</v>
      </c>
    </row>
    <row r="10" spans="1:29" s="427" customFormat="1" ht="28">
      <c r="A10" s="421"/>
      <c r="B10" s="422" t="s">
        <v>2554</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216"/>
      <c r="Q10" s="1795" t="str">
        <f t="shared" si="6"/>
        <v>土地使用年限（年）</v>
      </c>
      <c r="R10" s="770" t="s">
        <v>17</v>
      </c>
      <c r="S10" s="771">
        <f t="shared" si="0"/>
        <v>101</v>
      </c>
      <c r="T10" s="770" t="s">
        <v>17</v>
      </c>
      <c r="U10" s="771">
        <f t="shared" si="1"/>
        <v>101</v>
      </c>
      <c r="V10" s="770" t="s">
        <v>17</v>
      </c>
      <c r="W10" s="771">
        <f t="shared" si="2"/>
        <v>101</v>
      </c>
      <c r="X10" s="772"/>
      <c r="Y10" s="3031"/>
      <c r="Z10" s="55" t="str">
        <f t="shared" si="7"/>
        <v>土地使用年限（年）</v>
      </c>
      <c r="AA10" s="773">
        <f t="shared" si="3"/>
        <v>0.99009900990099009</v>
      </c>
      <c r="AB10" s="773">
        <f t="shared" si="4"/>
        <v>0.99009900990099009</v>
      </c>
      <c r="AC10" s="773">
        <f t="shared" si="5"/>
        <v>0.99009900990099009</v>
      </c>
    </row>
    <row r="11" spans="1:29" ht="15.5">
      <c r="A11" s="428"/>
      <c r="B11" s="422" t="s">
        <v>2555</v>
      </c>
      <c r="C11" s="429">
        <f>'数据-汇总表'!I4</f>
        <v>1.1200000000000001</v>
      </c>
      <c r="D11" s="136">
        <v>100</v>
      </c>
      <c r="E11" s="429">
        <v>2</v>
      </c>
      <c r="F11" s="136">
        <f>LOOKUP(E11,75:75,76:76)-LOOKUP(C11,75:75,76:76)+100</f>
        <v>102</v>
      </c>
      <c r="G11" s="430">
        <v>2</v>
      </c>
      <c r="H11" s="136">
        <f>LOOKUP(G11,75:75,76:76)-LOOKUP(C11,75:75,76:76)+100</f>
        <v>102</v>
      </c>
      <c r="I11" s="429">
        <v>2</v>
      </c>
      <c r="J11" s="136">
        <f>LOOKUP(I11,75:75,76:76)-LOOKUP(C11,75:75,76:76)+100</f>
        <v>102</v>
      </c>
      <c r="K11" s="673">
        <v>2</v>
      </c>
      <c r="L11" s="1138"/>
      <c r="M11" s="1131"/>
      <c r="N11" s="1131"/>
      <c r="O11" s="1139"/>
      <c r="P11" s="3216"/>
      <c r="Q11" s="1795" t="str">
        <f t="shared" si="6"/>
        <v>容积率</v>
      </c>
      <c r="R11" s="770" t="s">
        <v>17</v>
      </c>
      <c r="S11" s="771">
        <f t="shared" si="0"/>
        <v>102</v>
      </c>
      <c r="T11" s="770" t="s">
        <v>17</v>
      </c>
      <c r="U11" s="771">
        <f t="shared" si="1"/>
        <v>102</v>
      </c>
      <c r="V11" s="770" t="s">
        <v>17</v>
      </c>
      <c r="W11" s="771">
        <f t="shared" si="2"/>
        <v>102</v>
      </c>
      <c r="X11" s="772"/>
      <c r="Y11" s="3031"/>
      <c r="Z11" s="55" t="str">
        <f t="shared" si="7"/>
        <v>容积率</v>
      </c>
      <c r="AA11" s="773">
        <f t="shared" si="3"/>
        <v>0.98039215686274506</v>
      </c>
      <c r="AB11" s="773">
        <f t="shared" si="4"/>
        <v>0.98039215686274506</v>
      </c>
      <c r="AC11" s="773">
        <f t="shared" si="5"/>
        <v>0.98039215686274506</v>
      </c>
    </row>
    <row r="12" spans="1:29" s="117" customFormat="1" ht="15.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6"/>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0">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8" t="s">
        <v>2557</v>
      </c>
      <c r="Q15" s="1810" t="str">
        <f t="shared" si="6"/>
        <v>产业集聚程度</v>
      </c>
      <c r="R15" s="774" t="s">
        <v>17</v>
      </c>
      <c r="S15" s="775">
        <f t="shared" si="0"/>
        <v>100</v>
      </c>
      <c r="T15" s="774" t="s">
        <v>17</v>
      </c>
      <c r="U15" s="775">
        <f t="shared" si="1"/>
        <v>100</v>
      </c>
      <c r="V15" s="774" t="s">
        <v>17</v>
      </c>
      <c r="W15" s="775">
        <f t="shared" si="2"/>
        <v>100</v>
      </c>
      <c r="X15" s="1813"/>
      <c r="Y15" s="3218" t="s">
        <v>2557</v>
      </c>
      <c r="Z15" s="1814" t="str">
        <f t="shared" si="7"/>
        <v>产业集聚程度</v>
      </c>
      <c r="AA15" s="1811">
        <f t="shared" si="3"/>
        <v>1</v>
      </c>
      <c r="AB15" s="1811">
        <f t="shared" si="4"/>
        <v>1</v>
      </c>
      <c r="AC15" s="1811">
        <f t="shared" si="5"/>
        <v>1</v>
      </c>
    </row>
    <row r="16" spans="1:29" ht="15.5">
      <c r="A16" s="428"/>
      <c r="B16" s="630"/>
      <c r="C16" s="447"/>
      <c r="D16" s="448"/>
      <c r="E16" s="2613"/>
      <c r="F16" s="448"/>
      <c r="G16" s="2613"/>
      <c r="H16" s="450"/>
      <c r="I16" s="2613"/>
      <c r="J16" s="448"/>
      <c r="K16" s="672"/>
      <c r="L16" s="1140"/>
      <c r="M16" s="1131"/>
      <c r="N16" s="1131"/>
      <c r="O16" s="1139"/>
      <c r="P16" s="3219"/>
      <c r="Q16" s="1810"/>
      <c r="R16" s="774"/>
      <c r="S16" s="775"/>
      <c r="T16" s="774"/>
      <c r="U16" s="775"/>
      <c r="V16" s="774"/>
      <c r="W16" s="775"/>
      <c r="X16" s="1813"/>
      <c r="Y16" s="3219"/>
      <c r="Z16" s="1814"/>
      <c r="AA16" s="1811">
        <v>1</v>
      </c>
      <c r="AB16" s="1811">
        <v>1</v>
      </c>
      <c r="AC16" s="1811">
        <v>1</v>
      </c>
    </row>
    <row r="17" spans="1:29" ht="98">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9"/>
      <c r="Q17" s="1810" t="str">
        <f>B17</f>
        <v>交通便捷度</v>
      </c>
      <c r="R17" s="774" t="s">
        <v>17</v>
      </c>
      <c r="S17" s="775">
        <f>F17</f>
        <v>100</v>
      </c>
      <c r="T17" s="774" t="s">
        <v>17</v>
      </c>
      <c r="U17" s="775">
        <f>H17</f>
        <v>100</v>
      </c>
      <c r="V17" s="774" t="s">
        <v>17</v>
      </c>
      <c r="W17" s="775">
        <f>J17</f>
        <v>100</v>
      </c>
      <c r="X17" s="1813"/>
      <c r="Y17" s="3219"/>
      <c r="Z17" s="1814" t="str">
        <f>Q17</f>
        <v>交通便捷度</v>
      </c>
      <c r="AA17" s="1811">
        <f t="shared" si="3"/>
        <v>1</v>
      </c>
      <c r="AB17" s="1811">
        <f t="shared" si="4"/>
        <v>1</v>
      </c>
      <c r="AC17" s="1811">
        <f t="shared" si="5"/>
        <v>1</v>
      </c>
    </row>
    <row r="18" spans="1:29" ht="15.5">
      <c r="A18" s="428"/>
      <c r="B18" s="632"/>
      <c r="C18" s="447"/>
      <c r="D18" s="448"/>
      <c r="E18" s="2607"/>
      <c r="F18" s="448"/>
      <c r="G18" s="2607"/>
      <c r="H18" s="448"/>
      <c r="I18" s="2606"/>
      <c r="J18" s="448"/>
      <c r="K18" s="672"/>
      <c r="L18" s="1140"/>
      <c r="M18" s="1131"/>
      <c r="N18" s="1131"/>
      <c r="O18" s="1139"/>
      <c r="P18" s="3219"/>
      <c r="Q18" s="1810"/>
      <c r="R18" s="774"/>
      <c r="S18" s="775"/>
      <c r="T18" s="774"/>
      <c r="U18" s="775"/>
      <c r="V18" s="774"/>
      <c r="W18" s="775"/>
      <c r="X18" s="1813"/>
      <c r="Y18" s="3219"/>
      <c r="Z18" s="1814"/>
      <c r="AA18" s="1811">
        <v>1</v>
      </c>
      <c r="AB18" s="1811">
        <v>1</v>
      </c>
      <c r="AC18" s="1811">
        <v>1</v>
      </c>
    </row>
    <row r="19" spans="1:29" ht="28">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9"/>
      <c r="Q19" s="1810" t="str">
        <f t="shared" ref="Q19:Q33" si="8">B19</f>
        <v>区域土地利用方向</v>
      </c>
      <c r="R19" s="774" t="s">
        <v>17</v>
      </c>
      <c r="S19" s="775">
        <f>F19</f>
        <v>100</v>
      </c>
      <c r="T19" s="774" t="s">
        <v>17</v>
      </c>
      <c r="U19" s="775">
        <f>H19</f>
        <v>100</v>
      </c>
      <c r="V19" s="774" t="s">
        <v>17</v>
      </c>
      <c r="W19" s="775">
        <f>J19</f>
        <v>100</v>
      </c>
      <c r="X19" s="1813"/>
      <c r="Y19" s="3219"/>
      <c r="Z19" s="1814" t="str">
        <f>Q19</f>
        <v>区域土地利用方向</v>
      </c>
      <c r="AA19" s="1811">
        <f t="shared" si="3"/>
        <v>1</v>
      </c>
      <c r="AB19" s="1811">
        <f t="shared" si="4"/>
        <v>1</v>
      </c>
      <c r="AC19" s="1811">
        <f t="shared" si="5"/>
        <v>1</v>
      </c>
    </row>
    <row r="20" spans="1:29" ht="15.5">
      <c r="A20" s="404"/>
      <c r="B20" s="632"/>
      <c r="C20" s="447"/>
      <c r="D20" s="448"/>
      <c r="E20" s="2607"/>
      <c r="F20" s="448"/>
      <c r="G20" s="2607"/>
      <c r="H20" s="448"/>
      <c r="I20" s="2607"/>
      <c r="J20" s="448"/>
      <c r="K20" s="812"/>
      <c r="L20" s="1140"/>
      <c r="M20" s="1131"/>
      <c r="N20" s="1131"/>
      <c r="O20" s="1139"/>
      <c r="P20" s="3219"/>
      <c r="Q20" s="1810"/>
      <c r="R20" s="774"/>
      <c r="S20" s="775"/>
      <c r="T20" s="774"/>
      <c r="U20" s="775"/>
      <c r="V20" s="774"/>
      <c r="W20" s="775"/>
      <c r="X20" s="1813"/>
      <c r="Y20" s="3219"/>
      <c r="Z20" s="1814"/>
      <c r="AA20" s="1811"/>
      <c r="AB20" s="1811"/>
      <c r="AC20" s="1811"/>
    </row>
    <row r="21" spans="1:29" ht="84">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9"/>
      <c r="Q21" s="1810" t="str">
        <f t="shared" si="8"/>
        <v>环境状况</v>
      </c>
      <c r="R21" s="774" t="s">
        <v>17</v>
      </c>
      <c r="S21" s="775">
        <f>F21</f>
        <v>100</v>
      </c>
      <c r="T21" s="774" t="s">
        <v>17</v>
      </c>
      <c r="U21" s="775">
        <f>H21</f>
        <v>100</v>
      </c>
      <c r="V21" s="774" t="s">
        <v>17</v>
      </c>
      <c r="W21" s="775">
        <f>J21</f>
        <v>100</v>
      </c>
      <c r="X21" s="1813"/>
      <c r="Y21" s="3219"/>
      <c r="Z21" s="1814" t="str">
        <f>Q21</f>
        <v>环境状况</v>
      </c>
      <c r="AA21" s="1811">
        <f t="shared" si="3"/>
        <v>1</v>
      </c>
      <c r="AB21" s="1811">
        <f t="shared" si="4"/>
        <v>1</v>
      </c>
      <c r="AC21" s="1811">
        <f t="shared" si="5"/>
        <v>1</v>
      </c>
    </row>
    <row r="22" spans="1:29" ht="15.5">
      <c r="A22" s="404"/>
      <c r="B22" s="632"/>
      <c r="C22" s="447"/>
      <c r="D22" s="448"/>
      <c r="E22" s="2613"/>
      <c r="F22" s="448"/>
      <c r="G22" s="2613"/>
      <c r="H22" s="448"/>
      <c r="I22" s="447"/>
      <c r="J22" s="448"/>
      <c r="K22" s="672"/>
      <c r="L22" s="1140"/>
      <c r="M22" s="1131"/>
      <c r="N22" s="1131"/>
      <c r="O22" s="1139"/>
      <c r="P22" s="3219"/>
      <c r="Q22" s="1810"/>
      <c r="R22" s="774"/>
      <c r="S22" s="775"/>
      <c r="T22" s="774"/>
      <c r="U22" s="775"/>
      <c r="V22" s="774"/>
      <c r="W22" s="775"/>
      <c r="X22" s="1813"/>
      <c r="Y22" s="3219"/>
      <c r="Z22" s="1814"/>
      <c r="AA22" s="1811">
        <v>1</v>
      </c>
      <c r="AB22" s="1811">
        <v>1</v>
      </c>
      <c r="AC22" s="1811">
        <v>1</v>
      </c>
    </row>
    <row r="23" spans="1:29" s="117" customFormat="1" ht="42">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9"/>
      <c r="Q23" s="1795" t="str">
        <f t="shared" si="8"/>
        <v>公共配套设施</v>
      </c>
      <c r="R23" s="770" t="s">
        <v>17</v>
      </c>
      <c r="S23" s="771">
        <f>F23</f>
        <v>100</v>
      </c>
      <c r="T23" s="770" t="s">
        <v>17</v>
      </c>
      <c r="U23" s="771">
        <f>H23</f>
        <v>100</v>
      </c>
      <c r="V23" s="770" t="s">
        <v>17</v>
      </c>
      <c r="W23" s="771">
        <f>J23</f>
        <v>100</v>
      </c>
      <c r="X23" s="772"/>
      <c r="Y23" s="3219"/>
      <c r="Z23" s="55" t="str">
        <f>Q23</f>
        <v>公共配套设施</v>
      </c>
      <c r="AA23" s="1811">
        <f>D23/F23</f>
        <v>1</v>
      </c>
      <c r="AB23" s="1811">
        <f>D23/H23</f>
        <v>1</v>
      </c>
      <c r="AC23" s="1811">
        <f>D23/J23</f>
        <v>1</v>
      </c>
    </row>
    <row r="24" spans="1:29" s="117" customFormat="1" ht="15.5">
      <c r="A24" s="649"/>
      <c r="B24" s="632"/>
      <c r="C24" s="2702"/>
      <c r="D24" s="448"/>
      <c r="E24" s="2613"/>
      <c r="F24" s="448"/>
      <c r="G24" s="2613"/>
      <c r="H24" s="448"/>
      <c r="I24" s="447"/>
      <c r="J24" s="448"/>
      <c r="K24" s="672"/>
      <c r="L24" s="1132"/>
      <c r="M24" s="1133"/>
      <c r="N24" s="1133"/>
      <c r="O24" s="1134"/>
      <c r="P24" s="3219"/>
      <c r="Q24" s="1795"/>
      <c r="R24" s="770"/>
      <c r="S24" s="771"/>
      <c r="T24" s="770"/>
      <c r="U24" s="771"/>
      <c r="V24" s="770"/>
      <c r="W24" s="771"/>
      <c r="X24" s="772"/>
      <c r="Y24" s="3219"/>
      <c r="Z24" s="55"/>
      <c r="AA24" s="773">
        <v>1</v>
      </c>
      <c r="AB24" s="773">
        <v>1</v>
      </c>
      <c r="AC24" s="773">
        <v>1</v>
      </c>
    </row>
    <row r="25" spans="1:29" s="117" customFormat="1" ht="42">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9"/>
      <c r="Q25" s="1795" t="str">
        <f t="shared" ref="Q25" si="9">B25</f>
        <v>基础设施水平</v>
      </c>
      <c r="R25" s="770" t="s">
        <v>17</v>
      </c>
      <c r="S25" s="771">
        <f>F25</f>
        <v>100</v>
      </c>
      <c r="T25" s="770" t="s">
        <v>17</v>
      </c>
      <c r="U25" s="771">
        <f>H25</f>
        <v>100</v>
      </c>
      <c r="V25" s="770" t="s">
        <v>17</v>
      </c>
      <c r="W25" s="771">
        <f>J25</f>
        <v>100</v>
      </c>
      <c r="X25" s="772"/>
      <c r="Y25" s="3219"/>
      <c r="Z25" s="55" t="str">
        <f>Q25</f>
        <v>基础设施水平</v>
      </c>
      <c r="AA25" s="1811">
        <f>D25/F25</f>
        <v>1</v>
      </c>
      <c r="AB25" s="1811">
        <f>D25/H25</f>
        <v>1</v>
      </c>
      <c r="AC25" s="1811">
        <f>D25/J25</f>
        <v>1</v>
      </c>
    </row>
    <row r="26" spans="1:29" s="117" customFormat="1" ht="15.5">
      <c r="A26" s="649"/>
      <c r="B26" s="632"/>
      <c r="C26" s="2702"/>
      <c r="D26" s="448"/>
      <c r="E26" s="2703"/>
      <c r="F26" s="448"/>
      <c r="G26" s="2703"/>
      <c r="H26" s="448"/>
      <c r="I26" s="2703"/>
      <c r="J26" s="448"/>
      <c r="K26" s="672"/>
      <c r="L26" s="1132"/>
      <c r="M26" s="1133"/>
      <c r="N26" s="1133"/>
      <c r="O26" s="1134"/>
      <c r="P26" s="3219"/>
      <c r="Q26" s="1795"/>
      <c r="R26" s="770"/>
      <c r="S26" s="771"/>
      <c r="T26" s="770"/>
      <c r="U26" s="771"/>
      <c r="V26" s="770"/>
      <c r="W26" s="771"/>
      <c r="X26" s="772"/>
      <c r="Y26" s="3219"/>
      <c r="Z26" s="55"/>
      <c r="AA26" s="773">
        <v>1</v>
      </c>
      <c r="AB26" s="773">
        <v>1</v>
      </c>
      <c r="AC26" s="773">
        <v>1</v>
      </c>
    </row>
    <row r="27" spans="1:29" ht="15.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9"/>
      <c r="Z27" s="1814" t="str">
        <f t="shared" ref="Z27:Z40" si="13">Q27</f>
        <v>临街状况</v>
      </c>
      <c r="AA27" s="1811">
        <f t="shared" si="3"/>
        <v>1</v>
      </c>
      <c r="AB27" s="1811">
        <f t="shared" si="4"/>
        <v>1</v>
      </c>
      <c r="AC27" s="1811">
        <f t="shared" si="5"/>
        <v>1</v>
      </c>
    </row>
    <row r="28" spans="1:29" ht="28">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9"/>
      <c r="Q28" s="1810" t="str">
        <f t="shared" si="8"/>
        <v>毗邻道路的类型与等级</v>
      </c>
      <c r="R28" s="774" t="s">
        <v>17</v>
      </c>
      <c r="S28" s="775">
        <f t="shared" si="10"/>
        <v>100</v>
      </c>
      <c r="T28" s="774" t="s">
        <v>17</v>
      </c>
      <c r="U28" s="775">
        <f t="shared" si="11"/>
        <v>100</v>
      </c>
      <c r="V28" s="774" t="s">
        <v>17</v>
      </c>
      <c r="W28" s="775">
        <f t="shared" si="12"/>
        <v>100</v>
      </c>
      <c r="X28" s="1813"/>
      <c r="Y28" s="3219"/>
      <c r="Z28" s="1814" t="str">
        <f t="shared" si="13"/>
        <v>毗邻道路的类型与等级</v>
      </c>
      <c r="AA28" s="1811">
        <f t="shared" si="3"/>
        <v>1</v>
      </c>
      <c r="AB28" s="1811">
        <f t="shared" si="4"/>
        <v>1</v>
      </c>
      <c r="AC28" s="1811">
        <f t="shared" si="5"/>
        <v>1</v>
      </c>
    </row>
    <row r="29" spans="1:29" ht="15.5">
      <c r="A29" s="428"/>
      <c r="B29" s="632"/>
      <c r="C29" s="447"/>
      <c r="D29" s="448"/>
      <c r="E29" s="2613"/>
      <c r="F29" s="448"/>
      <c r="G29" s="2613"/>
      <c r="H29" s="448"/>
      <c r="I29" s="2613"/>
      <c r="J29" s="448"/>
      <c r="K29" s="613"/>
      <c r="L29" s="1140"/>
      <c r="M29" s="1131"/>
      <c r="N29" s="1131"/>
      <c r="O29" s="1139"/>
      <c r="P29" s="3219"/>
      <c r="Q29" s="1810"/>
      <c r="R29" s="774"/>
      <c r="S29" s="775"/>
      <c r="T29" s="774"/>
      <c r="U29" s="775"/>
      <c r="V29" s="774"/>
      <c r="W29" s="775"/>
      <c r="X29" s="1813"/>
      <c r="Y29" s="3219"/>
      <c r="Z29" s="1814"/>
      <c r="AA29" s="1811">
        <v>1</v>
      </c>
      <c r="AB29" s="1811">
        <v>1</v>
      </c>
      <c r="AC29" s="1811">
        <v>1</v>
      </c>
    </row>
    <row r="30" spans="1:29" ht="15.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9"/>
      <c r="Q30" s="1810" t="str">
        <f t="shared" si="8"/>
        <v>土地级别</v>
      </c>
      <c r="R30" s="774" t="s">
        <v>17</v>
      </c>
      <c r="S30" s="775">
        <f t="shared" si="10"/>
        <v>100</v>
      </c>
      <c r="T30" s="774" t="s">
        <v>17</v>
      </c>
      <c r="U30" s="775">
        <f t="shared" si="11"/>
        <v>100</v>
      </c>
      <c r="V30" s="774" t="s">
        <v>17</v>
      </c>
      <c r="W30" s="775">
        <f t="shared" si="12"/>
        <v>100</v>
      </c>
      <c r="X30" s="1813"/>
      <c r="Y30" s="3219"/>
      <c r="Z30" s="1814" t="str">
        <f t="shared" si="13"/>
        <v>土地级别</v>
      </c>
      <c r="AA30" s="1811">
        <f t="shared" si="3"/>
        <v>1</v>
      </c>
      <c r="AB30" s="1811">
        <f t="shared" si="4"/>
        <v>1</v>
      </c>
      <c r="AC30" s="1811">
        <f t="shared" si="5"/>
        <v>1</v>
      </c>
    </row>
    <row r="31" spans="1:29" ht="15.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9"/>
      <c r="Q31" s="1810">
        <f t="shared" si="8"/>
        <v>111</v>
      </c>
      <c r="R31" s="774" t="s">
        <v>17</v>
      </c>
      <c r="S31" s="775">
        <f t="shared" si="10"/>
        <v>100</v>
      </c>
      <c r="T31" s="774" t="s">
        <v>17</v>
      </c>
      <c r="U31" s="775">
        <f t="shared" si="11"/>
        <v>100</v>
      </c>
      <c r="V31" s="774" t="s">
        <v>17</v>
      </c>
      <c r="W31" s="775">
        <f t="shared" si="12"/>
        <v>100</v>
      </c>
      <c r="X31" s="1813"/>
      <c r="Y31" s="3219"/>
      <c r="Z31" s="1814">
        <f t="shared" si="13"/>
        <v>111</v>
      </c>
      <c r="AA31" s="1811">
        <f t="shared" si="3"/>
        <v>1</v>
      </c>
      <c r="AB31" s="1811">
        <f t="shared" si="4"/>
        <v>1</v>
      </c>
      <c r="AC31" s="1811">
        <f t="shared" si="5"/>
        <v>1</v>
      </c>
    </row>
    <row r="32" spans="1:29" ht="15.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2" t="s">
        <v>2562</v>
      </c>
      <c r="Q32" s="1810">
        <f t="shared" si="8"/>
        <v>111</v>
      </c>
      <c r="R32" s="774" t="s">
        <v>17</v>
      </c>
      <c r="S32" s="775">
        <f t="shared" si="10"/>
        <v>100</v>
      </c>
      <c r="T32" s="774" t="s">
        <v>17</v>
      </c>
      <c r="U32" s="775">
        <f t="shared" si="11"/>
        <v>100</v>
      </c>
      <c r="V32" s="774" t="s">
        <v>17</v>
      </c>
      <c r="W32" s="775">
        <f t="shared" si="12"/>
        <v>100</v>
      </c>
      <c r="X32" s="1813"/>
      <c r="Y32" s="3223" t="s">
        <v>2562</v>
      </c>
      <c r="Z32" s="1814">
        <f t="shared" si="13"/>
        <v>111</v>
      </c>
      <c r="AA32" s="1811">
        <f t="shared" si="3"/>
        <v>1</v>
      </c>
      <c r="AB32" s="1811">
        <f t="shared" si="4"/>
        <v>1</v>
      </c>
      <c r="AC32" s="1811">
        <f t="shared" si="5"/>
        <v>1</v>
      </c>
    </row>
    <row r="33" spans="1:29" s="471" customFormat="1" ht="1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3"/>
      <c r="Q33" s="1810">
        <f t="shared" si="8"/>
        <v>111</v>
      </c>
      <c r="R33" s="777" t="s">
        <v>17</v>
      </c>
      <c r="S33" s="778">
        <f t="shared" si="10"/>
        <v>100</v>
      </c>
      <c r="T33" s="777" t="s">
        <v>17</v>
      </c>
      <c r="U33" s="778">
        <f t="shared" si="11"/>
        <v>100</v>
      </c>
      <c r="V33" s="777" t="s">
        <v>17</v>
      </c>
      <c r="W33" s="778">
        <f t="shared" si="12"/>
        <v>100</v>
      </c>
      <c r="X33" s="779"/>
      <c r="Y33" s="3223"/>
      <c r="Z33" s="780">
        <f t="shared" si="13"/>
        <v>111</v>
      </c>
      <c r="AA33" s="1811">
        <f t="shared" si="3"/>
        <v>1</v>
      </c>
      <c r="AB33" s="1811">
        <f t="shared" si="4"/>
        <v>1</v>
      </c>
      <c r="AC33" s="1811">
        <f t="shared" si="5"/>
        <v>1</v>
      </c>
    </row>
    <row r="34" spans="1:29" ht="15.5">
      <c r="A34" s="440" t="s">
        <v>2560</v>
      </c>
      <c r="B34" s="456" t="s">
        <v>2748</v>
      </c>
      <c r="C34" s="679">
        <f>'数据-基础表'!A3</f>
        <v>62695.5</v>
      </c>
      <c r="D34" s="467">
        <v>100</v>
      </c>
      <c r="E34" s="679">
        <f>Sheet1!D14</f>
        <v>7824.3</v>
      </c>
      <c r="F34" s="467">
        <f>LOOKUP(E34,108:108,109:109)-LOOKUP(C34,108:108,109:109)+100</f>
        <v>98</v>
      </c>
      <c r="G34" s="679">
        <f>Sheet1!D16</f>
        <v>19937.599999999999</v>
      </c>
      <c r="H34" s="467">
        <f>LOOKUP(G34,108:108,109:109)-LOOKUP(C34,108:108,109:109)+100</f>
        <v>98</v>
      </c>
      <c r="I34" s="530">
        <f>Sheet1!D17</f>
        <v>40206.400000000001</v>
      </c>
      <c r="J34" s="467">
        <f>LOOKUP(I34,108:108,109:109)-LOOKUP(C34,108:108,109:109)+100</f>
        <v>99</v>
      </c>
      <c r="K34" s="613"/>
      <c r="L34" s="1140"/>
      <c r="M34" s="1131"/>
      <c r="N34" s="1131"/>
      <c r="O34" s="1139"/>
      <c r="P34" s="3223"/>
      <c r="Q34" s="1810" t="str">
        <f>B34</f>
        <v>宗地面积</v>
      </c>
      <c r="R34" s="774" t="s">
        <v>17</v>
      </c>
      <c r="S34" s="775">
        <f t="shared" si="10"/>
        <v>98</v>
      </c>
      <c r="T34" s="774" t="s">
        <v>17</v>
      </c>
      <c r="U34" s="775">
        <f t="shared" si="11"/>
        <v>98</v>
      </c>
      <c r="V34" s="774" t="s">
        <v>17</v>
      </c>
      <c r="W34" s="775">
        <f t="shared" si="12"/>
        <v>99</v>
      </c>
      <c r="X34" s="1813"/>
      <c r="Y34" s="3223"/>
      <c r="Z34" s="1814" t="str">
        <f t="shared" si="13"/>
        <v>宗地面积</v>
      </c>
      <c r="AA34" s="1811">
        <f t="shared" si="3"/>
        <v>1.0204081632653061</v>
      </c>
      <c r="AB34" s="1811">
        <f t="shared" si="4"/>
        <v>1.0204081632653061</v>
      </c>
      <c r="AC34" s="1811">
        <f t="shared" si="5"/>
        <v>1.0101010101010102</v>
      </c>
    </row>
    <row r="35" spans="1:29" ht="15.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23"/>
      <c r="Q35" s="1810" t="str">
        <f t="shared" ref="Q35:Q40" si="14">B35</f>
        <v>宗地形状</v>
      </c>
      <c r="R35" s="774" t="s">
        <v>17</v>
      </c>
      <c r="S35" s="775">
        <f t="shared" si="10"/>
        <v>100</v>
      </c>
      <c r="T35" s="774" t="s">
        <v>17</v>
      </c>
      <c r="U35" s="775">
        <f t="shared" si="11"/>
        <v>100</v>
      </c>
      <c r="V35" s="774" t="s">
        <v>17</v>
      </c>
      <c r="W35" s="775">
        <f t="shared" si="12"/>
        <v>100</v>
      </c>
      <c r="X35" s="1813"/>
      <c r="Y35" s="3223"/>
      <c r="Z35" s="1814" t="str">
        <f t="shared" si="13"/>
        <v>宗地形状</v>
      </c>
      <c r="AA35" s="1811">
        <f t="shared" si="3"/>
        <v>1</v>
      </c>
      <c r="AB35" s="1811">
        <f t="shared" si="4"/>
        <v>1</v>
      </c>
      <c r="AC35" s="1811">
        <f t="shared" si="5"/>
        <v>1</v>
      </c>
    </row>
    <row r="36" spans="1:29" s="117" customFormat="1" ht="15.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23"/>
      <c r="Q36" s="1810" t="str">
        <f t="shared" si="14"/>
        <v>宗地开发程度</v>
      </c>
      <c r="R36" s="770" t="s">
        <v>17</v>
      </c>
      <c r="S36" s="771">
        <f t="shared" si="10"/>
        <v>100</v>
      </c>
      <c r="T36" s="770" t="s">
        <v>17</v>
      </c>
      <c r="U36" s="771">
        <f t="shared" si="11"/>
        <v>100</v>
      </c>
      <c r="V36" s="770" t="s">
        <v>17</v>
      </c>
      <c r="W36" s="771">
        <f t="shared" si="12"/>
        <v>100</v>
      </c>
      <c r="X36" s="772"/>
      <c r="Y36" s="3223"/>
      <c r="Z36" s="55" t="str">
        <f t="shared" si="13"/>
        <v>宗地开发程度</v>
      </c>
      <c r="AA36" s="773">
        <f t="shared" si="3"/>
        <v>1</v>
      </c>
      <c r="AB36" s="773">
        <f t="shared" si="4"/>
        <v>1</v>
      </c>
      <c r="AC36" s="773">
        <f t="shared" si="5"/>
        <v>1</v>
      </c>
    </row>
    <row r="37" spans="1:29" ht="15.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23" t="s">
        <v>2562</v>
      </c>
      <c r="Q37" s="1810" t="str">
        <f t="shared" si="14"/>
        <v>工程地质条件</v>
      </c>
      <c r="R37" s="774" t="s">
        <v>17</v>
      </c>
      <c r="S37" s="775">
        <f t="shared" si="10"/>
        <v>100</v>
      </c>
      <c r="T37" s="774" t="s">
        <v>17</v>
      </c>
      <c r="U37" s="775">
        <f t="shared" si="11"/>
        <v>100</v>
      </c>
      <c r="V37" s="774" t="s">
        <v>17</v>
      </c>
      <c r="W37" s="775">
        <f t="shared" si="12"/>
        <v>100</v>
      </c>
      <c r="X37" s="1813"/>
      <c r="Y37" s="3223" t="s">
        <v>2562</v>
      </c>
      <c r="Z37" s="1814" t="str">
        <f t="shared" si="13"/>
        <v>工程地质条件</v>
      </c>
      <c r="AA37" s="1811">
        <f t="shared" si="3"/>
        <v>1</v>
      </c>
      <c r="AB37" s="1811">
        <f t="shared" si="4"/>
        <v>1</v>
      </c>
      <c r="AC37" s="1811">
        <f t="shared" si="5"/>
        <v>1</v>
      </c>
    </row>
    <row r="38" spans="1:29" ht="15.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3"/>
      <c r="Q38" s="1810">
        <f t="shared" si="14"/>
        <v>111</v>
      </c>
      <c r="R38" s="774" t="s">
        <v>17</v>
      </c>
      <c r="S38" s="775">
        <f t="shared" si="10"/>
        <v>100</v>
      </c>
      <c r="T38" s="774" t="s">
        <v>17</v>
      </c>
      <c r="U38" s="775">
        <f t="shared" si="11"/>
        <v>100</v>
      </c>
      <c r="V38" s="774" t="s">
        <v>17</v>
      </c>
      <c r="W38" s="775">
        <f t="shared" si="12"/>
        <v>100</v>
      </c>
      <c r="X38" s="1813"/>
      <c r="Y38" s="3223"/>
      <c r="Z38" s="1814">
        <f t="shared" si="13"/>
        <v>111</v>
      </c>
      <c r="AA38" s="1811">
        <f t="shared" si="3"/>
        <v>1</v>
      </c>
      <c r="AB38" s="1811">
        <f t="shared" si="4"/>
        <v>1</v>
      </c>
      <c r="AC38" s="1811">
        <f t="shared" si="5"/>
        <v>1</v>
      </c>
    </row>
    <row r="39" spans="1:29" ht="15.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3"/>
      <c r="Q39" s="1810">
        <f t="shared" si="14"/>
        <v>111</v>
      </c>
      <c r="R39" s="774" t="s">
        <v>17</v>
      </c>
      <c r="S39" s="775">
        <f t="shared" si="10"/>
        <v>100</v>
      </c>
      <c r="T39" s="774" t="s">
        <v>17</v>
      </c>
      <c r="U39" s="775">
        <f t="shared" si="11"/>
        <v>100</v>
      </c>
      <c r="V39" s="774" t="s">
        <v>17</v>
      </c>
      <c r="W39" s="775">
        <f t="shared" si="12"/>
        <v>100</v>
      </c>
      <c r="X39" s="1813"/>
      <c r="Y39" s="3223"/>
      <c r="Z39" s="1814">
        <f t="shared" si="13"/>
        <v>111</v>
      </c>
      <c r="AA39" s="1811">
        <f t="shared" si="3"/>
        <v>1</v>
      </c>
      <c r="AB39" s="1811">
        <f t="shared" si="4"/>
        <v>1</v>
      </c>
      <c r="AC39" s="1811">
        <f t="shared" si="5"/>
        <v>1</v>
      </c>
    </row>
    <row r="40" spans="1:29" s="471" customFormat="1" ht="16"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3"/>
      <c r="Q40" s="1810">
        <f t="shared" si="14"/>
        <v>111</v>
      </c>
      <c r="R40" s="777" t="s">
        <v>17</v>
      </c>
      <c r="S40" s="778">
        <f t="shared" si="10"/>
        <v>100</v>
      </c>
      <c r="T40" s="777" t="s">
        <v>17</v>
      </c>
      <c r="U40" s="778">
        <f t="shared" si="11"/>
        <v>100</v>
      </c>
      <c r="V40" s="777" t="s">
        <v>17</v>
      </c>
      <c r="W40" s="778">
        <f t="shared" si="12"/>
        <v>100</v>
      </c>
      <c r="X40" s="779"/>
      <c r="Y40" s="3223"/>
      <c r="Z40" s="780">
        <f t="shared" si="13"/>
        <v>111</v>
      </c>
      <c r="AA40" s="1811">
        <f t="shared" si="3"/>
        <v>1</v>
      </c>
      <c r="AB40" s="1811">
        <f t="shared" si="4"/>
        <v>1</v>
      </c>
      <c r="AC40" s="1811">
        <f t="shared" si="5"/>
        <v>1</v>
      </c>
    </row>
    <row r="41" spans="1:29">
      <c r="A41" s="479" t="s">
        <v>2717</v>
      </c>
      <c r="B41" s="2706" t="s">
        <v>3237</v>
      </c>
      <c r="C41" s="682" t="s">
        <v>1</v>
      </c>
      <c r="D41" s="481"/>
      <c r="E41" s="482">
        <f>Sheet1!N14</f>
        <v>495</v>
      </c>
      <c r="F41" s="483"/>
      <c r="G41" s="484">
        <f>Sheet1!N16</f>
        <v>495</v>
      </c>
      <c r="H41" s="485"/>
      <c r="I41" s="482">
        <f>Sheet1!N17</f>
        <v>495</v>
      </c>
      <c r="J41" s="485"/>
      <c r="K41" s="783"/>
      <c r="L41" s="1143"/>
      <c r="M41" s="1131"/>
      <c r="N41" s="1131"/>
      <c r="O41" s="1144"/>
      <c r="P41" s="3216" t="str">
        <f>A41</f>
        <v>成交单价</v>
      </c>
      <c r="Q41" s="3216"/>
      <c r="R41" s="3211">
        <f>E41</f>
        <v>495</v>
      </c>
      <c r="S41" s="3211"/>
      <c r="T41" s="3211">
        <f>G41</f>
        <v>495</v>
      </c>
      <c r="U41" s="3211"/>
      <c r="V41" s="3211">
        <f>I41</f>
        <v>495</v>
      </c>
      <c r="W41" s="3211"/>
      <c r="X41" s="759"/>
      <c r="Y41" s="781"/>
      <c r="Z41" s="759"/>
      <c r="AA41" s="759"/>
      <c r="AB41" s="759"/>
      <c r="AC41" s="759"/>
    </row>
    <row r="42" spans="1:29" ht="14.5" thickBot="1">
      <c r="A42" s="486" t="s">
        <v>2666</v>
      </c>
      <c r="B42" s="683"/>
      <c r="C42" s="490">
        <f>R43</f>
        <v>498</v>
      </c>
      <c r="D42" s="489"/>
      <c r="E42" s="490">
        <f>R42</f>
        <v>500</v>
      </c>
      <c r="F42" s="491"/>
      <c r="G42" s="488">
        <f>T42</f>
        <v>500</v>
      </c>
      <c r="H42" s="489"/>
      <c r="I42" s="490">
        <f>V42</f>
        <v>495</v>
      </c>
      <c r="J42" s="489"/>
      <c r="K42" s="784"/>
      <c r="L42" s="1143"/>
      <c r="M42" s="1131"/>
      <c r="N42" s="1131"/>
      <c r="O42" s="1144"/>
      <c r="P42" s="3216" t="str">
        <f>A42</f>
        <v>比较价值（元/平方米）</v>
      </c>
      <c r="Q42" s="3216"/>
      <c r="R42" s="3243">
        <f>ROUND(PRODUCT(R41,AA7:AA40),0)</f>
        <v>500</v>
      </c>
      <c r="S42" s="3243"/>
      <c r="T42" s="3243">
        <f>ROUND(PRODUCT(T41,AB7:AB40),0)</f>
        <v>500</v>
      </c>
      <c r="U42" s="3243"/>
      <c r="V42" s="3243">
        <f>ROUND(PRODUCT(V41,AC7:AC40),0)</f>
        <v>495</v>
      </c>
      <c r="W42" s="3243"/>
      <c r="X42" s="759"/>
      <c r="Y42" s="759"/>
      <c r="Z42" s="759"/>
      <c r="AA42" s="759"/>
      <c r="AB42" s="759"/>
      <c r="AC42" s="759"/>
    </row>
    <row r="43" spans="1:29" ht="14.5" thickBot="1">
      <c r="A43" s="492" t="s">
        <v>2667</v>
      </c>
      <c r="B43" s="493"/>
      <c r="C43" s="494">
        <f>R43</f>
        <v>498</v>
      </c>
      <c r="D43" s="494"/>
      <c r="E43" s="494"/>
      <c r="F43" s="494"/>
      <c r="G43" s="494"/>
      <c r="H43" s="494"/>
      <c r="I43" s="494"/>
      <c r="J43" s="494"/>
      <c r="K43" s="785"/>
      <c r="L43" s="1143"/>
      <c r="M43" s="1131"/>
      <c r="N43" s="1131"/>
      <c r="O43" s="1144"/>
      <c r="P43" s="3213" t="str">
        <f>A43</f>
        <v>估价对象XX用房的比较价值（楼面单价，元/平方米）</v>
      </c>
      <c r="Q43" s="3214"/>
      <c r="R43" s="3244">
        <f>ROUND(AVERAGE(R42:V42),0)</f>
        <v>498</v>
      </c>
      <c r="S43" s="3244"/>
      <c r="T43" s="3244"/>
      <c r="U43" s="3244"/>
      <c r="V43" s="3244"/>
      <c r="W43" s="324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f>IF(E41&lt;E42,E42/E41-1,E41/E42-1)</f>
        <v>1.0101010101010166E-2</v>
      </c>
      <c r="F46" s="500" t="str">
        <f>IF(OR(E46&gt;=0.3,E46&lt;=-0.3),"超过30%","")</f>
        <v/>
      </c>
      <c r="G46" s="499">
        <f>IF(G41&lt;G42,G42/G41-1,G41/G42-1)</f>
        <v>1.0101010101010166E-2</v>
      </c>
      <c r="H46" s="500" t="str">
        <f>IF(OR(G46&gt;=0.3,G46&lt;=-0.3),"超过30%","")</f>
        <v/>
      </c>
      <c r="I46" s="499">
        <f>IF(I41&lt;I42,I42/I41-1,I41/I42-1)</f>
        <v>0</v>
      </c>
      <c r="J46" s="500" t="str">
        <f>IF(OR(I46&gt;=0.3,I46&lt;=-0.3),"超过30%","")</f>
        <v/>
      </c>
      <c r="K46" s="1105"/>
      <c r="L46" s="1106"/>
      <c r="M46" s="1131"/>
      <c r="N46" s="1131"/>
      <c r="O46" s="1144"/>
    </row>
    <row r="47" spans="1:29" ht="13.5" customHeight="1">
      <c r="A47" s="1144"/>
      <c r="B47" s="1144"/>
      <c r="C47" s="497" t="s">
        <v>2669</v>
      </c>
      <c r="D47" s="501"/>
      <c r="E47" s="499">
        <f>IF(E42&lt;G42,G42/E42-1,E42/G42-1)</f>
        <v>0</v>
      </c>
      <c r="F47" s="500" t="str">
        <f>IF(OR(E47&gt;=0.2,E47&lt;=-0.2),"超过20%","")</f>
        <v/>
      </c>
      <c r="G47" s="499">
        <f>IF(G42&lt;I42,I42/G42-1,G42/I42-1)</f>
        <v>1.0101010101010166E-2</v>
      </c>
      <c r="H47" s="500" t="str">
        <f>IF(OR(G47&gt;=0.2,G47&lt;=-0.2),"超过20%","")</f>
        <v/>
      </c>
      <c r="I47" s="499">
        <f>IF(I42&lt;E42,E42/I42-1,I42/E42-1)</f>
        <v>1.0101010101010166E-2</v>
      </c>
      <c r="J47" s="500" t="str">
        <f>IF(OR(I47&gt;=0.2,I47&lt;=-0.2),"超过20%","")</f>
        <v/>
      </c>
      <c r="K47" s="1105"/>
      <c r="L47" s="1106"/>
      <c r="M47" s="1144"/>
      <c r="N47" s="1144"/>
      <c r="O47" s="1144"/>
    </row>
    <row r="48" spans="1:29" s="502" customFormat="1" ht="13.5" customHeight="1">
      <c r="A48" s="1145"/>
      <c r="B48" s="1145"/>
      <c r="C48" s="497" t="s">
        <v>2670</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48"/>
      <c r="L48" s="1149"/>
      <c r="M48" s="1145"/>
      <c r="N48" s="1145"/>
      <c r="O48" s="1145"/>
    </row>
    <row r="49" spans="1:17" s="502" customFormat="1" ht="14.5" thickBot="1">
      <c r="A49" s="1145"/>
      <c r="B49" s="1146"/>
      <c r="C49" s="762"/>
      <c r="D49" s="760"/>
      <c r="E49" s="760"/>
      <c r="F49" s="760"/>
      <c r="G49" s="760"/>
      <c r="H49" s="760"/>
      <c r="I49" s="760"/>
      <c r="J49" s="760"/>
      <c r="K49" s="1148"/>
      <c r="L49" s="1149"/>
      <c r="M49" s="1145"/>
      <c r="N49" s="1145"/>
      <c r="O49" s="1145"/>
    </row>
    <row r="50" spans="1:17" ht="28">
      <c r="A50" s="684" t="s">
        <v>2755</v>
      </c>
      <c r="B50" s="685" t="s">
        <v>2756</v>
      </c>
      <c r="C50" s="2707" t="s">
        <v>2757</v>
      </c>
      <c r="D50" s="2708" t="s">
        <v>2758</v>
      </c>
      <c r="E50" s="686" t="s">
        <v>2759</v>
      </c>
      <c r="F50" s="687" t="s">
        <v>2760</v>
      </c>
      <c r="G50" s="3199" t="s">
        <v>2761</v>
      </c>
      <c r="H50" s="3245"/>
      <c r="I50" s="1814" t="s">
        <v>2797</v>
      </c>
      <c r="J50" s="1814">
        <f>项目基本情况!F35</f>
        <v>0</v>
      </c>
      <c r="K50" s="2710" t="s">
        <v>2763</v>
      </c>
      <c r="L50" s="1106"/>
      <c r="M50" s="1144"/>
      <c r="N50" s="1144"/>
      <c r="O50" s="1144"/>
    </row>
    <row r="51" spans="1:17" s="692" customFormat="1">
      <c r="A51" s="688" t="s">
        <v>2764</v>
      </c>
      <c r="B51" s="689">
        <f>C43</f>
        <v>498</v>
      </c>
      <c r="C51" s="690">
        <v>1</v>
      </c>
      <c r="D51" s="1163">
        <v>1</v>
      </c>
      <c r="E51" s="690">
        <f>'数据-汇总表'!E8+'数据-汇总表'!E9</f>
        <v>69600</v>
      </c>
      <c r="F51" s="691">
        <f t="shared" ref="F51:F60" si="15">ROUND(B51*E51/10000,0)</f>
        <v>3466</v>
      </c>
      <c r="G51" s="3198"/>
      <c r="H51" s="3216"/>
      <c r="I51" s="942">
        <v>1</v>
      </c>
      <c r="J51" s="942">
        <v>1</v>
      </c>
      <c r="K51" s="1145"/>
      <c r="L51" s="941"/>
      <c r="M51" s="941"/>
      <c r="N51" s="941"/>
      <c r="O51" s="941"/>
    </row>
    <row r="52" spans="1:17" s="692" customFormat="1">
      <c r="A52" s="693" t="s">
        <v>2765</v>
      </c>
      <c r="B52" s="262">
        <f>ROUND($C$43*C52*D52,0)</f>
        <v>0</v>
      </c>
      <c r="C52" s="200">
        <f t="shared" ref="C52:C60" si="16">IF($C$50="北京市系数",I52,J52)</f>
        <v>0</v>
      </c>
      <c r="D52" s="1164">
        <v>0.25</v>
      </c>
      <c r="E52" s="694"/>
      <c r="F52" s="691">
        <f t="shared" si="15"/>
        <v>0</v>
      </c>
      <c r="G52" s="3246" t="s">
        <v>2766</v>
      </c>
      <c r="H52" s="1104">
        <f>项目基本情况!B37</f>
        <v>0</v>
      </c>
      <c r="I52" s="942">
        <f>SUMIF(修正!A45:A56,H52,修正!B45:B56)</f>
        <v>0</v>
      </c>
      <c r="J52" s="943"/>
      <c r="K52" s="1144"/>
      <c r="L52" s="941"/>
      <c r="M52" s="941"/>
      <c r="N52" s="941"/>
      <c r="O52" s="941"/>
    </row>
    <row r="53" spans="1:17" s="692" customFormat="1">
      <c r="A53" s="693" t="s">
        <v>2767</v>
      </c>
      <c r="B53" s="262">
        <f t="shared" ref="B53:B60" si="17">ROUND($C$43*C53*D53,0)</f>
        <v>0</v>
      </c>
      <c r="C53" s="200">
        <f t="shared" si="16"/>
        <v>0</v>
      </c>
      <c r="D53" s="1164">
        <v>0.25</v>
      </c>
      <c r="E53" s="694"/>
      <c r="F53" s="691">
        <f t="shared" si="15"/>
        <v>0</v>
      </c>
      <c r="G53" s="3246"/>
      <c r="H53" s="1104">
        <f>项目基本情况!B37</f>
        <v>0</v>
      </c>
      <c r="I53" s="942">
        <f>SUMIF(修正!A45:A56,H53,修正!C45:C56)</f>
        <v>0</v>
      </c>
      <c r="J53" s="943"/>
      <c r="K53" s="1145"/>
      <c r="L53" s="941"/>
      <c r="M53" s="941"/>
      <c r="N53" s="941"/>
      <c r="O53" s="941"/>
    </row>
    <row r="54" spans="1:17" s="692" customFormat="1">
      <c r="A54" s="693" t="s">
        <v>2768</v>
      </c>
      <c r="B54" s="262">
        <f t="shared" si="17"/>
        <v>0</v>
      </c>
      <c r="C54" s="200">
        <f t="shared" si="16"/>
        <v>0</v>
      </c>
      <c r="D54" s="1164">
        <v>0.25</v>
      </c>
      <c r="E54" s="694"/>
      <c r="F54" s="691">
        <f t="shared" si="15"/>
        <v>0</v>
      </c>
      <c r="G54" s="3246"/>
      <c r="H54" s="1104">
        <f>项目基本情况!B37</f>
        <v>0</v>
      </c>
      <c r="I54" s="942">
        <f>SUMIF(修正!A45:A56,H54,修正!D45:D56)</f>
        <v>0</v>
      </c>
      <c r="J54" s="943"/>
      <c r="K54" s="1144"/>
      <c r="L54" s="941"/>
      <c r="M54" s="941"/>
      <c r="N54" s="941"/>
      <c r="O54" s="941"/>
    </row>
    <row r="55" spans="1:17" s="692" customFormat="1">
      <c r="A55" s="693" t="s">
        <v>2769</v>
      </c>
      <c r="B55" s="262">
        <f t="shared" si="17"/>
        <v>0</v>
      </c>
      <c r="C55" s="200">
        <f t="shared" si="16"/>
        <v>0</v>
      </c>
      <c r="D55" s="1164">
        <v>0.25</v>
      </c>
      <c r="E55" s="694"/>
      <c r="F55" s="691">
        <f t="shared" si="15"/>
        <v>0</v>
      </c>
      <c r="G55" s="3246"/>
      <c r="H55" s="1104">
        <f>项目基本情况!B37</f>
        <v>0</v>
      </c>
      <c r="I55" s="942">
        <f>SUMIF(修正!A45:A56,H55,修正!E45:E56)</f>
        <v>0</v>
      </c>
      <c r="J55" s="943"/>
      <c r="K55" s="1145"/>
      <c r="L55" s="941"/>
      <c r="M55" s="941"/>
      <c r="N55" s="941"/>
      <c r="O55" s="941"/>
    </row>
    <row r="56" spans="1:17" s="692" customFormat="1">
      <c r="A56" s="693" t="s">
        <v>2770</v>
      </c>
      <c r="B56" s="262">
        <f t="shared" si="17"/>
        <v>0</v>
      </c>
      <c r="C56" s="200">
        <f t="shared" si="16"/>
        <v>0</v>
      </c>
      <c r="D56" s="1164">
        <v>0.25</v>
      </c>
      <c r="E56" s="261">
        <f>'数据-汇总表'!E11</f>
        <v>0</v>
      </c>
      <c r="F56" s="691">
        <f t="shared" si="15"/>
        <v>0</v>
      </c>
      <c r="G56" s="2711" t="s">
        <v>2771</v>
      </c>
      <c r="H56" s="1104">
        <f>项目基本情况!C37</f>
        <v>0</v>
      </c>
      <c r="I56" s="942">
        <f>SUMIF(修正!A45:A56,H56,修正!F45:F56)</f>
        <v>0</v>
      </c>
      <c r="J56" s="943"/>
      <c r="K56" s="1144"/>
      <c r="L56" s="941"/>
      <c r="M56" s="941"/>
      <c r="N56" s="941"/>
      <c r="O56" s="941"/>
    </row>
    <row r="57" spans="1:17" s="692" customFormat="1">
      <c r="A57" s="693" t="s">
        <v>2772</v>
      </c>
      <c r="B57" s="262">
        <f t="shared" si="17"/>
        <v>0</v>
      </c>
      <c r="C57" s="200">
        <f t="shared" si="16"/>
        <v>0</v>
      </c>
      <c r="D57" s="1164">
        <v>0.25</v>
      </c>
      <c r="E57" s="261">
        <f>'数据-汇总表'!E12</f>
        <v>0</v>
      </c>
      <c r="F57" s="691">
        <f t="shared" si="15"/>
        <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f t="shared" si="17"/>
        <v>0</v>
      </c>
      <c r="C58" s="200">
        <f t="shared" si="16"/>
        <v>0</v>
      </c>
      <c r="D58" s="1164">
        <v>0.25</v>
      </c>
      <c r="E58" s="261">
        <f>'数据-汇总表'!E13</f>
        <v>0</v>
      </c>
      <c r="F58" s="691">
        <f t="shared" si="15"/>
        <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f t="shared" si="17"/>
        <v>0</v>
      </c>
      <c r="C59" s="200">
        <f t="shared" si="16"/>
        <v>0</v>
      </c>
      <c r="D59" s="1164">
        <v>0.25</v>
      </c>
      <c r="E59" s="261">
        <f>'数据-汇总表'!E14</f>
        <v>0</v>
      </c>
      <c r="F59" s="691">
        <f t="shared" si="15"/>
        <v>0</v>
      </c>
      <c r="G59" s="2711" t="s">
        <v>2766</v>
      </c>
      <c r="H59" s="1104">
        <f>项目基本情况!B37</f>
        <v>0</v>
      </c>
      <c r="I59" s="942">
        <f>SUMIF(修正!A45:A56,H59,修正!H45:H56)</f>
        <v>0</v>
      </c>
      <c r="J59" s="943"/>
      <c r="K59" s="1145"/>
      <c r="L59" s="941"/>
      <c r="M59" s="941"/>
      <c r="N59" s="941"/>
      <c r="O59" s="941"/>
    </row>
    <row r="60" spans="1:17" s="692" customFormat="1" ht="14.5" thickBot="1">
      <c r="A60" s="693" t="s">
        <v>2777</v>
      </c>
      <c r="B60" s="262">
        <f t="shared" si="17"/>
        <v>0</v>
      </c>
      <c r="C60" s="200">
        <f t="shared" si="16"/>
        <v>0</v>
      </c>
      <c r="D60" s="1164">
        <v>0.25</v>
      </c>
      <c r="E60" s="261">
        <f>'数据-汇总表'!E15</f>
        <v>0</v>
      </c>
      <c r="F60" s="691">
        <f t="shared" si="15"/>
        <v>0</v>
      </c>
      <c r="G60" s="2712" t="s">
        <v>2771</v>
      </c>
      <c r="H60" s="1114">
        <f>项目基本情况!C37</f>
        <v>0</v>
      </c>
      <c r="I60" s="942">
        <f>SUMIF(修正!A45:A56,H60,修正!H45:H56)</f>
        <v>0</v>
      </c>
      <c r="J60" s="943"/>
      <c r="K60" s="1144"/>
      <c r="L60" s="941"/>
      <c r="M60" s="941"/>
      <c r="N60" s="941"/>
      <c r="O60" s="941"/>
    </row>
    <row r="61" spans="1:17" s="692" customFormat="1" ht="14.5" thickBot="1">
      <c r="A61" s="695" t="s">
        <v>2778</v>
      </c>
      <c r="B61" s="696" t="s">
        <v>28</v>
      </c>
      <c r="C61" s="696" t="s">
        <v>29</v>
      </c>
      <c r="D61" s="696" t="s">
        <v>1025</v>
      </c>
      <c r="E61" s="696">
        <f>IF(B41="楼面地价",SUM(E51:E60),'数据-汇总表'!D3)</f>
        <v>62695.5</v>
      </c>
      <c r="F61" s="697">
        <f>IF(B41="楼面地价",SUM(F51:F60),ROUND(C43*E61/10000,0))</f>
        <v>3122</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1.5" thickBot="1">
      <c r="A64" s="763" t="s">
        <v>2671</v>
      </c>
      <c r="B64" s="759"/>
      <c r="C64" s="764"/>
      <c r="D64" s="764"/>
      <c r="E64" s="764"/>
      <c r="F64" s="765"/>
      <c r="G64" s="765"/>
      <c r="H64" s="764"/>
      <c r="I64" s="764"/>
      <c r="J64" s="764"/>
      <c r="K64" s="766"/>
      <c r="L64" s="767"/>
      <c r="M64" s="764"/>
      <c r="N64" s="764"/>
      <c r="O64" s="1159"/>
      <c r="P64" s="503"/>
      <c r="Q64" s="504"/>
    </row>
    <row r="65" spans="1:17" s="508" customFormat="1">
      <c r="A65" s="2713" t="s">
        <v>2779</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2798</v>
      </c>
      <c r="B66" s="332" t="str">
        <f>"北京市平均增长率"&amp;TEXT(基准地价修正!P24,"0.00%")</f>
        <v>北京市平均增长率1.33%</v>
      </c>
      <c r="C66" s="603">
        <v>100</v>
      </c>
      <c r="D66" s="595">
        <v>99.5</v>
      </c>
      <c r="E66" s="595">
        <v>99</v>
      </c>
      <c r="F66" s="595">
        <v>98.5</v>
      </c>
      <c r="G66" s="595">
        <v>98</v>
      </c>
      <c r="H66" s="595"/>
      <c r="I66" s="595"/>
      <c r="J66" s="595"/>
      <c r="K66" s="595"/>
      <c r="L66" s="595"/>
      <c r="M66" s="1567"/>
      <c r="N66" s="1567"/>
      <c r="O66" s="1569"/>
      <c r="P66" s="504"/>
    </row>
    <row r="67" spans="1:17" s="117" customFormat="1" ht="14.5" thickBot="1">
      <c r="A67" s="515" t="s">
        <v>2582</v>
      </c>
      <c r="B67" s="516"/>
      <c r="C67" s="517"/>
      <c r="D67" s="518"/>
      <c r="E67" s="518"/>
      <c r="F67" s="518"/>
      <c r="G67" s="518"/>
      <c r="H67" s="518"/>
      <c r="I67" s="518"/>
      <c r="J67" s="518"/>
      <c r="K67" s="518"/>
      <c r="L67" s="518"/>
      <c r="M67" s="519"/>
      <c r="N67" s="519"/>
      <c r="O67" s="520"/>
      <c r="P67" s="504"/>
      <c r="Q67" s="504"/>
    </row>
    <row r="68" spans="1:17" s="117" customFormat="1">
      <c r="A68" s="521" t="s">
        <v>2547</v>
      </c>
      <c r="B68" s="510"/>
      <c r="C68" s="522" t="s">
        <v>2649</v>
      </c>
      <c r="D68" s="523"/>
      <c r="E68" s="523"/>
      <c r="F68" s="523"/>
      <c r="G68" s="523"/>
      <c r="H68" s="523"/>
      <c r="I68" s="523"/>
      <c r="J68" s="523"/>
      <c r="K68" s="523"/>
      <c r="L68" s="524"/>
      <c r="M68" s="525"/>
      <c r="N68" s="1151"/>
      <c r="O68" s="1151"/>
      <c r="P68" s="526"/>
      <c r="Q68" s="504"/>
    </row>
    <row r="69" spans="1:17" s="117" customFormat="1" ht="14.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2957" t="s">
        <v>3239</v>
      </c>
      <c r="D70" s="530"/>
      <c r="E70" s="530"/>
      <c r="F70" s="530"/>
      <c r="G70" s="530"/>
      <c r="H70" s="530"/>
      <c r="I70" s="530"/>
      <c r="J70" s="530"/>
      <c r="K70" s="531"/>
      <c r="L70" s="532"/>
      <c r="M70" s="533"/>
      <c r="N70" s="1152"/>
      <c r="O70" s="1152"/>
      <c r="P70" s="45"/>
      <c r="Q70" s="504"/>
    </row>
    <row r="71" spans="1:17" ht="14.5" thickBot="1">
      <c r="A71" s="534"/>
      <c r="B71" s="535"/>
      <c r="C71" s="536">
        <v>100</v>
      </c>
      <c r="D71" s="536"/>
      <c r="E71" s="536"/>
      <c r="F71" s="536"/>
      <c r="G71" s="536"/>
      <c r="H71" s="536"/>
      <c r="I71" s="536"/>
      <c r="J71" s="536"/>
      <c r="K71" s="536"/>
      <c r="L71" s="536"/>
      <c r="M71" s="537"/>
      <c r="N71" s="1153"/>
      <c r="O71" s="1153"/>
      <c r="P71" s="45"/>
      <c r="Q71" s="504"/>
    </row>
    <row r="72" spans="1:17" ht="28.5" thickTop="1">
      <c r="A72" s="534"/>
      <c r="B72" s="538" t="s">
        <v>2554</v>
      </c>
      <c r="C72" s="539"/>
      <c r="D72" s="539"/>
      <c r="E72" s="539"/>
      <c r="F72" s="539"/>
      <c r="G72" s="539"/>
      <c r="H72" s="539"/>
      <c r="I72" s="539"/>
      <c r="J72" s="539"/>
      <c r="K72" s="540"/>
      <c r="L72" s="541"/>
      <c r="M72" s="542"/>
      <c r="N72" s="1152"/>
      <c r="O72" s="1152"/>
      <c r="P72" s="45"/>
      <c r="Q72" s="504"/>
    </row>
    <row r="73" spans="1:17" ht="14.5" thickBot="1">
      <c r="A73" s="534"/>
      <c r="B73" s="543"/>
      <c r="C73" s="544"/>
      <c r="D73" s="544"/>
      <c r="E73" s="544"/>
      <c r="F73" s="544"/>
      <c r="G73" s="544"/>
      <c r="H73" s="544"/>
      <c r="I73" s="544"/>
      <c r="J73" s="544"/>
      <c r="K73" s="544"/>
      <c r="L73" s="544"/>
      <c r="M73" s="545"/>
      <c r="N73" s="1153"/>
      <c r="O73" s="1153"/>
      <c r="P73" s="45"/>
      <c r="Q73" s="504"/>
    </row>
    <row r="74" spans="1:17" ht="14.5" thickTop="1">
      <c r="A74" s="534"/>
      <c r="B74" s="546" t="s">
        <v>2555</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v>0</v>
      </c>
      <c r="D75" s="549">
        <v>1</v>
      </c>
      <c r="E75" s="549">
        <v>2</v>
      </c>
      <c r="F75" s="549">
        <v>3</v>
      </c>
      <c r="G75" s="549"/>
      <c r="H75" s="549"/>
      <c r="I75" s="549"/>
      <c r="J75" s="549"/>
      <c r="K75" s="550"/>
      <c r="L75" s="551"/>
      <c r="M75" s="552"/>
      <c r="N75" s="1152"/>
      <c r="O75" s="1152"/>
      <c r="P75" s="45"/>
      <c r="Q75" s="504"/>
    </row>
    <row r="76" spans="1:17" ht="14.5" thickBot="1">
      <c r="A76" s="534"/>
      <c r="B76" s="535"/>
      <c r="C76" s="544">
        <v>100</v>
      </c>
      <c r="D76" s="544">
        <f>IF($B$41="单位面积地价",C76+$K11,C76-$K11)</f>
        <v>102</v>
      </c>
      <c r="E76" s="544">
        <f t="shared" ref="E76:M76" si="21">IF($B$41="单位面积地价",D76+$K11,D76-$K11)</f>
        <v>104</v>
      </c>
      <c r="F76" s="544">
        <f t="shared" si="21"/>
        <v>106</v>
      </c>
      <c r="G76" s="544">
        <f t="shared" si="21"/>
        <v>108</v>
      </c>
      <c r="H76" s="544">
        <f t="shared" si="21"/>
        <v>110</v>
      </c>
      <c r="I76" s="544">
        <f t="shared" si="21"/>
        <v>112</v>
      </c>
      <c r="J76" s="544">
        <f t="shared" si="21"/>
        <v>114</v>
      </c>
      <c r="K76" s="544">
        <f t="shared" si="21"/>
        <v>116</v>
      </c>
      <c r="L76" s="544">
        <f t="shared" si="21"/>
        <v>118</v>
      </c>
      <c r="M76" s="544">
        <f t="shared" si="21"/>
        <v>120</v>
      </c>
      <c r="N76" s="1153"/>
      <c r="O76" s="1153"/>
      <c r="P76" s="45"/>
      <c r="Q76" s="504"/>
    </row>
    <row r="77" spans="1:17" s="471" customFormat="1" ht="14.5" thickTop="1">
      <c r="A77" s="553"/>
      <c r="B77" s="538">
        <f>B12</f>
        <v>111</v>
      </c>
      <c r="C77" s="554"/>
      <c r="D77" s="554"/>
      <c r="E77" s="554"/>
      <c r="F77" s="554"/>
      <c r="G77" s="554"/>
      <c r="H77" s="555"/>
      <c r="I77" s="555"/>
      <c r="J77" s="555"/>
      <c r="K77" s="555"/>
      <c r="L77" s="556"/>
      <c r="M77" s="557"/>
      <c r="N77" s="1154"/>
      <c r="O77" s="1154"/>
      <c r="P77" s="558"/>
      <c r="Q77" s="559"/>
    </row>
    <row r="78" spans="1:17" s="471" customFormat="1" ht="14.5" thickBot="1">
      <c r="A78" s="553"/>
      <c r="B78" s="543"/>
      <c r="C78" s="560"/>
      <c r="D78" s="536"/>
      <c r="E78" s="536"/>
      <c r="F78" s="536"/>
      <c r="G78" s="536"/>
      <c r="H78" s="536"/>
      <c r="I78" s="536"/>
      <c r="J78" s="536"/>
      <c r="K78" s="536"/>
      <c r="L78" s="536"/>
      <c r="M78" s="537"/>
      <c r="N78" s="1153"/>
      <c r="O78" s="1153"/>
      <c r="P78" s="558"/>
      <c r="Q78" s="559"/>
    </row>
    <row r="79" spans="1:17" s="471" customFormat="1" ht="14.5" thickTop="1">
      <c r="A79" s="553"/>
      <c r="B79" s="538">
        <f>B13</f>
        <v>111</v>
      </c>
      <c r="C79" s="554"/>
      <c r="D79" s="554"/>
      <c r="E79" s="554"/>
      <c r="F79" s="554"/>
      <c r="G79" s="554"/>
      <c r="H79" s="555"/>
      <c r="I79" s="555"/>
      <c r="J79" s="555"/>
      <c r="K79" s="555"/>
      <c r="L79" s="556"/>
      <c r="M79" s="557"/>
      <c r="N79" s="1154"/>
      <c r="O79" s="1154"/>
      <c r="P79" s="470"/>
      <c r="Q79" s="561"/>
    </row>
    <row r="80" spans="1:17" s="471" customFormat="1" ht="14.5" thickBot="1">
      <c r="A80" s="553"/>
      <c r="B80" s="543"/>
      <c r="C80" s="560"/>
      <c r="D80" s="560"/>
      <c r="E80" s="560"/>
      <c r="F80" s="560"/>
      <c r="G80" s="560"/>
      <c r="H80" s="562"/>
      <c r="I80" s="562"/>
      <c r="J80" s="562"/>
      <c r="K80" s="562"/>
      <c r="L80" s="562"/>
      <c r="M80" s="563"/>
      <c r="N80" s="1154"/>
      <c r="O80" s="1154"/>
      <c r="P80" s="558"/>
      <c r="Q80" s="559"/>
    </row>
    <row r="81" spans="1:17" s="471" customFormat="1" ht="14.5" thickTop="1">
      <c r="A81" s="553"/>
      <c r="B81" s="546">
        <f>B14</f>
        <v>111</v>
      </c>
      <c r="C81" s="523"/>
      <c r="D81" s="523"/>
      <c r="E81" s="523"/>
      <c r="F81" s="523"/>
      <c r="G81" s="523"/>
      <c r="H81" s="564"/>
      <c r="I81" s="564"/>
      <c r="J81" s="564"/>
      <c r="K81" s="564"/>
      <c r="L81" s="565"/>
      <c r="M81" s="566"/>
      <c r="N81" s="1154"/>
      <c r="O81" s="1154"/>
      <c r="P81" s="567"/>
      <c r="Q81" s="559"/>
    </row>
    <row r="82" spans="1:17" s="471" customFormat="1" ht="14.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4.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8.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8.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4.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4.5" thickTop="1">
      <c r="A93" s="553"/>
      <c r="B93" s="546" t="s">
        <v>2799</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4.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8.5" thickTop="1">
      <c r="A97" s="534"/>
      <c r="B97" s="538" t="s">
        <v>2688</v>
      </c>
      <c r="C97" s="554"/>
      <c r="D97" s="554"/>
      <c r="E97" s="554"/>
      <c r="F97" s="554"/>
      <c r="G97" s="554"/>
      <c r="H97" s="583"/>
      <c r="I97" s="583"/>
      <c r="J97" s="583"/>
      <c r="K97" s="584"/>
      <c r="L97" s="585"/>
      <c r="M97" s="586"/>
      <c r="N97" s="1152"/>
      <c r="O97" s="1152"/>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4.5" thickTop="1">
      <c r="A99" s="534"/>
      <c r="B99" s="538" t="s">
        <v>2747</v>
      </c>
      <c r="C99" s="583"/>
      <c r="D99" s="583"/>
      <c r="E99" s="583"/>
      <c r="F99" s="583"/>
      <c r="G99" s="583"/>
      <c r="H99" s="583"/>
      <c r="I99" s="583"/>
      <c r="J99" s="583"/>
      <c r="K99" s="584"/>
      <c r="L99" s="585"/>
      <c r="M99" s="586"/>
      <c r="N99" s="1152"/>
      <c r="O99" s="1152"/>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5" thickTop="1">
      <c r="A101" s="534"/>
      <c r="B101" s="546">
        <f>B31</f>
        <v>111</v>
      </c>
      <c r="C101" s="554"/>
      <c r="D101" s="554"/>
      <c r="E101" s="554"/>
      <c r="F101" s="554"/>
      <c r="G101" s="587"/>
      <c r="H101" s="587"/>
      <c r="I101" s="587"/>
      <c r="J101" s="587"/>
      <c r="K101" s="588"/>
      <c r="L101" s="589"/>
      <c r="M101" s="590"/>
      <c r="N101" s="1152"/>
      <c r="O101" s="1152"/>
      <c r="P101" s="45"/>
      <c r="Q101" s="504"/>
    </row>
    <row r="102" spans="1:17" ht="14.5" thickBot="1">
      <c r="A102" s="534"/>
      <c r="B102" s="569"/>
      <c r="C102" s="560"/>
      <c r="D102" s="536"/>
      <c r="E102" s="536"/>
      <c r="F102" s="536"/>
      <c r="G102" s="591"/>
      <c r="H102" s="591"/>
      <c r="I102" s="591"/>
      <c r="J102" s="591"/>
      <c r="K102" s="591"/>
      <c r="L102" s="591"/>
      <c r="M102" s="592"/>
      <c r="N102" s="1153"/>
      <c r="O102" s="1153"/>
      <c r="P102" s="45"/>
      <c r="Q102" s="504"/>
    </row>
    <row r="103" spans="1:17" ht="14.5" thickTop="1">
      <c r="A103" s="675"/>
      <c r="B103" s="538">
        <f>B32</f>
        <v>111</v>
      </c>
      <c r="C103" s="554"/>
      <c r="D103" s="554"/>
      <c r="E103" s="554"/>
      <c r="F103" s="554"/>
      <c r="G103" s="583"/>
      <c r="H103" s="583"/>
      <c r="I103" s="583"/>
      <c r="J103" s="583"/>
      <c r="K103" s="584"/>
      <c r="L103" s="585"/>
      <c r="M103" s="586"/>
      <c r="N103" s="1152"/>
      <c r="O103" s="1152"/>
      <c r="P103" s="45"/>
      <c r="Q103" s="504"/>
    </row>
    <row r="104" spans="1:17" ht="14.5" thickBot="1">
      <c r="A104" s="534"/>
      <c r="B104" s="543"/>
      <c r="C104" s="560"/>
      <c r="D104" s="560"/>
      <c r="E104" s="560"/>
      <c r="F104" s="560"/>
      <c r="G104" s="536"/>
      <c r="H104" s="536"/>
      <c r="I104" s="536"/>
      <c r="J104" s="536"/>
      <c r="K104" s="536"/>
      <c r="L104" s="536"/>
      <c r="M104" s="537"/>
      <c r="N104" s="1153"/>
      <c r="O104" s="1153"/>
      <c r="P104" s="45"/>
      <c r="Q104" s="504"/>
    </row>
    <row r="105" spans="1:17" s="471" customFormat="1" ht="14.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5" thickBot="1">
      <c r="A106" s="553"/>
      <c r="B106" s="546"/>
      <c r="C106" s="570"/>
      <c r="D106" s="570"/>
      <c r="E106" s="570"/>
      <c r="F106" s="570"/>
      <c r="G106" s="677"/>
      <c r="H106" s="677"/>
      <c r="I106" s="677"/>
      <c r="J106" s="677"/>
      <c r="K106" s="677"/>
      <c r="L106" s="677"/>
      <c r="M106" s="699"/>
      <c r="N106" s="1153"/>
      <c r="O106" s="1153"/>
      <c r="P106" s="558"/>
      <c r="Q106" s="559"/>
    </row>
    <row r="107" spans="1:17" ht="28">
      <c r="A107" s="527" t="s">
        <v>2560</v>
      </c>
      <c r="B107" s="528" t="s">
        <v>2788</v>
      </c>
      <c r="C107" s="529" t="str">
        <f t="shared" ref="C107:L107" si="25">C108&amp;"(含)"&amp;"-"&amp;D108</f>
        <v>0(含)-30000</v>
      </c>
      <c r="D107" s="529" t="str">
        <f t="shared" si="25"/>
        <v>30000(含)-60000</v>
      </c>
      <c r="E107" s="529" t="str">
        <f t="shared" si="25"/>
        <v>60000(含)-90000</v>
      </c>
      <c r="F107" s="529" t="str">
        <f t="shared" si="25"/>
        <v>90000(含)-120000</v>
      </c>
      <c r="G107" s="529" t="str">
        <f t="shared" si="25"/>
        <v>120000(含)-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v>0</v>
      </c>
      <c r="D108" s="595">
        <v>30000</v>
      </c>
      <c r="E108" s="595">
        <v>60000</v>
      </c>
      <c r="F108" s="595">
        <v>90000</v>
      </c>
      <c r="G108" s="595">
        <v>120000</v>
      </c>
      <c r="H108" s="595"/>
      <c r="I108" s="595"/>
      <c r="J108" s="596"/>
      <c r="K108" s="596"/>
      <c r="L108" s="597"/>
      <c r="M108" s="598"/>
      <c r="N108" s="1152"/>
      <c r="O108" s="1152"/>
      <c r="P108" s="45"/>
      <c r="Q108" s="504"/>
    </row>
    <row r="109" spans="1:17" ht="14.5" thickBot="1">
      <c r="A109" s="534"/>
      <c r="B109" s="543"/>
      <c r="C109" s="570">
        <v>98</v>
      </c>
      <c r="D109" s="591">
        <v>99</v>
      </c>
      <c r="E109" s="591">
        <v>100</v>
      </c>
      <c r="F109" s="591">
        <v>99</v>
      </c>
      <c r="G109" s="591">
        <v>98</v>
      </c>
      <c r="H109" s="591"/>
      <c r="I109" s="591"/>
      <c r="J109" s="591"/>
      <c r="K109" s="591"/>
      <c r="L109" s="591"/>
      <c r="M109" s="592"/>
      <c r="N109" s="1153"/>
      <c r="O109" s="1153"/>
      <c r="P109" s="45"/>
      <c r="Q109" s="504"/>
    </row>
    <row r="110" spans="1:17" ht="14.5" thickTop="1">
      <c r="A110" s="599"/>
      <c r="B110" s="538" t="s">
        <v>2789</v>
      </c>
      <c r="C110" s="583"/>
      <c r="D110" s="583"/>
      <c r="E110" s="583"/>
      <c r="F110" s="583"/>
      <c r="G110" s="583"/>
      <c r="H110" s="583"/>
      <c r="I110" s="583"/>
      <c r="J110" s="583"/>
      <c r="K110" s="584"/>
      <c r="L110" s="585"/>
      <c r="M110" s="586"/>
      <c r="N110" s="1152"/>
      <c r="O110" s="1152"/>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4.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4.5" thickTop="1">
      <c r="A114" s="599"/>
      <c r="B114" s="538" t="s">
        <v>2792</v>
      </c>
      <c r="C114" s="554"/>
      <c r="D114" s="554"/>
      <c r="E114" s="583"/>
      <c r="F114" s="583"/>
      <c r="G114" s="583"/>
      <c r="H114" s="583"/>
      <c r="I114" s="583"/>
      <c r="J114" s="583"/>
      <c r="K114" s="584"/>
      <c r="L114" s="585"/>
      <c r="M114" s="586"/>
      <c r="N114" s="1152"/>
      <c r="O114" s="1152"/>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5" thickTop="1">
      <c r="A116" s="599"/>
      <c r="B116" s="538">
        <f>B38</f>
        <v>111</v>
      </c>
      <c r="C116" s="554"/>
      <c r="D116" s="554"/>
      <c r="E116" s="554"/>
      <c r="F116" s="554"/>
      <c r="G116" s="554"/>
      <c r="H116" s="583"/>
      <c r="I116" s="583"/>
      <c r="J116" s="583"/>
      <c r="K116" s="584"/>
      <c r="L116" s="585"/>
      <c r="M116" s="586"/>
      <c r="N116" s="1152"/>
      <c r="O116" s="1152"/>
      <c r="P116" s="45"/>
      <c r="Q116" s="504"/>
    </row>
    <row r="117" spans="1:17" ht="14.5" thickBot="1">
      <c r="A117" s="534"/>
      <c r="B117" s="543"/>
      <c r="C117" s="560"/>
      <c r="D117" s="536"/>
      <c r="E117" s="536"/>
      <c r="F117" s="536"/>
      <c r="G117" s="536"/>
      <c r="H117" s="536"/>
      <c r="I117" s="536"/>
      <c r="J117" s="536"/>
      <c r="K117" s="536"/>
      <c r="L117" s="536"/>
      <c r="M117" s="537"/>
      <c r="N117" s="1153"/>
      <c r="O117" s="1153"/>
      <c r="P117" s="45"/>
      <c r="Q117" s="504"/>
    </row>
    <row r="118" spans="1:17" ht="14.5" thickTop="1">
      <c r="A118" s="599"/>
      <c r="B118" s="538">
        <f>B39</f>
        <v>111</v>
      </c>
      <c r="C118" s="554"/>
      <c r="D118" s="554"/>
      <c r="E118" s="554"/>
      <c r="F118" s="554"/>
      <c r="G118" s="583"/>
      <c r="H118" s="583"/>
      <c r="I118" s="583"/>
      <c r="J118" s="583"/>
      <c r="K118" s="584"/>
      <c r="L118" s="585"/>
      <c r="M118" s="586"/>
      <c r="N118" s="1152"/>
      <c r="O118" s="1152"/>
      <c r="P118" s="45"/>
      <c r="Q118" s="504"/>
    </row>
    <row r="119" spans="1:17" ht="14.5" thickBot="1">
      <c r="A119" s="534"/>
      <c r="B119" s="543"/>
      <c r="C119" s="560"/>
      <c r="D119" s="560"/>
      <c r="E119" s="560"/>
      <c r="F119" s="560"/>
      <c r="G119" s="536"/>
      <c r="H119" s="536"/>
      <c r="I119" s="536"/>
      <c r="J119" s="536"/>
      <c r="K119" s="536"/>
      <c r="L119" s="536"/>
      <c r="M119" s="537"/>
      <c r="N119" s="1153"/>
      <c r="O119" s="1153"/>
      <c r="P119" s="45"/>
      <c r="Q119" s="504"/>
    </row>
    <row r="120" spans="1:17" s="471" customFormat="1" ht="14.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9EE0F-236E-4C6D-8094-61DAC28B67D5}">
  <sheetPr>
    <tabColor rgb="FF92D050"/>
  </sheetPr>
  <dimension ref="A1:N51"/>
  <sheetViews>
    <sheetView topLeftCell="A6" workbookViewId="0">
      <selection activeCell="M38" sqref="M38"/>
    </sheetView>
  </sheetViews>
  <sheetFormatPr defaultRowHeight="14"/>
  <cols>
    <col min="1" max="1" width="16.6328125" customWidth="1"/>
    <col min="6" max="6" width="15.90625" customWidth="1"/>
  </cols>
  <sheetData>
    <row r="1" spans="1:14">
      <c r="A1" s="2959" t="s">
        <v>3079</v>
      </c>
      <c r="B1" s="2959" t="s">
        <v>3080</v>
      </c>
      <c r="C1" s="2959" t="s">
        <v>3081</v>
      </c>
      <c r="D1" s="2959" t="s">
        <v>3082</v>
      </c>
      <c r="E1" s="2959" t="s">
        <v>3083</v>
      </c>
      <c r="F1" s="2959" t="s">
        <v>3084</v>
      </c>
      <c r="G1" s="2959" t="s">
        <v>3085</v>
      </c>
      <c r="H1" s="2959" t="s">
        <v>3086</v>
      </c>
      <c r="I1" s="2959" t="s">
        <v>3087</v>
      </c>
      <c r="J1" s="2959" t="s">
        <v>3088</v>
      </c>
      <c r="K1" s="2959" t="s">
        <v>3089</v>
      </c>
      <c r="L1" s="2959" t="s">
        <v>3090</v>
      </c>
      <c r="M1" s="2959" t="s">
        <v>3091</v>
      </c>
    </row>
    <row r="2" spans="1:14">
      <c r="A2" s="2959" t="s">
        <v>3092</v>
      </c>
      <c r="B2" s="2959" t="s">
        <v>3093</v>
      </c>
      <c r="C2" s="2959" t="s">
        <v>3094</v>
      </c>
      <c r="D2" s="2959">
        <v>26706</v>
      </c>
      <c r="E2" s="2959">
        <v>53412</v>
      </c>
      <c r="F2" s="2959" t="s">
        <v>3095</v>
      </c>
      <c r="G2" s="2959" t="s">
        <v>3096</v>
      </c>
      <c r="H2" s="2959" t="s">
        <v>3097</v>
      </c>
      <c r="I2" s="2959">
        <v>160</v>
      </c>
      <c r="J2" s="2959">
        <v>160</v>
      </c>
      <c r="K2" s="2959">
        <v>29.96</v>
      </c>
      <c r="L2" s="2959">
        <v>0</v>
      </c>
      <c r="M2" s="2959" t="s">
        <v>3098</v>
      </c>
      <c r="N2">
        <f>ROUND(I2/D2*10000,0)</f>
        <v>60</v>
      </c>
    </row>
    <row r="3" spans="1:14">
      <c r="A3" s="2959" t="s">
        <v>3099</v>
      </c>
      <c r="B3" s="2959" t="s">
        <v>3093</v>
      </c>
      <c r="C3" s="2959" t="s">
        <v>3094</v>
      </c>
      <c r="D3" s="2959">
        <v>11556.1</v>
      </c>
      <c r="E3" s="2959">
        <v>23112.2</v>
      </c>
      <c r="F3" s="2959" t="s">
        <v>3100</v>
      </c>
      <c r="G3" s="2959" t="s">
        <v>3096</v>
      </c>
      <c r="H3" s="2959" t="s">
        <v>3101</v>
      </c>
      <c r="I3" s="2959">
        <v>693</v>
      </c>
      <c r="J3" s="2959">
        <v>693</v>
      </c>
      <c r="K3" s="2959">
        <v>299.83</v>
      </c>
      <c r="L3" s="2959">
        <v>0</v>
      </c>
      <c r="M3" s="2959" t="s">
        <v>3102</v>
      </c>
      <c r="N3">
        <f t="shared" ref="N3:N51" si="0">ROUND(I3/D3*10000,0)</f>
        <v>600</v>
      </c>
    </row>
    <row r="4" spans="1:14">
      <c r="A4" s="2959" t="s">
        <v>3103</v>
      </c>
      <c r="B4" s="2959" t="s">
        <v>3093</v>
      </c>
      <c r="C4" s="2959" t="s">
        <v>3094</v>
      </c>
      <c r="D4" s="2959">
        <v>20128.900000000001</v>
      </c>
      <c r="E4" s="2959">
        <v>40257.800000000003</v>
      </c>
      <c r="F4" s="2959" t="s">
        <v>3104</v>
      </c>
      <c r="G4" s="2959" t="s">
        <v>3096</v>
      </c>
      <c r="H4" s="2959" t="s">
        <v>3105</v>
      </c>
      <c r="I4" s="2959">
        <v>1208</v>
      </c>
      <c r="J4" s="2959">
        <v>1208</v>
      </c>
      <c r="K4" s="2959">
        <v>300.06</v>
      </c>
      <c r="L4" s="2959">
        <v>0</v>
      </c>
      <c r="M4" s="2959" t="s">
        <v>3106</v>
      </c>
      <c r="N4">
        <f t="shared" si="0"/>
        <v>600</v>
      </c>
    </row>
    <row r="5" spans="1:14">
      <c r="A5" s="2959" t="s">
        <v>3107</v>
      </c>
      <c r="B5" s="2959" t="s">
        <v>3093</v>
      </c>
      <c r="C5" s="2959" t="s">
        <v>3094</v>
      </c>
      <c r="D5" s="2959">
        <v>16369.6</v>
      </c>
      <c r="E5" s="2959">
        <v>32739.200000000001</v>
      </c>
      <c r="F5" s="2959" t="s">
        <v>3108</v>
      </c>
      <c r="G5" s="2959" t="s">
        <v>3096</v>
      </c>
      <c r="H5" s="2959" t="s">
        <v>3105</v>
      </c>
      <c r="I5" s="2959">
        <v>982</v>
      </c>
      <c r="J5" s="2959">
        <v>982</v>
      </c>
      <c r="K5" s="2959">
        <v>299.94</v>
      </c>
      <c r="L5" s="2959">
        <v>0</v>
      </c>
      <c r="M5" s="2959" t="s">
        <v>3109</v>
      </c>
      <c r="N5">
        <f t="shared" si="0"/>
        <v>600</v>
      </c>
    </row>
    <row r="6" spans="1:14">
      <c r="A6" s="2959" t="s">
        <v>3110</v>
      </c>
      <c r="B6" s="2959" t="s">
        <v>3093</v>
      </c>
      <c r="C6" s="2959" t="s">
        <v>3094</v>
      </c>
      <c r="D6" s="2959">
        <v>74028.399999999994</v>
      </c>
      <c r="E6" s="2959">
        <v>148056.79999999999</v>
      </c>
      <c r="F6" s="2959" t="s">
        <v>3104</v>
      </c>
      <c r="G6" s="2959" t="s">
        <v>3096</v>
      </c>
      <c r="H6" s="2959" t="s">
        <v>3105</v>
      </c>
      <c r="I6" s="2959">
        <v>4442</v>
      </c>
      <c r="J6" s="2959">
        <v>4442</v>
      </c>
      <c r="K6" s="2959">
        <v>300.01</v>
      </c>
      <c r="L6" s="2959">
        <v>0</v>
      </c>
      <c r="M6" s="2959" t="s">
        <v>3111</v>
      </c>
      <c r="N6">
        <f t="shared" si="0"/>
        <v>600</v>
      </c>
    </row>
    <row r="7" spans="1:14">
      <c r="A7" s="2959" t="s">
        <v>3112</v>
      </c>
      <c r="B7" s="2959" t="s">
        <v>3093</v>
      </c>
      <c r="C7" s="2959" t="s">
        <v>3094</v>
      </c>
      <c r="D7" s="2959">
        <v>50380.4</v>
      </c>
      <c r="E7" s="2959">
        <v>10760.8</v>
      </c>
      <c r="F7" s="2959" t="s">
        <v>3113</v>
      </c>
      <c r="G7" s="2959" t="s">
        <v>3096</v>
      </c>
      <c r="H7" s="2959" t="s">
        <v>3114</v>
      </c>
      <c r="I7" s="2959">
        <v>10656</v>
      </c>
      <c r="J7" s="2959">
        <v>10656</v>
      </c>
      <c r="K7" s="2959">
        <v>9902.61</v>
      </c>
      <c r="L7" s="2959">
        <v>0</v>
      </c>
      <c r="M7" s="2959" t="s">
        <v>3115</v>
      </c>
      <c r="N7">
        <f t="shared" si="0"/>
        <v>2115</v>
      </c>
    </row>
    <row r="8" spans="1:14">
      <c r="A8" s="2959" t="s">
        <v>3116</v>
      </c>
      <c r="B8" s="2959" t="s">
        <v>3093</v>
      </c>
      <c r="C8" s="2959" t="s">
        <v>3094</v>
      </c>
      <c r="D8" s="2959">
        <v>115814.7</v>
      </c>
      <c r="E8" s="2959">
        <v>289536.75</v>
      </c>
      <c r="F8" s="2959" t="s">
        <v>3117</v>
      </c>
      <c r="G8" s="2959" t="s">
        <v>3096</v>
      </c>
      <c r="H8" s="2959" t="s">
        <v>3118</v>
      </c>
      <c r="I8" s="2959">
        <v>10423</v>
      </c>
      <c r="J8" s="2959">
        <v>10423</v>
      </c>
      <c r="K8" s="2959">
        <v>359.99</v>
      </c>
      <c r="L8" s="2959">
        <v>0</v>
      </c>
      <c r="M8" s="2959" t="s">
        <v>3119</v>
      </c>
      <c r="N8">
        <f t="shared" si="0"/>
        <v>900</v>
      </c>
    </row>
    <row r="9" spans="1:14">
      <c r="A9" s="2959" t="s">
        <v>3120</v>
      </c>
      <c r="B9" s="2959" t="s">
        <v>3093</v>
      </c>
      <c r="C9" s="2959" t="s">
        <v>3094</v>
      </c>
      <c r="D9" s="2959">
        <v>12463.7</v>
      </c>
      <c r="E9" s="2959">
        <v>24927.4</v>
      </c>
      <c r="F9" s="2959" t="s">
        <v>3121</v>
      </c>
      <c r="G9" s="2959" t="s">
        <v>3096</v>
      </c>
      <c r="H9" s="2959" t="s">
        <v>3122</v>
      </c>
      <c r="I9" s="2959">
        <v>748</v>
      </c>
      <c r="J9" s="2959">
        <v>748</v>
      </c>
      <c r="K9" s="2959">
        <v>300.06</v>
      </c>
      <c r="L9" s="2959">
        <v>0</v>
      </c>
      <c r="M9" s="2959" t="s">
        <v>3109</v>
      </c>
      <c r="N9">
        <f t="shared" si="0"/>
        <v>600</v>
      </c>
    </row>
    <row r="10" spans="1:14">
      <c r="A10" s="2959" t="s">
        <v>3123</v>
      </c>
      <c r="B10" s="2959" t="s">
        <v>3093</v>
      </c>
      <c r="C10" s="2959" t="s">
        <v>3094</v>
      </c>
      <c r="D10" s="2959">
        <v>88981.3</v>
      </c>
      <c r="E10" s="2959">
        <v>177962.6</v>
      </c>
      <c r="F10" s="2959" t="s">
        <v>3121</v>
      </c>
      <c r="G10" s="2959" t="s">
        <v>3096</v>
      </c>
      <c r="H10" s="2959" t="s">
        <v>3124</v>
      </c>
      <c r="I10" s="2959">
        <v>5339</v>
      </c>
      <c r="J10" s="2959">
        <v>5339</v>
      </c>
      <c r="K10" s="2959">
        <v>300</v>
      </c>
      <c r="L10" s="2959">
        <v>0</v>
      </c>
      <c r="M10" s="2959" t="s">
        <v>3125</v>
      </c>
      <c r="N10">
        <f t="shared" si="0"/>
        <v>600</v>
      </c>
    </row>
    <row r="11" spans="1:14">
      <c r="A11" s="2959" t="s">
        <v>3126</v>
      </c>
      <c r="B11" s="2959" t="s">
        <v>3093</v>
      </c>
      <c r="C11" s="2959" t="s">
        <v>3094</v>
      </c>
      <c r="D11" s="2959">
        <v>62846.2</v>
      </c>
      <c r="E11" s="2959">
        <v>125692.4</v>
      </c>
      <c r="F11" s="2959" t="s">
        <v>3104</v>
      </c>
      <c r="G11" s="2959" t="s">
        <v>3096</v>
      </c>
      <c r="H11" s="2959" t="s">
        <v>3127</v>
      </c>
      <c r="I11" s="2959">
        <v>3771</v>
      </c>
      <c r="J11" s="2959">
        <v>3771</v>
      </c>
      <c r="K11" s="2959">
        <v>300.01</v>
      </c>
      <c r="L11" s="2959">
        <v>0</v>
      </c>
      <c r="M11" s="2959" t="s">
        <v>3128</v>
      </c>
      <c r="N11">
        <f t="shared" si="0"/>
        <v>600</v>
      </c>
    </row>
    <row r="12" spans="1:14">
      <c r="A12" s="2959" t="s">
        <v>3129</v>
      </c>
      <c r="B12" s="2959" t="s">
        <v>3093</v>
      </c>
      <c r="C12" s="2959" t="s">
        <v>3094</v>
      </c>
      <c r="D12" s="2959">
        <v>11643.4</v>
      </c>
      <c r="E12" s="2959">
        <v>34930.199999999997</v>
      </c>
      <c r="F12" s="2959" t="s">
        <v>3130</v>
      </c>
      <c r="G12" s="2959" t="s">
        <v>3096</v>
      </c>
      <c r="H12" s="2959" t="s">
        <v>3131</v>
      </c>
      <c r="I12" s="2959">
        <v>699</v>
      </c>
      <c r="J12" s="2959">
        <v>699</v>
      </c>
      <c r="K12" s="2959">
        <v>200.11</v>
      </c>
      <c r="L12" s="2959">
        <v>0</v>
      </c>
      <c r="M12" s="2959" t="s">
        <v>3132</v>
      </c>
      <c r="N12">
        <f t="shared" si="0"/>
        <v>600</v>
      </c>
    </row>
    <row r="13" spans="1:14">
      <c r="A13" s="2959" t="s">
        <v>3133</v>
      </c>
      <c r="B13" s="2959" t="s">
        <v>3093</v>
      </c>
      <c r="C13" s="2959" t="s">
        <v>3094</v>
      </c>
      <c r="D13" s="2959">
        <v>6748.3</v>
      </c>
      <c r="E13" s="2959">
        <v>20244.900000000001</v>
      </c>
      <c r="F13" s="2959" t="s">
        <v>3130</v>
      </c>
      <c r="G13" s="2959" t="s">
        <v>3096</v>
      </c>
      <c r="H13" s="2959" t="s">
        <v>3131</v>
      </c>
      <c r="I13" s="2959">
        <v>40</v>
      </c>
      <c r="J13" s="2959">
        <v>40</v>
      </c>
      <c r="K13" s="2959">
        <v>19.760000000000002</v>
      </c>
      <c r="L13" s="2959">
        <v>0</v>
      </c>
      <c r="M13" s="2959" t="s">
        <v>3134</v>
      </c>
      <c r="N13">
        <f t="shared" si="0"/>
        <v>59</v>
      </c>
    </row>
    <row r="14" spans="1:14" s="2961" customFormat="1">
      <c r="A14" s="2962" t="s">
        <v>3135</v>
      </c>
      <c r="B14" s="2962" t="s">
        <v>3093</v>
      </c>
      <c r="C14" s="2962" t="s">
        <v>3094</v>
      </c>
      <c r="D14" s="2962">
        <v>7824.3</v>
      </c>
      <c r="E14" s="2962">
        <v>15648.6</v>
      </c>
      <c r="F14" s="2962" t="s">
        <v>3136</v>
      </c>
      <c r="G14" s="2962" t="s">
        <v>3096</v>
      </c>
      <c r="H14" s="2962" t="s">
        <v>3137</v>
      </c>
      <c r="I14" s="2962">
        <v>387</v>
      </c>
      <c r="J14" s="2962">
        <v>387</v>
      </c>
      <c r="K14" s="2962">
        <v>247.31</v>
      </c>
      <c r="L14" s="2962">
        <v>0</v>
      </c>
      <c r="M14" s="2962" t="s">
        <v>3138</v>
      </c>
      <c r="N14" s="2961">
        <f t="shared" si="0"/>
        <v>495</v>
      </c>
    </row>
    <row r="15" spans="1:14">
      <c r="A15" s="2959" t="s">
        <v>3092</v>
      </c>
      <c r="B15" s="2959" t="s">
        <v>3093</v>
      </c>
      <c r="C15" s="2959" t="s">
        <v>3094</v>
      </c>
      <c r="D15" s="2959">
        <v>26756.3</v>
      </c>
      <c r="E15" s="2959">
        <v>53512.6</v>
      </c>
      <c r="F15" s="2959" t="s">
        <v>3136</v>
      </c>
      <c r="G15" s="2959" t="s">
        <v>3096</v>
      </c>
      <c r="H15" s="2959" t="s">
        <v>3137</v>
      </c>
      <c r="I15" s="2959">
        <v>927</v>
      </c>
      <c r="J15" s="2959">
        <v>927</v>
      </c>
      <c r="K15" s="2959">
        <v>173.22</v>
      </c>
      <c r="L15" s="2959">
        <v>0</v>
      </c>
      <c r="M15" s="2959" t="s">
        <v>3139</v>
      </c>
      <c r="N15">
        <f t="shared" si="0"/>
        <v>346</v>
      </c>
    </row>
    <row r="16" spans="1:14" s="2961" customFormat="1">
      <c r="A16" s="2962" t="s">
        <v>3140</v>
      </c>
      <c r="B16" s="2962" t="s">
        <v>3093</v>
      </c>
      <c r="C16" s="2962" t="s">
        <v>3094</v>
      </c>
      <c r="D16" s="2962">
        <v>19937.599999999999</v>
      </c>
      <c r="E16" s="2962">
        <v>39875.199999999997</v>
      </c>
      <c r="F16" s="2962" t="s">
        <v>3136</v>
      </c>
      <c r="G16" s="2962" t="s">
        <v>3096</v>
      </c>
      <c r="H16" s="2962" t="s">
        <v>3137</v>
      </c>
      <c r="I16" s="2962">
        <v>987</v>
      </c>
      <c r="J16" s="2962">
        <v>987</v>
      </c>
      <c r="K16" s="2962">
        <v>247.52</v>
      </c>
      <c r="L16" s="2962">
        <v>0</v>
      </c>
      <c r="M16" s="2962" t="s">
        <v>3141</v>
      </c>
      <c r="N16" s="2961">
        <f t="shared" si="0"/>
        <v>495</v>
      </c>
    </row>
    <row r="17" spans="1:14" s="2961" customFormat="1">
      <c r="A17" s="2962" t="s">
        <v>3142</v>
      </c>
      <c r="B17" s="2962" t="s">
        <v>3093</v>
      </c>
      <c r="C17" s="2962" t="s">
        <v>3094</v>
      </c>
      <c r="D17" s="2962">
        <v>40206.400000000001</v>
      </c>
      <c r="E17" s="2962">
        <v>80412.800000000003</v>
      </c>
      <c r="F17" s="2962" t="s">
        <v>3136</v>
      </c>
      <c r="G17" s="2962" t="s">
        <v>3096</v>
      </c>
      <c r="H17" s="2962" t="s">
        <v>3137</v>
      </c>
      <c r="I17" s="2962">
        <v>1990</v>
      </c>
      <c r="J17" s="2962">
        <v>1990</v>
      </c>
      <c r="K17" s="2962">
        <v>247.46</v>
      </c>
      <c r="L17" s="2962">
        <v>0</v>
      </c>
      <c r="M17" s="2962" t="s">
        <v>3143</v>
      </c>
      <c r="N17" s="2961">
        <f t="shared" si="0"/>
        <v>495</v>
      </c>
    </row>
    <row r="18" spans="1:14">
      <c r="A18" s="2959" t="s">
        <v>3144</v>
      </c>
      <c r="B18" s="2959" t="s">
        <v>3093</v>
      </c>
      <c r="C18" s="2959" t="s">
        <v>3094</v>
      </c>
      <c r="D18" s="2959">
        <v>45151.8</v>
      </c>
      <c r="E18" s="2959">
        <v>90303.6</v>
      </c>
      <c r="F18" s="2959" t="s">
        <v>3145</v>
      </c>
      <c r="G18" s="2959" t="s">
        <v>3096</v>
      </c>
      <c r="H18" s="2959" t="s">
        <v>3146</v>
      </c>
      <c r="I18" s="2959">
        <v>2709</v>
      </c>
      <c r="J18" s="2959">
        <v>2709</v>
      </c>
      <c r="K18" s="2959">
        <v>299.99</v>
      </c>
      <c r="L18" s="2959">
        <v>0</v>
      </c>
      <c r="M18" s="2959" t="s">
        <v>3147</v>
      </c>
      <c r="N18">
        <f t="shared" si="0"/>
        <v>600</v>
      </c>
    </row>
    <row r="19" spans="1:14">
      <c r="A19" s="2959" t="s">
        <v>3148</v>
      </c>
      <c r="B19" s="2959" t="s">
        <v>3093</v>
      </c>
      <c r="C19" s="2959" t="s">
        <v>3094</v>
      </c>
      <c r="D19" s="2959">
        <v>5989.9</v>
      </c>
      <c r="E19" s="2959">
        <v>8984.85</v>
      </c>
      <c r="F19" s="2959" t="s">
        <v>3149</v>
      </c>
      <c r="G19" s="2959" t="s">
        <v>3096</v>
      </c>
      <c r="H19" s="2959" t="s">
        <v>3150</v>
      </c>
      <c r="I19" s="2959">
        <v>297</v>
      </c>
      <c r="J19" s="2959">
        <v>297</v>
      </c>
      <c r="K19" s="2959">
        <v>330.56</v>
      </c>
      <c r="L19" s="2959">
        <v>0</v>
      </c>
      <c r="M19" s="2959" t="s">
        <v>3151</v>
      </c>
      <c r="N19">
        <f t="shared" si="0"/>
        <v>496</v>
      </c>
    </row>
    <row r="20" spans="1:14">
      <c r="A20" s="2959" t="s">
        <v>3152</v>
      </c>
      <c r="B20" s="2959" t="s">
        <v>3093</v>
      </c>
      <c r="C20" s="2959" t="s">
        <v>3094</v>
      </c>
      <c r="D20" s="2959">
        <v>26666.799999999999</v>
      </c>
      <c r="E20" s="2959">
        <v>53333.599999999999</v>
      </c>
      <c r="F20" s="2959" t="s">
        <v>3095</v>
      </c>
      <c r="G20" s="2959" t="s">
        <v>3096</v>
      </c>
      <c r="H20" s="2959" t="s">
        <v>3153</v>
      </c>
      <c r="I20" s="2959">
        <v>1320</v>
      </c>
      <c r="J20" s="2959">
        <v>1320</v>
      </c>
      <c r="K20" s="2959">
        <v>247.5</v>
      </c>
      <c r="L20" s="2959">
        <v>0</v>
      </c>
      <c r="M20" s="2959" t="s">
        <v>3154</v>
      </c>
      <c r="N20">
        <f t="shared" si="0"/>
        <v>495</v>
      </c>
    </row>
    <row r="21" spans="1:14">
      <c r="A21" s="2959" t="s">
        <v>3155</v>
      </c>
      <c r="B21" s="2959" t="s">
        <v>3093</v>
      </c>
      <c r="C21" s="2959" t="s">
        <v>3094</v>
      </c>
      <c r="D21" s="2959">
        <v>13341.5</v>
      </c>
      <c r="E21" s="2959">
        <v>26683</v>
      </c>
      <c r="F21" s="2959" t="s">
        <v>3095</v>
      </c>
      <c r="G21" s="2959" t="s">
        <v>3096</v>
      </c>
      <c r="H21" s="2959" t="s">
        <v>3153</v>
      </c>
      <c r="I21" s="2959">
        <v>660</v>
      </c>
      <c r="J21" s="2959">
        <v>660</v>
      </c>
      <c r="K21" s="2959">
        <v>247.34</v>
      </c>
      <c r="L21" s="2959">
        <v>0</v>
      </c>
      <c r="M21" s="2959" t="s">
        <v>3156</v>
      </c>
      <c r="N21">
        <f t="shared" si="0"/>
        <v>495</v>
      </c>
    </row>
    <row r="22" spans="1:14">
      <c r="A22" s="2959" t="s">
        <v>3157</v>
      </c>
      <c r="B22" s="2959" t="s">
        <v>3093</v>
      </c>
      <c r="C22" s="2959" t="s">
        <v>3094</v>
      </c>
      <c r="D22" s="2959">
        <v>20234.7</v>
      </c>
      <c r="E22" s="2959">
        <v>40469.4</v>
      </c>
      <c r="F22" s="2959" t="s">
        <v>3095</v>
      </c>
      <c r="G22" s="2959" t="s">
        <v>3096</v>
      </c>
      <c r="H22" s="2959" t="s">
        <v>3158</v>
      </c>
      <c r="I22" s="2959">
        <v>1002</v>
      </c>
      <c r="J22" s="2959">
        <v>1002</v>
      </c>
      <c r="K22" s="2959">
        <v>247.59</v>
      </c>
      <c r="L22" s="2959">
        <v>0</v>
      </c>
      <c r="M22" s="2959" t="s">
        <v>3159</v>
      </c>
      <c r="N22">
        <f t="shared" si="0"/>
        <v>495</v>
      </c>
    </row>
    <row r="23" spans="1:14">
      <c r="A23" s="2959" t="s">
        <v>3160</v>
      </c>
      <c r="B23" s="2959" t="s">
        <v>3093</v>
      </c>
      <c r="C23" s="2959" t="s">
        <v>3094</v>
      </c>
      <c r="D23" s="2959">
        <v>4763</v>
      </c>
      <c r="E23" s="2959">
        <v>7144.5</v>
      </c>
      <c r="F23" s="2959" t="s">
        <v>3161</v>
      </c>
      <c r="G23" s="2959" t="s">
        <v>3096</v>
      </c>
      <c r="H23" s="2959" t="s">
        <v>3158</v>
      </c>
      <c r="I23" s="2959">
        <v>236</v>
      </c>
      <c r="J23" s="2959">
        <v>236</v>
      </c>
      <c r="K23" s="2959">
        <v>330.31</v>
      </c>
      <c r="L23" s="2959">
        <v>0</v>
      </c>
      <c r="M23" s="2959" t="s">
        <v>3162</v>
      </c>
      <c r="N23">
        <f t="shared" si="0"/>
        <v>495</v>
      </c>
    </row>
    <row r="24" spans="1:14">
      <c r="A24" s="2959" t="s">
        <v>3163</v>
      </c>
      <c r="B24" s="2959" t="s">
        <v>3093</v>
      </c>
      <c r="C24" s="2959" t="s">
        <v>3094</v>
      </c>
      <c r="D24" s="2959">
        <v>61382.7</v>
      </c>
      <c r="E24" s="2959">
        <v>122765.4</v>
      </c>
      <c r="F24" s="2959" t="s">
        <v>3095</v>
      </c>
      <c r="G24" s="2959" t="s">
        <v>3096</v>
      </c>
      <c r="H24" s="2959" t="s">
        <v>3158</v>
      </c>
      <c r="I24" s="2959">
        <v>4143</v>
      </c>
      <c r="J24" s="2959">
        <v>4143</v>
      </c>
      <c r="K24" s="2959">
        <v>337.47</v>
      </c>
      <c r="L24" s="2959">
        <v>0</v>
      </c>
      <c r="M24" s="2959" t="s">
        <v>3164</v>
      </c>
      <c r="N24">
        <f t="shared" si="0"/>
        <v>675</v>
      </c>
    </row>
    <row r="25" spans="1:14">
      <c r="A25" s="2959" t="s">
        <v>3165</v>
      </c>
      <c r="B25" s="2959" t="s">
        <v>3093</v>
      </c>
      <c r="C25" s="2959" t="s">
        <v>3094</v>
      </c>
      <c r="D25" s="2959">
        <v>33182</v>
      </c>
      <c r="E25" s="2959">
        <v>66364</v>
      </c>
      <c r="F25" s="2959" t="s">
        <v>3095</v>
      </c>
      <c r="G25" s="2959" t="s">
        <v>3096</v>
      </c>
      <c r="H25" s="2959" t="s">
        <v>3158</v>
      </c>
      <c r="I25" s="2959">
        <v>1643</v>
      </c>
      <c r="J25" s="2959">
        <v>1643</v>
      </c>
      <c r="K25" s="2959">
        <v>247.56</v>
      </c>
      <c r="L25" s="2959">
        <v>0</v>
      </c>
      <c r="M25" s="2959" t="s">
        <v>3166</v>
      </c>
      <c r="N25">
        <f t="shared" si="0"/>
        <v>495</v>
      </c>
    </row>
    <row r="26" spans="1:14">
      <c r="A26" s="2959" t="s">
        <v>3167</v>
      </c>
      <c r="B26" s="2959" t="s">
        <v>3093</v>
      </c>
      <c r="C26" s="2959" t="s">
        <v>3094</v>
      </c>
      <c r="D26" s="2959">
        <v>63489.5</v>
      </c>
      <c r="E26" s="2959">
        <v>126979</v>
      </c>
      <c r="F26" s="2959" t="s">
        <v>3095</v>
      </c>
      <c r="G26" s="2959" t="s">
        <v>3096</v>
      </c>
      <c r="H26" s="2959" t="s">
        <v>3158</v>
      </c>
      <c r="I26" s="2959">
        <v>1905</v>
      </c>
      <c r="J26" s="2959">
        <v>1905</v>
      </c>
      <c r="K26" s="2959">
        <v>150.02000000000001</v>
      </c>
      <c r="L26" s="2959">
        <v>0</v>
      </c>
      <c r="M26" s="2959" t="s">
        <v>3168</v>
      </c>
      <c r="N26">
        <f t="shared" si="0"/>
        <v>300</v>
      </c>
    </row>
    <row r="27" spans="1:14">
      <c r="A27" s="2959" t="s">
        <v>3169</v>
      </c>
      <c r="B27" s="2959" t="s">
        <v>3093</v>
      </c>
      <c r="C27" s="2959" t="s">
        <v>3094</v>
      </c>
      <c r="D27" s="2959">
        <v>17856</v>
      </c>
      <c r="E27" s="2959">
        <v>35712</v>
      </c>
      <c r="F27" s="2959" t="s">
        <v>3095</v>
      </c>
      <c r="G27" s="2959" t="s">
        <v>3096</v>
      </c>
      <c r="H27" s="2959" t="s">
        <v>3158</v>
      </c>
      <c r="I27" s="2959">
        <v>884</v>
      </c>
      <c r="J27" s="2959">
        <v>884</v>
      </c>
      <c r="K27" s="2959">
        <v>247.53</v>
      </c>
      <c r="L27" s="2959">
        <v>0</v>
      </c>
      <c r="M27" s="2959" t="s">
        <v>3170</v>
      </c>
      <c r="N27">
        <f t="shared" si="0"/>
        <v>495</v>
      </c>
    </row>
    <row r="28" spans="1:14">
      <c r="A28" s="2959" t="s">
        <v>3171</v>
      </c>
      <c r="B28" s="2959" t="s">
        <v>3093</v>
      </c>
      <c r="C28" s="2959" t="s">
        <v>3094</v>
      </c>
      <c r="D28" s="2959">
        <v>20702.5</v>
      </c>
      <c r="E28" s="2959">
        <v>41405</v>
      </c>
      <c r="F28" s="2959" t="s">
        <v>3095</v>
      </c>
      <c r="G28" s="2959" t="s">
        <v>3096</v>
      </c>
      <c r="H28" s="2959" t="s">
        <v>3172</v>
      </c>
      <c r="I28" s="2959">
        <v>1025</v>
      </c>
      <c r="J28" s="2959">
        <v>1025</v>
      </c>
      <c r="K28" s="2959">
        <v>247.55</v>
      </c>
      <c r="L28" s="2959">
        <v>0</v>
      </c>
      <c r="M28" s="2959" t="s">
        <v>3173</v>
      </c>
      <c r="N28">
        <f t="shared" si="0"/>
        <v>495</v>
      </c>
    </row>
    <row r="29" spans="1:14">
      <c r="A29" s="2959" t="s">
        <v>3174</v>
      </c>
      <c r="B29" s="2959" t="s">
        <v>3093</v>
      </c>
      <c r="C29" s="2959" t="s">
        <v>3094</v>
      </c>
      <c r="D29" s="2959">
        <v>5688.6</v>
      </c>
      <c r="E29" s="2959">
        <v>11377.2</v>
      </c>
      <c r="F29" s="2959" t="s">
        <v>3095</v>
      </c>
      <c r="G29" s="2959" t="s">
        <v>3096</v>
      </c>
      <c r="H29" s="2959" t="s">
        <v>3172</v>
      </c>
      <c r="I29" s="2959">
        <v>282</v>
      </c>
      <c r="J29" s="2959">
        <v>282</v>
      </c>
      <c r="K29" s="2959">
        <v>247.86</v>
      </c>
      <c r="L29" s="2959">
        <v>0</v>
      </c>
      <c r="M29" s="2959" t="s">
        <v>3175</v>
      </c>
      <c r="N29">
        <f t="shared" si="0"/>
        <v>496</v>
      </c>
    </row>
    <row r="30" spans="1:14">
      <c r="A30" s="2959" t="s">
        <v>3176</v>
      </c>
      <c r="B30" s="2959" t="s">
        <v>3093</v>
      </c>
      <c r="C30" s="2959" t="s">
        <v>3094</v>
      </c>
      <c r="D30" s="2959">
        <v>37982.199999999997</v>
      </c>
      <c r="E30" s="2959">
        <v>37982.199999999997</v>
      </c>
      <c r="F30" s="2959" t="s">
        <v>3095</v>
      </c>
      <c r="G30" s="2959" t="s">
        <v>3096</v>
      </c>
      <c r="H30" s="2959" t="s">
        <v>3177</v>
      </c>
      <c r="I30" s="2959">
        <v>1880</v>
      </c>
      <c r="J30" s="2959">
        <v>1880</v>
      </c>
      <c r="K30" s="2959">
        <v>494.97</v>
      </c>
      <c r="L30" s="2959">
        <v>0</v>
      </c>
      <c r="M30" s="2959" t="s">
        <v>3178</v>
      </c>
      <c r="N30">
        <f t="shared" si="0"/>
        <v>495</v>
      </c>
    </row>
    <row r="31" spans="1:14">
      <c r="A31" s="2959" t="s">
        <v>3179</v>
      </c>
      <c r="B31" s="2959" t="s">
        <v>3093</v>
      </c>
      <c r="C31" s="2959" t="s">
        <v>3094</v>
      </c>
      <c r="D31" s="2959">
        <v>44555</v>
      </c>
      <c r="E31" s="2959">
        <v>89110</v>
      </c>
      <c r="F31" s="2959" t="s">
        <v>3095</v>
      </c>
      <c r="G31" s="2959" t="s">
        <v>3096</v>
      </c>
      <c r="H31" s="2959" t="s">
        <v>3180</v>
      </c>
      <c r="I31" s="2959">
        <v>2205</v>
      </c>
      <c r="J31" s="2959">
        <v>2205</v>
      </c>
      <c r="K31" s="2959">
        <v>247.44</v>
      </c>
      <c r="L31" s="2959">
        <v>0</v>
      </c>
      <c r="M31" s="2959" t="s">
        <v>3181</v>
      </c>
      <c r="N31">
        <f t="shared" si="0"/>
        <v>495</v>
      </c>
    </row>
    <row r="32" spans="1:14">
      <c r="A32" s="2959" t="s">
        <v>3182</v>
      </c>
      <c r="B32" s="2959" t="s">
        <v>3093</v>
      </c>
      <c r="C32" s="2959" t="s">
        <v>3094</v>
      </c>
      <c r="D32" s="2959">
        <v>23154.799999999999</v>
      </c>
      <c r="E32" s="2959">
        <v>46309.599999999999</v>
      </c>
      <c r="F32" s="2959" t="s">
        <v>3136</v>
      </c>
      <c r="G32" s="2959" t="s">
        <v>3096</v>
      </c>
      <c r="H32" s="2959" t="s">
        <v>3183</v>
      </c>
      <c r="I32" s="2959">
        <v>1146</v>
      </c>
      <c r="J32" s="2959">
        <v>1146</v>
      </c>
      <c r="K32" s="2959">
        <v>247.46</v>
      </c>
      <c r="L32" s="2959">
        <v>0</v>
      </c>
      <c r="M32" s="2959" t="s">
        <v>3184</v>
      </c>
      <c r="N32">
        <f t="shared" si="0"/>
        <v>495</v>
      </c>
    </row>
    <row r="33" spans="1:14">
      <c r="A33" s="2959" t="s">
        <v>3185</v>
      </c>
      <c r="B33" s="2959" t="s">
        <v>3093</v>
      </c>
      <c r="C33" s="2959" t="s">
        <v>3094</v>
      </c>
      <c r="D33" s="2959">
        <v>9871</v>
      </c>
      <c r="E33" s="2959">
        <v>9871</v>
      </c>
      <c r="F33" s="2959" t="s">
        <v>3186</v>
      </c>
      <c r="G33" s="2959" t="s">
        <v>3096</v>
      </c>
      <c r="H33" s="2959" t="s">
        <v>3187</v>
      </c>
      <c r="I33" s="2959">
        <v>489</v>
      </c>
      <c r="J33" s="2959">
        <v>489</v>
      </c>
      <c r="K33" s="2959">
        <v>495.38</v>
      </c>
      <c r="L33" s="2959">
        <v>0</v>
      </c>
      <c r="M33" s="2959" t="s">
        <v>3188</v>
      </c>
      <c r="N33">
        <f t="shared" si="0"/>
        <v>495</v>
      </c>
    </row>
    <row r="34" spans="1:14">
      <c r="A34" s="2959" t="s">
        <v>3189</v>
      </c>
      <c r="B34" s="2959" t="s">
        <v>3093</v>
      </c>
      <c r="C34" s="2959" t="s">
        <v>3094</v>
      </c>
      <c r="D34" s="2959">
        <v>41194.1</v>
      </c>
      <c r="E34" s="2959">
        <v>41194.1</v>
      </c>
      <c r="F34" s="2959" t="s">
        <v>3186</v>
      </c>
      <c r="G34" s="2959" t="s">
        <v>3096</v>
      </c>
      <c r="H34" s="2959" t="s">
        <v>3190</v>
      </c>
      <c r="I34" s="2959">
        <v>2039</v>
      </c>
      <c r="J34" s="2959">
        <v>2039</v>
      </c>
      <c r="K34" s="2959">
        <v>494.97</v>
      </c>
      <c r="L34" s="2959">
        <v>0</v>
      </c>
      <c r="M34" s="2959" t="s">
        <v>3191</v>
      </c>
      <c r="N34">
        <f t="shared" si="0"/>
        <v>495</v>
      </c>
    </row>
    <row r="35" spans="1:14">
      <c r="A35" s="2959" t="s">
        <v>3192</v>
      </c>
      <c r="B35" s="2959" t="s">
        <v>3093</v>
      </c>
      <c r="C35" s="2959" t="s">
        <v>3094</v>
      </c>
      <c r="D35" s="2959">
        <v>16055.8</v>
      </c>
      <c r="E35" s="2959">
        <v>16055.8</v>
      </c>
      <c r="F35" s="2959" t="s">
        <v>3186</v>
      </c>
      <c r="G35" s="2959" t="s">
        <v>3096</v>
      </c>
      <c r="H35" s="2959" t="s">
        <v>3193</v>
      </c>
      <c r="I35" s="2959">
        <v>843</v>
      </c>
      <c r="J35" s="2959">
        <v>843</v>
      </c>
      <c r="K35" s="2959">
        <v>525.03</v>
      </c>
      <c r="L35" s="2959">
        <v>0</v>
      </c>
      <c r="M35" s="2959" t="s">
        <v>3194</v>
      </c>
      <c r="N35">
        <f t="shared" si="0"/>
        <v>525</v>
      </c>
    </row>
    <row r="36" spans="1:14">
      <c r="A36" s="2959" t="s">
        <v>3195</v>
      </c>
      <c r="B36" s="2959" t="s">
        <v>3093</v>
      </c>
      <c r="C36" s="2959" t="s">
        <v>3094</v>
      </c>
      <c r="D36" s="2959">
        <v>29519.200000000001</v>
      </c>
      <c r="E36" s="2959">
        <v>29519.200000000001</v>
      </c>
      <c r="F36" s="2959" t="s">
        <v>3186</v>
      </c>
      <c r="G36" s="2959" t="s">
        <v>3096</v>
      </c>
      <c r="H36" s="2959" t="s">
        <v>3196</v>
      </c>
      <c r="I36" s="2959">
        <v>1461</v>
      </c>
      <c r="J36" s="2959">
        <v>1461</v>
      </c>
      <c r="K36" s="2959">
        <v>494.93</v>
      </c>
      <c r="L36" s="2959">
        <v>0</v>
      </c>
      <c r="M36" s="2959" t="s">
        <v>3197</v>
      </c>
      <c r="N36">
        <f t="shared" si="0"/>
        <v>495</v>
      </c>
    </row>
    <row r="37" spans="1:14">
      <c r="A37" s="2959" t="s">
        <v>3198</v>
      </c>
      <c r="B37" s="2959" t="s">
        <v>3093</v>
      </c>
      <c r="C37" s="2959" t="s">
        <v>3094</v>
      </c>
      <c r="D37" s="2959">
        <v>106921</v>
      </c>
      <c r="E37" s="2959">
        <v>106921</v>
      </c>
      <c r="F37" s="2959" t="s">
        <v>3186</v>
      </c>
      <c r="G37" s="2959" t="s">
        <v>3096</v>
      </c>
      <c r="H37" s="2959" t="s">
        <v>3199</v>
      </c>
      <c r="I37" s="2959">
        <v>5613</v>
      </c>
      <c r="J37" s="2959">
        <v>5613</v>
      </c>
      <c r="K37" s="2959">
        <v>524.97</v>
      </c>
      <c r="L37" s="2959">
        <v>0</v>
      </c>
      <c r="M37" s="2959" t="s">
        <v>3128</v>
      </c>
      <c r="N37">
        <f t="shared" si="0"/>
        <v>525</v>
      </c>
    </row>
    <row r="38" spans="1:14">
      <c r="A38" s="2959" t="s">
        <v>3200</v>
      </c>
      <c r="B38" s="2959" t="s">
        <v>3093</v>
      </c>
      <c r="C38" s="2959" t="s">
        <v>3094</v>
      </c>
      <c r="D38" s="2959">
        <v>37583.599999999999</v>
      </c>
      <c r="E38" s="2959">
        <v>37583.599999999999</v>
      </c>
      <c r="F38" s="2959" t="s">
        <v>3201</v>
      </c>
      <c r="G38" s="2959" t="s">
        <v>3096</v>
      </c>
      <c r="H38" s="2959" t="s">
        <v>3202</v>
      </c>
      <c r="I38" s="2959">
        <v>2875</v>
      </c>
      <c r="J38" s="2959">
        <v>2875</v>
      </c>
      <c r="K38" s="2959">
        <v>764.96</v>
      </c>
      <c r="L38" s="2959">
        <v>0</v>
      </c>
      <c r="M38" s="2959" t="s">
        <v>3203</v>
      </c>
      <c r="N38">
        <f t="shared" si="0"/>
        <v>765</v>
      </c>
    </row>
    <row r="39" spans="1:14">
      <c r="A39" s="2959" t="s">
        <v>3204</v>
      </c>
      <c r="B39" s="2959" t="s">
        <v>3093</v>
      </c>
      <c r="C39" s="2959" t="s">
        <v>3094</v>
      </c>
      <c r="D39" s="2959">
        <v>18351</v>
      </c>
      <c r="E39" s="2959">
        <v>18351</v>
      </c>
      <c r="F39" s="2959" t="s">
        <v>3186</v>
      </c>
      <c r="G39" s="2959" t="s">
        <v>3096</v>
      </c>
      <c r="H39" s="2959" t="s">
        <v>3205</v>
      </c>
      <c r="I39" s="2959">
        <v>908</v>
      </c>
      <c r="J39" s="2959">
        <v>908</v>
      </c>
      <c r="K39" s="2959">
        <v>494.8</v>
      </c>
      <c r="L39" s="2959">
        <v>0</v>
      </c>
      <c r="M39" s="2959" t="s">
        <v>3206</v>
      </c>
      <c r="N39">
        <f t="shared" si="0"/>
        <v>495</v>
      </c>
    </row>
    <row r="40" spans="1:14">
      <c r="A40" s="2959" t="s">
        <v>3207</v>
      </c>
      <c r="B40" s="2959" t="s">
        <v>3093</v>
      </c>
      <c r="C40" s="2959" t="s">
        <v>3094</v>
      </c>
      <c r="D40" s="2959">
        <v>32756.6</v>
      </c>
      <c r="E40" s="2959">
        <v>32756.6</v>
      </c>
      <c r="F40" s="2959" t="s">
        <v>3186</v>
      </c>
      <c r="G40" s="2959" t="s">
        <v>3096</v>
      </c>
      <c r="H40" s="2959" t="s">
        <v>3205</v>
      </c>
      <c r="I40" s="2959">
        <v>983</v>
      </c>
      <c r="J40" s="2959">
        <v>983</v>
      </c>
      <c r="K40" s="2959">
        <v>300.08</v>
      </c>
      <c r="L40" s="2959">
        <v>0</v>
      </c>
      <c r="M40" s="2959" t="s">
        <v>3208</v>
      </c>
      <c r="N40">
        <f t="shared" si="0"/>
        <v>300</v>
      </c>
    </row>
    <row r="41" spans="1:14">
      <c r="A41" s="2959" t="s">
        <v>3209</v>
      </c>
      <c r="B41" s="2959" t="s">
        <v>3093</v>
      </c>
      <c r="C41" s="2959" t="s">
        <v>3094</v>
      </c>
      <c r="D41" s="2959">
        <v>11956</v>
      </c>
      <c r="E41" s="2959">
        <v>11956</v>
      </c>
      <c r="F41" s="2959" t="s">
        <v>3186</v>
      </c>
      <c r="G41" s="2959" t="s">
        <v>3096</v>
      </c>
      <c r="H41" s="2959" t="s">
        <v>3205</v>
      </c>
      <c r="I41" s="2959">
        <v>592</v>
      </c>
      <c r="J41" s="2959">
        <v>592</v>
      </c>
      <c r="K41" s="2959">
        <v>495.14</v>
      </c>
      <c r="L41" s="2959">
        <v>0</v>
      </c>
      <c r="M41" s="2959" t="s">
        <v>3210</v>
      </c>
      <c r="N41">
        <f t="shared" si="0"/>
        <v>495</v>
      </c>
    </row>
    <row r="42" spans="1:14">
      <c r="A42" s="2959" t="s">
        <v>3211</v>
      </c>
      <c r="B42" s="2959" t="s">
        <v>3093</v>
      </c>
      <c r="C42" s="2959" t="s">
        <v>3094</v>
      </c>
      <c r="D42" s="2959">
        <v>135130.29999999999</v>
      </c>
      <c r="E42" s="2959">
        <v>162156.35999999999</v>
      </c>
      <c r="F42" s="2959" t="s">
        <v>3212</v>
      </c>
      <c r="G42" s="2959" t="s">
        <v>3096</v>
      </c>
      <c r="H42" s="2959" t="s">
        <v>3213</v>
      </c>
      <c r="I42" s="2959">
        <v>8716</v>
      </c>
      <c r="J42" s="2959">
        <v>8716</v>
      </c>
      <c r="K42" s="2959">
        <v>537.5</v>
      </c>
      <c r="L42" s="2959">
        <v>0</v>
      </c>
      <c r="M42" s="2959" t="s">
        <v>3214</v>
      </c>
      <c r="N42">
        <f t="shared" si="0"/>
        <v>645</v>
      </c>
    </row>
    <row r="43" spans="1:14" s="2958" customFormat="1">
      <c r="A43" s="2960" t="s">
        <v>3215</v>
      </c>
      <c r="B43" s="2960" t="s">
        <v>3093</v>
      </c>
      <c r="C43" s="2960" t="s">
        <v>3094</v>
      </c>
      <c r="D43" s="2960">
        <v>62695.5</v>
      </c>
      <c r="E43" s="2960">
        <v>62695.5</v>
      </c>
      <c r="F43" s="2960" t="s">
        <v>3186</v>
      </c>
      <c r="G43" s="2960" t="s">
        <v>3096</v>
      </c>
      <c r="H43" s="2960" t="s">
        <v>3213</v>
      </c>
      <c r="I43" s="2960">
        <v>3103</v>
      </c>
      <c r="J43" s="2960">
        <v>3103</v>
      </c>
      <c r="K43" s="2960">
        <v>494.93</v>
      </c>
      <c r="L43" s="2960">
        <v>0</v>
      </c>
      <c r="M43" s="2960" t="s">
        <v>3216</v>
      </c>
      <c r="N43" s="2958">
        <f t="shared" si="0"/>
        <v>495</v>
      </c>
    </row>
    <row r="44" spans="1:14">
      <c r="A44" s="2959" t="s">
        <v>3217</v>
      </c>
      <c r="B44" s="2959" t="s">
        <v>3093</v>
      </c>
      <c r="C44" s="2959" t="s">
        <v>3094</v>
      </c>
      <c r="D44" s="2959">
        <v>29850.2</v>
      </c>
      <c r="E44" s="2959">
        <v>35820.239999999998</v>
      </c>
      <c r="F44" s="2959" t="s">
        <v>3212</v>
      </c>
      <c r="G44" s="2959" t="s">
        <v>3096</v>
      </c>
      <c r="H44" s="2959" t="s">
        <v>3218</v>
      </c>
      <c r="I44" s="2959">
        <v>1921</v>
      </c>
      <c r="J44" s="2959">
        <v>1921</v>
      </c>
      <c r="K44" s="2959">
        <v>536.28</v>
      </c>
      <c r="L44" s="2959">
        <v>0</v>
      </c>
      <c r="M44" s="2959" t="s">
        <v>3219</v>
      </c>
      <c r="N44">
        <f t="shared" si="0"/>
        <v>644</v>
      </c>
    </row>
    <row r="45" spans="1:14">
      <c r="A45" s="2959" t="s">
        <v>3220</v>
      </c>
      <c r="B45" s="2959" t="s">
        <v>3093</v>
      </c>
      <c r="C45" s="2959" t="s">
        <v>3094</v>
      </c>
      <c r="D45" s="2959">
        <v>18077.5</v>
      </c>
      <c r="E45" s="2959">
        <v>18077.5</v>
      </c>
      <c r="F45" s="2959" t="s">
        <v>3186</v>
      </c>
      <c r="G45" s="2959" t="s">
        <v>3096</v>
      </c>
      <c r="H45" s="2959" t="s">
        <v>3218</v>
      </c>
      <c r="I45" s="2959">
        <v>895</v>
      </c>
      <c r="J45" s="2959">
        <v>895</v>
      </c>
      <c r="K45" s="2959">
        <v>495.08</v>
      </c>
      <c r="L45" s="2959">
        <v>0</v>
      </c>
      <c r="M45" s="2959" t="s">
        <v>3221</v>
      </c>
      <c r="N45">
        <f t="shared" si="0"/>
        <v>495</v>
      </c>
    </row>
    <row r="46" spans="1:14">
      <c r="A46" s="2959" t="s">
        <v>3222</v>
      </c>
      <c r="B46" s="2959" t="s">
        <v>3093</v>
      </c>
      <c r="C46" s="2959" t="s">
        <v>3094</v>
      </c>
      <c r="D46" s="2959">
        <v>14385</v>
      </c>
      <c r="E46" s="2959">
        <v>14385</v>
      </c>
      <c r="F46" s="2959" t="s">
        <v>3186</v>
      </c>
      <c r="G46" s="2959" t="s">
        <v>3096</v>
      </c>
      <c r="H46" s="2959" t="s">
        <v>3223</v>
      </c>
      <c r="I46" s="2959">
        <v>712</v>
      </c>
      <c r="J46" s="2959">
        <v>712</v>
      </c>
      <c r="K46" s="2959">
        <v>494.95</v>
      </c>
      <c r="L46" s="2959">
        <v>0</v>
      </c>
      <c r="M46" s="2959" t="s">
        <v>3224</v>
      </c>
      <c r="N46">
        <f t="shared" si="0"/>
        <v>495</v>
      </c>
    </row>
    <row r="47" spans="1:14">
      <c r="A47" s="2959" t="s">
        <v>3225</v>
      </c>
      <c r="B47" s="2959" t="s">
        <v>3093</v>
      </c>
      <c r="C47" s="2959" t="s">
        <v>3094</v>
      </c>
      <c r="D47" s="2959">
        <v>41539.199999999997</v>
      </c>
      <c r="E47" s="2959">
        <v>41539.199999999997</v>
      </c>
      <c r="F47" s="2959" t="s">
        <v>3186</v>
      </c>
      <c r="G47" s="2959" t="s">
        <v>3096</v>
      </c>
      <c r="H47" s="2959" t="s">
        <v>3223</v>
      </c>
      <c r="I47" s="2959">
        <v>1196</v>
      </c>
      <c r="J47" s="2959">
        <v>1196</v>
      </c>
      <c r="K47" s="2959">
        <v>287.92</v>
      </c>
      <c r="L47" s="2959">
        <v>0</v>
      </c>
      <c r="M47" s="2959" t="s">
        <v>3226</v>
      </c>
      <c r="N47">
        <f t="shared" si="0"/>
        <v>288</v>
      </c>
    </row>
    <row r="48" spans="1:14">
      <c r="A48" s="2959" t="s">
        <v>3227</v>
      </c>
      <c r="B48" s="2959" t="s">
        <v>3093</v>
      </c>
      <c r="C48" s="2959" t="s">
        <v>3094</v>
      </c>
      <c r="D48" s="2959">
        <v>12396.6</v>
      </c>
      <c r="E48" s="2959">
        <v>12396.6</v>
      </c>
      <c r="F48" s="2959" t="s">
        <v>3228</v>
      </c>
      <c r="G48" s="2959" t="s">
        <v>3096</v>
      </c>
      <c r="H48" s="2959" t="s">
        <v>3223</v>
      </c>
      <c r="I48" s="2959">
        <v>614</v>
      </c>
      <c r="J48" s="2959">
        <v>614</v>
      </c>
      <c r="K48" s="2959">
        <v>495.3</v>
      </c>
      <c r="L48" s="2959">
        <v>0</v>
      </c>
      <c r="M48" s="2959" t="s">
        <v>3229</v>
      </c>
      <c r="N48">
        <f t="shared" si="0"/>
        <v>495</v>
      </c>
    </row>
    <row r="49" spans="1:14">
      <c r="A49" s="2959" t="s">
        <v>3230</v>
      </c>
      <c r="B49" s="2959" t="s">
        <v>3093</v>
      </c>
      <c r="C49" s="2959" t="s">
        <v>3094</v>
      </c>
      <c r="D49" s="2959">
        <v>38393.199999999997</v>
      </c>
      <c r="E49" s="2959">
        <v>38393.199999999997</v>
      </c>
      <c r="F49" s="2959" t="s">
        <v>3186</v>
      </c>
      <c r="G49" s="2959" t="s">
        <v>3096</v>
      </c>
      <c r="H49" s="2959" t="s">
        <v>3223</v>
      </c>
      <c r="I49" s="2959">
        <v>1900</v>
      </c>
      <c r="J49" s="2959">
        <v>1900</v>
      </c>
      <c r="K49" s="2959">
        <v>494.87</v>
      </c>
      <c r="L49" s="2959">
        <v>0</v>
      </c>
      <c r="M49" s="2959" t="s">
        <v>3231</v>
      </c>
      <c r="N49">
        <f t="shared" si="0"/>
        <v>495</v>
      </c>
    </row>
    <row r="50" spans="1:14">
      <c r="A50" s="2959" t="s">
        <v>3232</v>
      </c>
      <c r="B50" s="2959" t="s">
        <v>3093</v>
      </c>
      <c r="C50" s="2959" t="s">
        <v>3094</v>
      </c>
      <c r="D50" s="2959">
        <v>50907.199999999997</v>
      </c>
      <c r="E50" s="2959">
        <v>50907.199999999997</v>
      </c>
      <c r="F50" s="2959" t="s">
        <v>3228</v>
      </c>
      <c r="G50" s="2959" t="s">
        <v>3096</v>
      </c>
      <c r="H50" s="2959" t="s">
        <v>3233</v>
      </c>
      <c r="I50" s="2959">
        <v>2520</v>
      </c>
      <c r="J50" s="2959">
        <v>2520</v>
      </c>
      <c r="K50" s="2959">
        <v>495.01</v>
      </c>
      <c r="L50" s="2959">
        <v>0</v>
      </c>
      <c r="M50" s="2959" t="s">
        <v>3234</v>
      </c>
      <c r="N50">
        <f t="shared" si="0"/>
        <v>495</v>
      </c>
    </row>
    <row r="51" spans="1:14">
      <c r="A51" s="2959" t="s">
        <v>3235</v>
      </c>
      <c r="B51" s="2959" t="s">
        <v>3093</v>
      </c>
      <c r="C51" s="2959" t="s">
        <v>3094</v>
      </c>
      <c r="D51" s="2959">
        <v>67580.3</v>
      </c>
      <c r="E51" s="2959">
        <v>67580.3</v>
      </c>
      <c r="F51" s="2959" t="s">
        <v>3186</v>
      </c>
      <c r="G51" s="2959" t="s">
        <v>3096</v>
      </c>
      <c r="H51" s="2959" t="s">
        <v>3233</v>
      </c>
      <c r="I51" s="2959">
        <v>3548</v>
      </c>
      <c r="J51" s="2959">
        <v>3548</v>
      </c>
      <c r="K51" s="2959">
        <v>525</v>
      </c>
      <c r="L51" s="2959">
        <v>0</v>
      </c>
      <c r="M51" s="2959" t="s">
        <v>3236</v>
      </c>
      <c r="N51">
        <f t="shared" si="0"/>
        <v>525</v>
      </c>
    </row>
  </sheetData>
  <phoneticPr fontId="14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B3D0-4322-4E83-BBFC-084BCC3868B7}">
  <dimension ref="A1"/>
  <sheetViews>
    <sheetView topLeftCell="A31" workbookViewId="0">
      <selection activeCell="B39" sqref="B39"/>
    </sheetView>
  </sheetViews>
  <sheetFormatPr defaultRowHeight="14"/>
  <sheetData/>
  <phoneticPr fontId="14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zoomScale="80" zoomScaleNormal="80" zoomScaleSheetLayoutView="96" workbookViewId="0">
      <selection activeCell="H19" sqref="H19"/>
    </sheetView>
  </sheetViews>
  <sheetFormatPr defaultColWidth="12" defaultRowHeight="12.5"/>
  <cols>
    <col min="1" max="1" width="9.81640625" style="2790" customWidth="1"/>
    <col min="2" max="2" width="19.1796875" style="2896" customWidth="1"/>
    <col min="3" max="4" width="12" style="2722"/>
    <col min="5" max="5" width="14.6328125" style="2722" customWidth="1"/>
    <col min="6" max="8" width="12" style="2722"/>
    <col min="9" max="9" width="12.1796875" style="2722" bestFit="1" customWidth="1"/>
    <col min="10" max="10" width="12" style="2722"/>
    <col min="11" max="11" width="8.08984375" style="2785" customWidth="1"/>
    <col min="12" max="12" width="12" style="2722"/>
    <col min="13" max="13" width="8.453125" style="2722" customWidth="1"/>
    <col min="14" max="14" width="9.81640625" style="2722" customWidth="1"/>
    <col min="15" max="25" width="12" style="2722"/>
    <col min="26" max="26" width="9.36328125" style="2790" customWidth="1"/>
    <col min="27" max="32" width="9.36328125" style="1372" customWidth="1"/>
    <col min="33" max="36" width="9.36328125" style="2790" customWidth="1"/>
    <col min="37" max="38" width="9.36328125" style="2722" customWidth="1"/>
    <col min="39" max="16384" width="12" style="2722"/>
  </cols>
  <sheetData>
    <row r="1" spans="1:36" ht="30">
      <c r="A1" s="240" t="s">
        <v>2800</v>
      </c>
      <c r="B1" s="241"/>
      <c r="C1" s="245" t="s">
        <v>2801</v>
      </c>
      <c r="D1" s="388">
        <f>SUM(D29:D30,D33:D39)</f>
        <v>0</v>
      </c>
      <c r="E1" s="2719"/>
      <c r="F1" s="2719"/>
      <c r="G1" s="2719"/>
      <c r="H1" s="2719"/>
      <c r="I1" s="2719"/>
      <c r="J1" s="2719"/>
      <c r="K1" s="1370"/>
      <c r="L1" s="2720" t="s">
        <v>2802</v>
      </c>
      <c r="M1" s="1080">
        <f>SUMPRODUCT((区片价!B5:B9=I2)*(区片价!C3:F3=E2)*(区片价!C5:F9))</f>
        <v>0</v>
      </c>
      <c r="N1" s="1083">
        <f>SUMPRODUCT((因素修正幅度!B5:B9=I2)*(因素修正幅度!C3:F3=E2)*(因素修正幅度!C5:F9))</f>
        <v>0</v>
      </c>
      <c r="O1" s="2721"/>
      <c r="P1" s="2721"/>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5">
      <c r="A2" s="245" t="s">
        <v>2808</v>
      </c>
      <c r="B2" s="248" t="e">
        <f>C26</f>
        <v>#DIV/0!</v>
      </c>
      <c r="C2" s="2723" t="s">
        <v>2809</v>
      </c>
      <c r="D2" s="2724" t="s">
        <v>2810</v>
      </c>
      <c r="E2" s="2725"/>
      <c r="F2" s="2724" t="s">
        <v>2811</v>
      </c>
      <c r="G2" s="2726">
        <f>IF(E2="商业",项目基本情况!B37,IF(E2="办公",项目基本情况!C37,IF(E2="住宅",项目基本情况!D37,项目基本情况!E37)))</f>
        <v>0</v>
      </c>
      <c r="H2" s="2724" t="s">
        <v>2812</v>
      </c>
      <c r="I2" s="2726">
        <f>IF(E2="商业",项目基本情况!B38,IF(E2="办公",项目基本情况!C38,IF(E2="住宅",项目基本情况!D38,项目基本情况!E38)))</f>
        <v>0</v>
      </c>
      <c r="J2" s="2727"/>
      <c r="K2" s="1370"/>
      <c r="L2" s="2728"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5">
      <c r="A3" s="247" t="s">
        <v>2814</v>
      </c>
      <c r="B3" s="248" t="e">
        <f>ROUND(B2*10000/D1,0)</f>
        <v>#DIV/0!</v>
      </c>
      <c r="C3" s="2723" t="s">
        <v>2815</v>
      </c>
      <c r="D3" s="2724" t="s">
        <v>2816</v>
      </c>
      <c r="E3" s="2729"/>
      <c r="F3" s="2730" t="s">
        <v>2817</v>
      </c>
      <c r="G3" s="916">
        <f>IF(F3="宗地容积率",'数据-汇总表'!I4,IF(F3="估价对象容积率",'数据-汇总表'!I6,'数据-汇总表'!I7))</f>
        <v>1.1200000000000001</v>
      </c>
      <c r="H3" s="198" t="s">
        <v>2818</v>
      </c>
      <c r="I3" s="944"/>
      <c r="J3" s="2727" t="s">
        <v>2819</v>
      </c>
      <c r="K3" s="1370"/>
      <c r="L3" s="2728"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5">
      <c r="A4" s="3267"/>
      <c r="B4" s="3268"/>
      <c r="C4" s="3268"/>
      <c r="D4" s="3269"/>
      <c r="E4" s="3269"/>
      <c r="F4" s="3269"/>
      <c r="G4" s="3269"/>
      <c r="H4" s="3269"/>
      <c r="I4" s="3269"/>
      <c r="J4" s="3270"/>
      <c r="K4" s="1370"/>
      <c r="L4" s="2728"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6" thickBot="1">
      <c r="A5" s="2731" t="s">
        <v>807</v>
      </c>
      <c r="B5" s="2732" t="s">
        <v>2822</v>
      </c>
      <c r="C5" s="917" t="e">
        <f>ROUND(IF(E2="商业",C6*C7+C16,(IF(E2="住宅",C6*C12+C16,C6+C16))),0)</f>
        <v>#DIV/0!</v>
      </c>
      <c r="D5" s="1787" t="e">
        <f>ROUND(C6+C16,0)</f>
        <v>#DIV/0!</v>
      </c>
      <c r="E5" s="1787"/>
      <c r="F5" s="2733"/>
      <c r="G5" s="2734"/>
      <c r="H5" s="2734"/>
      <c r="I5" s="2734"/>
      <c r="J5" s="2735"/>
      <c r="K5" s="2736"/>
      <c r="L5" s="2728"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6" thickBot="1">
      <c r="A6" s="2741" t="s">
        <v>2824</v>
      </c>
      <c r="B6" s="2742" t="s">
        <v>2825</v>
      </c>
      <c r="C6" s="918">
        <f>SUMIF(L1:L12,G2,M1:M12)</f>
        <v>0</v>
      </c>
      <c r="D6" s="2743" t="s">
        <v>2826</v>
      </c>
      <c r="E6" s="2744"/>
      <c r="F6" s="2744"/>
      <c r="G6" s="2745"/>
      <c r="H6" s="2745"/>
      <c r="I6" s="2745"/>
      <c r="J6" s="2746"/>
      <c r="K6" s="1842"/>
      <c r="L6" s="2728"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6">
      <c r="A7" s="3251" t="str">
        <f>IF(E2="商业",IF(C8="不临58条商业街","",2),"")</f>
        <v/>
      </c>
      <c r="B7" s="2747" t="s">
        <v>2828</v>
      </c>
      <c r="C7" s="919" t="e">
        <f>IF(C8="不临58条商业街",1,ROUND(1+(1.6*E8+1.2*E9+0.8*E10+0.4*E11)*C9,4))</f>
        <v>#DIV/0!</v>
      </c>
      <c r="D7" s="2748" t="s">
        <v>2829</v>
      </c>
      <c r="E7" s="945"/>
      <c r="F7" s="2749"/>
      <c r="G7" s="2750"/>
      <c r="H7" s="2750"/>
      <c r="I7" s="2750"/>
      <c r="J7" s="2751"/>
      <c r="K7" s="1842"/>
      <c r="L7" s="2728"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2831</v>
      </c>
      <c r="X7" s="1604">
        <f>G2</f>
        <v>0</v>
      </c>
      <c r="Y7" s="1604" t="s">
        <v>2832</v>
      </c>
      <c r="Z7" s="1605">
        <f>G3</f>
        <v>1.1200000000000001</v>
      </c>
      <c r="AA7" s="1606"/>
      <c r="AB7" s="1606"/>
      <c r="AC7" s="1607"/>
      <c r="AD7" s="1608"/>
      <c r="AE7" s="1608"/>
      <c r="AF7" s="1608"/>
      <c r="AG7" s="1608"/>
      <c r="AH7" s="1608"/>
      <c r="AI7" s="1608"/>
      <c r="AJ7" s="1609"/>
    </row>
    <row r="8" spans="1:36" ht="15.5">
      <c r="A8" s="3271"/>
      <c r="B8" s="198" t="s">
        <v>2833</v>
      </c>
      <c r="C8" s="2752"/>
      <c r="D8" s="920" t="s">
        <v>139</v>
      </c>
      <c r="E8" s="921" t="e">
        <f>ROUND(C11/E7,4)</f>
        <v>#DIV/0!</v>
      </c>
      <c r="F8" s="2753" t="s">
        <v>2834</v>
      </c>
      <c r="G8" s="2754"/>
      <c r="H8" s="2754"/>
      <c r="I8" s="2754"/>
      <c r="J8" s="2755"/>
      <c r="K8" s="1370"/>
      <c r="L8" s="2728"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4" t="s">
        <v>2836</v>
      </c>
      <c r="X8" s="3265"/>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5">
      <c r="A9" s="3271"/>
      <c r="B9" s="198" t="s">
        <v>2849</v>
      </c>
      <c r="C9" s="922">
        <f>SUMIF(修正!C59:C119,C8,修正!E59:E119)</f>
        <v>0</v>
      </c>
      <c r="D9" s="200" t="s">
        <v>140</v>
      </c>
      <c r="E9" s="200" t="e">
        <f>ROUND(C11/E7,4)</f>
        <v>#DIV/0!</v>
      </c>
      <c r="F9" s="2753" t="s">
        <v>2850</v>
      </c>
      <c r="G9" s="2754"/>
      <c r="H9" s="2754"/>
      <c r="I9" s="2754"/>
      <c r="J9" s="2755"/>
      <c r="K9" s="1370"/>
      <c r="L9" s="2728"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6"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5">
      <c r="A10" s="3271"/>
      <c r="B10" s="198" t="s">
        <v>2854</v>
      </c>
      <c r="C10" s="200">
        <f>SUMIF(修正!C59:C119,C8,修正!F59:F119)</f>
        <v>0</v>
      </c>
      <c r="D10" s="200" t="s">
        <v>141</v>
      </c>
      <c r="E10" s="200" t="e">
        <f>ROUND(C11/E7,4)</f>
        <v>#DIV/0!</v>
      </c>
      <c r="F10" s="2753" t="s">
        <v>2855</v>
      </c>
      <c r="G10" s="2754"/>
      <c r="H10" s="2754"/>
      <c r="I10" s="2754"/>
      <c r="J10" s="2755"/>
      <c r="K10" s="1370"/>
      <c r="L10" s="2728"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6" thickBot="1">
      <c r="A11" s="3271"/>
      <c r="B11" s="2756" t="s">
        <v>2857</v>
      </c>
      <c r="C11" s="923">
        <f>C10/4</f>
        <v>0</v>
      </c>
      <c r="D11" s="923" t="s">
        <v>142</v>
      </c>
      <c r="E11" s="923" t="e">
        <f>ROUND(C11/E7,4)</f>
        <v>#DIV/0!</v>
      </c>
      <c r="F11" s="2757" t="s">
        <v>2858</v>
      </c>
      <c r="G11" s="2758"/>
      <c r="H11" s="2758"/>
      <c r="I11" s="2758"/>
      <c r="J11" s="2759"/>
      <c r="K11" s="1370"/>
      <c r="L11" s="2728"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6" t="s">
        <v>2860</v>
      </c>
      <c r="X11" s="1614" t="s">
        <v>2861</v>
      </c>
      <c r="Y11" s="1615">
        <f>$G$3</f>
        <v>1.1200000000000001</v>
      </c>
      <c r="Z11" s="1615">
        <f t="shared" ref="Z11:AJ11" si="3">$G$3</f>
        <v>1.1200000000000001</v>
      </c>
      <c r="AA11" s="1615">
        <f t="shared" si="3"/>
        <v>1.1200000000000001</v>
      </c>
      <c r="AB11" s="1615">
        <f t="shared" si="3"/>
        <v>1.1200000000000001</v>
      </c>
      <c r="AC11" s="1615">
        <f t="shared" si="3"/>
        <v>1.1200000000000001</v>
      </c>
      <c r="AD11" s="1615">
        <f t="shared" si="3"/>
        <v>1.1200000000000001</v>
      </c>
      <c r="AE11" s="1615">
        <f t="shared" si="3"/>
        <v>1.1200000000000001</v>
      </c>
      <c r="AF11" s="1615">
        <f t="shared" si="3"/>
        <v>1.1200000000000001</v>
      </c>
      <c r="AG11" s="1615">
        <f t="shared" si="3"/>
        <v>1.1200000000000001</v>
      </c>
      <c r="AH11" s="1615">
        <f t="shared" si="3"/>
        <v>1.1200000000000001</v>
      </c>
      <c r="AI11" s="1615">
        <f t="shared" si="3"/>
        <v>1.1200000000000001</v>
      </c>
      <c r="AJ11" s="1615">
        <f t="shared" si="3"/>
        <v>1.1200000000000001</v>
      </c>
    </row>
    <row r="12" spans="1:36" ht="26.5" thickBot="1">
      <c r="A12" s="3251" t="s">
        <v>2862</v>
      </c>
      <c r="B12" s="2760" t="s">
        <v>2863</v>
      </c>
      <c r="C12" s="919">
        <f>ROUND(C15*D15*E15*F15*G15*H15*I15*J15,4)</f>
        <v>1</v>
      </c>
      <c r="D12" s="2761" t="s">
        <v>2864</v>
      </c>
      <c r="E12" s="2762"/>
      <c r="F12" s="2762"/>
      <c r="G12" s="2763"/>
      <c r="H12" s="2763"/>
      <c r="I12" s="2763"/>
      <c r="J12" s="2764"/>
      <c r="K12" s="1370"/>
      <c r="L12" s="2765"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6"/>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6">
      <c r="A13" s="3272"/>
      <c r="B13" s="2766" t="s">
        <v>2867</v>
      </c>
      <c r="C13" s="2767" t="s">
        <v>2868</v>
      </c>
      <c r="D13" s="1808" t="s">
        <v>2869</v>
      </c>
      <c r="E13" s="1808" t="s">
        <v>2870</v>
      </c>
      <c r="F13" s="30" t="s">
        <v>2871</v>
      </c>
      <c r="G13" s="2768" t="s">
        <v>2872</v>
      </c>
      <c r="H13" s="2768" t="s">
        <v>2872</v>
      </c>
      <c r="I13" s="2768" t="s">
        <v>2872</v>
      </c>
      <c r="J13" s="2769" t="s">
        <v>2872</v>
      </c>
      <c r="K13" s="1370"/>
      <c r="L13" s="1370"/>
      <c r="M13" s="1370"/>
      <c r="N13" s="1370"/>
      <c r="O13" s="1370"/>
      <c r="P13" s="1370"/>
      <c r="Q13" s="1370"/>
      <c r="R13" s="1602">
        <v>12</v>
      </c>
      <c r="S13" s="1603"/>
      <c r="T13" s="1602" t="e">
        <f t="shared" si="0"/>
        <v>#DIV/0!</v>
      </c>
      <c r="U13" s="1603"/>
      <c r="V13" s="1602" t="e">
        <f t="shared" si="1"/>
        <v>#DIV/0!</v>
      </c>
      <c r="W13" s="3266"/>
      <c r="X13" s="1616"/>
      <c r="Y13" s="1613">
        <f>(-0.163*(Y12^2)-0.59*Y12+7617)*(10^(-4))/Y11</f>
        <v>0.68008928571428573</v>
      </c>
      <c r="Z13" s="1613">
        <f t="shared" ref="Z13:AJ13" si="5">(-0.163*(Z12^2)-0.59*Z12+7617)*(10^(-4))/Z11</f>
        <v>0.68008928571428573</v>
      </c>
      <c r="AA13" s="1613">
        <f t="shared" si="5"/>
        <v>0.68008928571428573</v>
      </c>
      <c r="AB13" s="1613">
        <f t="shared" si="5"/>
        <v>0.68008928571428573</v>
      </c>
      <c r="AC13" s="1613">
        <f t="shared" si="5"/>
        <v>0.68008928571428573</v>
      </c>
      <c r="AD13" s="1613">
        <f t="shared" si="5"/>
        <v>0.68008928571428573</v>
      </c>
      <c r="AE13" s="1613">
        <f t="shared" si="5"/>
        <v>0.68008928571428573</v>
      </c>
      <c r="AF13" s="1613">
        <f t="shared" si="5"/>
        <v>0.68008928571428573</v>
      </c>
      <c r="AG13" s="1613">
        <f t="shared" si="5"/>
        <v>0.68008928571428573</v>
      </c>
      <c r="AH13" s="1613">
        <f t="shared" si="5"/>
        <v>0.68008928571428573</v>
      </c>
      <c r="AI13" s="1613">
        <f t="shared" si="5"/>
        <v>0.68008928571428573</v>
      </c>
      <c r="AJ13" s="1613">
        <f t="shared" si="5"/>
        <v>0.68008928571428573</v>
      </c>
    </row>
    <row r="14" spans="1:36" ht="15.5">
      <c r="A14" s="3272"/>
      <c r="B14" s="2770"/>
      <c r="C14" s="2771"/>
      <c r="D14" s="2772"/>
      <c r="E14" s="2772"/>
      <c r="F14" s="2773"/>
      <c r="G14" s="2774" t="s">
        <v>2873</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6" thickBot="1">
      <c r="A15" s="3273"/>
      <c r="B15" s="2778"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5" customHeight="1">
      <c r="A16" s="3251" t="s">
        <v>2879</v>
      </c>
      <c r="B16" s="2747" t="s">
        <v>2880</v>
      </c>
      <c r="C16" s="2934" t="e">
        <f>ROUND(IF(F17="与级别开发程度一致",0,(G17-E17)/C17),0)</f>
        <v>#DIV/0!</v>
      </c>
      <c r="D16" s="3262" t="s">
        <v>2884</v>
      </c>
      <c r="E16" s="3263"/>
      <c r="F16" s="3262" t="s">
        <v>2881</v>
      </c>
      <c r="G16" s="3263"/>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2"/>
      <c r="B17" s="2945" t="s">
        <v>2883</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4.5" thickBot="1">
      <c r="A18" s="2939" t="s">
        <v>808</v>
      </c>
      <c r="B18" s="2940" t="s">
        <v>2886</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8.5" thickBot="1">
      <c r="A19" s="2786" t="s">
        <v>809</v>
      </c>
      <c r="B19" s="2787" t="s">
        <v>2887</v>
      </c>
      <c r="C19" s="924" t="e">
        <f>ROUND(IF(H19="按公示增长率计算",SUMPRODUCT((地价!A3:A29=YEAR(G19)&amp;"-"&amp;ROUNDUP(MONTH(G19)/3,0))*(地价!X2:AB2=E2)*(地价!X3:AB29)),IF(H19="地价指数",M20/M19,(1+I19)^O19)),4)</f>
        <v>#VALUE!</v>
      </c>
      <c r="D19" s="2791" t="s">
        <v>2888</v>
      </c>
      <c r="E19" s="925">
        <v>41640</v>
      </c>
      <c r="F19" s="2791" t="s">
        <v>2889</v>
      </c>
      <c r="G19" s="926">
        <f>'数据-取费表'!B2</f>
        <v>43868</v>
      </c>
      <c r="H19" s="2792"/>
      <c r="I19" s="927" t="str">
        <f>IF(H19="季度增幅（自定义）",SUMIF(N21:N24,E2,O21:O24),"")</f>
        <v/>
      </c>
      <c r="J19" s="2789"/>
      <c r="K19" s="1377"/>
      <c r="L19" s="2793" t="s">
        <v>2890</v>
      </c>
      <c r="M19" s="1734">
        <f>ROUND(SUMIF(地价!B2:F2,E2,地价!B29:F29),0)</f>
        <v>0</v>
      </c>
      <c r="N19" s="2794" t="s">
        <v>2891</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8.5" thickBot="1">
      <c r="A20" s="2798" t="s">
        <v>810</v>
      </c>
      <c r="B20" s="2799" t="s">
        <v>2892</v>
      </c>
      <c r="C20" s="929" t="e">
        <f>ROUND(POWER(1+G20,J20-I20)*(POWER(1+G20,I20)-1)/(POWER(1+G20,J20)-1),4)</f>
        <v>#DIV/0!</v>
      </c>
      <c r="D20" s="2800" t="s">
        <v>2893</v>
      </c>
      <c r="E20" s="1768">
        <f ca="1">存贷款利率!D4/100</f>
        <v>4.3499999999999997E-2</v>
      </c>
      <c r="F20" s="2800" t="s">
        <v>2885</v>
      </c>
      <c r="G20" s="934">
        <f>SUMIF(M26:P26,E2,M28:P28)</f>
        <v>0</v>
      </c>
      <c r="H20" s="2800" t="s">
        <v>2894</v>
      </c>
      <c r="I20" s="935" t="e">
        <f>SUMIF('数据-取费表'!C6:C15,E2,'数据-取费表'!F6:F15)/COUNTIF('数据-取费表'!C6:C15,E2)</f>
        <v>#DIV/0!</v>
      </c>
      <c r="J20" s="936">
        <f>IF(E2="住宅",70,IF(E2="商业",40,50))</f>
        <v>50</v>
      </c>
      <c r="K20" s="1377"/>
      <c r="L20" s="2801" t="s">
        <v>2895</v>
      </c>
      <c r="M20" s="1735">
        <f>ROUND(SUMPRODUCT((地价!A4:A29=YEAR(G19)&amp;"-"&amp;ROUNDUP(MONTH(G19)/3,0))*(地价!B2:F2=E2)*(地价!B4:F29)),0)</f>
        <v>0</v>
      </c>
      <c r="N20" s="2802" t="s">
        <v>2896</v>
      </c>
      <c r="O20" s="2803" t="s">
        <v>2897</v>
      </c>
      <c r="P20" s="2804" t="s">
        <v>2898</v>
      </c>
      <c r="R20" s="1376"/>
      <c r="S20" s="1376"/>
      <c r="T20" s="1371"/>
      <c r="U20" s="1371"/>
      <c r="V20" s="1371"/>
      <c r="W20" s="1370"/>
      <c r="X20" s="1370"/>
      <c r="Y20" s="1370"/>
      <c r="Z20" s="1377"/>
      <c r="AA20" s="1378"/>
      <c r="AB20" s="1378"/>
      <c r="AC20" s="1378"/>
      <c r="AD20" s="1378"/>
      <c r="AE20" s="1378"/>
      <c r="AF20" s="1378"/>
    </row>
    <row r="21" spans="1:37" s="2740" customFormat="1" ht="14">
      <c r="A21" s="2805" t="s">
        <v>811</v>
      </c>
      <c r="B21" s="2806" t="s">
        <v>2899</v>
      </c>
      <c r="C21" s="937">
        <f>IF(B21="容积率修正",IF(G3&lt;=10,D22,J22),C23)</f>
        <v>0</v>
      </c>
      <c r="D21" s="2807"/>
      <c r="E21" s="2807"/>
      <c r="F21" s="2807"/>
      <c r="G21" s="2807"/>
      <c r="H21" s="2807"/>
      <c r="I21" s="2807"/>
      <c r="J21" s="2808"/>
      <c r="K21" s="1377"/>
      <c r="N21" s="2809" t="s">
        <v>2900</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5">
      <c r="A22" s="2666" t="s">
        <v>2901</v>
      </c>
      <c r="B22" s="2810" t="s">
        <v>2902</v>
      </c>
      <c r="C22" s="1810" t="s">
        <v>2903</v>
      </c>
      <c r="D22" s="1810">
        <f>IF(E22=G22,F22,IF(G3&lt;=10,ROUND(F22+(H22-F22)*(G3-E22)/(G22-E22),4),"——"))</f>
        <v>0</v>
      </c>
      <c r="E22" s="916">
        <f>ROUNDDOWN(G3,1)</f>
        <v>1.1000000000000001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9" t="s">
        <v>2904</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8.5" thickBot="1">
      <c r="A23" s="2666" t="s">
        <v>2905</v>
      </c>
      <c r="B23" s="2811" t="s">
        <v>2906</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2907</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4.5" thickBot="1">
      <c r="A24" s="2798" t="s">
        <v>812</v>
      </c>
      <c r="B24" s="2787" t="s">
        <v>2908</v>
      </c>
      <c r="C24" s="924">
        <f>SUMIF(A45:A88,E2,B45:B88)</f>
        <v>0</v>
      </c>
      <c r="D24" s="2788"/>
      <c r="E24" s="2817"/>
      <c r="F24" s="2817"/>
      <c r="G24" s="2817"/>
      <c r="H24" s="2817"/>
      <c r="I24" s="2817"/>
      <c r="J24" s="2818"/>
      <c r="K24" s="1377"/>
      <c r="N24" s="2819" t="s">
        <v>2909</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4.5" thickBot="1">
      <c r="A25" s="2798" t="s">
        <v>813</v>
      </c>
      <c r="B25" s="2820" t="s">
        <v>2910</v>
      </c>
      <c r="C25" s="930"/>
      <c r="D25" s="2750"/>
      <c r="E25" s="2750"/>
      <c r="F25" s="2821"/>
      <c r="G25" s="2750"/>
      <c r="H25" s="2750"/>
      <c r="I25" s="2750"/>
      <c r="J25" s="2751"/>
      <c r="K25" s="1370"/>
      <c r="N25" s="2822" t="s">
        <v>2911</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4">
      <c r="A26" s="2823"/>
      <c r="B26" s="2810" t="s">
        <v>2912</v>
      </c>
      <c r="C26" s="206" t="e">
        <f>E29+SUM(E33:E39)</f>
        <v>#DIV/0!</v>
      </c>
      <c r="D26" s="2824"/>
      <c r="E26" s="2775"/>
      <c r="F26" s="2825"/>
      <c r="G26" s="2775"/>
      <c r="H26" s="2775"/>
      <c r="I26" s="2775"/>
      <c r="J26" s="2826"/>
      <c r="K26" s="1370"/>
      <c r="L26" s="2779" t="s">
        <v>2810</v>
      </c>
      <c r="M26" s="920" t="s">
        <v>2875</v>
      </c>
      <c r="N26" s="920" t="s">
        <v>2876</v>
      </c>
      <c r="O26" s="920" t="s">
        <v>2877</v>
      </c>
      <c r="P26" s="2780" t="s">
        <v>2878</v>
      </c>
      <c r="R26" s="1376"/>
      <c r="S26" s="1376"/>
      <c r="T26" s="1371"/>
      <c r="U26" s="1371"/>
      <c r="V26" s="1371"/>
      <c r="W26" s="1370"/>
      <c r="X26" s="1370"/>
      <c r="Y26" s="1370"/>
      <c r="Z26" s="1377"/>
      <c r="AA26" s="1378"/>
      <c r="AB26" s="1378"/>
      <c r="AC26" s="1378"/>
      <c r="AD26" s="1378"/>
    </row>
    <row r="27" spans="1:37" ht="14.5" thickBot="1">
      <c r="A27" s="2823"/>
      <c r="B27" s="2827" t="s">
        <v>2913</v>
      </c>
      <c r="C27" s="931" t="e">
        <f>E30+SUM(I33:I39)</f>
        <v>#DIV/0!</v>
      </c>
      <c r="D27" s="2828"/>
      <c r="E27" s="2829"/>
      <c r="F27" s="2830"/>
      <c r="G27" s="2829"/>
      <c r="H27" s="2829"/>
      <c r="I27" s="2829"/>
      <c r="J27" s="2831"/>
      <c r="K27" s="1370"/>
      <c r="L27" s="2783"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4.5" thickBot="1">
      <c r="A28" s="2832"/>
      <c r="B28" s="2833" t="s">
        <v>2914</v>
      </c>
      <c r="C28" s="2834" t="s">
        <v>2915</v>
      </c>
      <c r="D28" s="2834" t="s">
        <v>2916</v>
      </c>
      <c r="E28" s="2835" t="s">
        <v>2917</v>
      </c>
      <c r="F28" s="2836"/>
      <c r="G28" s="2763"/>
      <c r="H28" s="2763"/>
      <c r="I28" s="2763"/>
      <c r="J28" s="2764"/>
      <c r="K28" s="1370"/>
      <c r="L28" s="2784"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2918</v>
      </c>
      <c r="C29" s="206" t="e">
        <f>ROUND(C5*C18*C19*C20*C21*C24,0)</f>
        <v>#DIV/0!</v>
      </c>
      <c r="D29" s="2839"/>
      <c r="E29" s="942" t="e">
        <f>ROUND(C29*D29/10000,0)</f>
        <v>#DIV/0!</v>
      </c>
      <c r="F29" s="2840" t="s">
        <v>2919</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6.5" thickBot="1">
      <c r="A30" s="2843"/>
      <c r="B30" s="2844" t="s">
        <v>2920</v>
      </c>
      <c r="C30" s="229" t="e">
        <f>ROUND(IF(E2="工业",C29*M39,C29*M38),0)</f>
        <v>#DIV/0!</v>
      </c>
      <c r="D30" s="2845"/>
      <c r="E30" s="942" t="e">
        <f>ROUND(C30*D30/10000,0)</f>
        <v>#DIV/0!</v>
      </c>
      <c r="F30" s="2846" t="s">
        <v>2921</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
      <c r="A31" s="2849"/>
      <c r="B31" s="2850" t="s">
        <v>2922</v>
      </c>
      <c r="C31" s="2851" t="s">
        <v>2923</v>
      </c>
      <c r="D31" s="2763"/>
      <c r="E31" s="2851"/>
      <c r="F31" s="2851"/>
      <c r="G31" s="2761" t="s">
        <v>2924</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6">
      <c r="A32" s="2837"/>
      <c r="B32" s="2853"/>
      <c r="C32" s="501" t="s">
        <v>2915</v>
      </c>
      <c r="D32" s="498" t="s">
        <v>2916</v>
      </c>
      <c r="E32" s="498" t="s">
        <v>2917</v>
      </c>
      <c r="F32" s="388" t="s">
        <v>2925</v>
      </c>
      <c r="G32" s="2854" t="s">
        <v>2915</v>
      </c>
      <c r="H32" s="2854" t="s">
        <v>2916</v>
      </c>
      <c r="I32" s="2854"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59" t="s">
        <v>2926</v>
      </c>
      <c r="B33" s="2855" t="s">
        <v>2927</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
      <c r="A34" s="3260"/>
      <c r="B34" s="2767" t="s">
        <v>2928</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3">
      <c r="A35" s="3260"/>
      <c r="B35" s="2767" t="s">
        <v>2929</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261"/>
      <c r="B36" s="2767" t="s">
        <v>2930</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ht="13">
      <c r="A37" s="2857"/>
      <c r="B37" s="2767" t="s">
        <v>2931</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2932</v>
      </c>
      <c r="M37" s="2859"/>
      <c r="N37" s="1370"/>
      <c r="O37" s="1370"/>
      <c r="P37" s="1370"/>
      <c r="Q37" s="1370"/>
      <c r="R37" s="1370"/>
      <c r="S37" s="1370"/>
      <c r="T37" s="1370"/>
      <c r="U37" s="1370"/>
      <c r="V37" s="1370"/>
      <c r="W37" s="1370"/>
      <c r="X37" s="1370"/>
      <c r="Y37" s="1370"/>
      <c r="Z37" s="1371"/>
    </row>
    <row r="38" spans="1:37" ht="13">
      <c r="A38" s="2857"/>
      <c r="B38" s="2767" t="s">
        <v>2933</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2934</v>
      </c>
      <c r="M38" s="2860">
        <v>0.25</v>
      </c>
      <c r="N38" s="1370"/>
      <c r="O38" s="1370"/>
      <c r="P38" s="1370"/>
      <c r="Q38" s="1370"/>
      <c r="R38" s="1370"/>
      <c r="S38" s="1370"/>
      <c r="T38" s="1370"/>
      <c r="U38" s="1370"/>
      <c r="V38" s="1370"/>
      <c r="W38" s="1370"/>
      <c r="X38" s="1370"/>
      <c r="Y38" s="1370"/>
      <c r="Z38" s="1371"/>
    </row>
    <row r="39" spans="1:37" ht="13.5" thickBot="1">
      <c r="A39" s="2843"/>
      <c r="B39" s="2861" t="s">
        <v>2935</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2878</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6">
      <c r="A41" s="1371"/>
      <c r="B41" s="2932" t="s">
        <v>3043</v>
      </c>
      <c r="C41" s="388" t="e">
        <f>ROUND(POWER(1+E41,H41-G41)*(POWER(1+E41,G41)-1)/(POWER(1+E41,H41)-1),4)</f>
        <v>#DIV/0!</v>
      </c>
      <c r="D41" s="200" t="s">
        <v>2885</v>
      </c>
      <c r="E41" s="2931">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4.5" thickBot="1">
      <c r="A45" s="2866" t="s">
        <v>2936</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4">
      <c r="A46" s="2868" t="s">
        <v>2937</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6">
      <c r="A47" s="2872" t="s">
        <v>2938</v>
      </c>
      <c r="B47" s="1809" t="s">
        <v>2939</v>
      </c>
      <c r="C47" s="1809" t="s">
        <v>2940</v>
      </c>
      <c r="D47" s="1809" t="s">
        <v>2941</v>
      </c>
      <c r="E47" s="819" t="s">
        <v>2942</v>
      </c>
      <c r="F47" s="2873" t="s">
        <v>2943</v>
      </c>
      <c r="G47" s="1809" t="s">
        <v>754</v>
      </c>
      <c r="H47" s="2874" t="s">
        <v>2944</v>
      </c>
      <c r="I47" s="1809"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50">
      <c r="A48" s="2872" t="s">
        <v>2946</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0">
      <c r="A49" s="2872" t="s">
        <v>2947</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6">
      <c r="A50" s="2872" t="s">
        <v>2948</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2">
      <c r="A51" s="2872" t="s">
        <v>2949</v>
      </c>
      <c r="B51" s="2877" t="s">
        <v>2950</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6">
      <c r="A52" s="2872" t="s">
        <v>2951</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6">
      <c r="A53" s="2872" t="s">
        <v>2952</v>
      </c>
      <c r="B53" s="2878" t="s">
        <v>2953</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
      <c r="A54" s="2879" t="s">
        <v>2954</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
      <c r="A55" s="2879" t="s">
        <v>2955</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8" thickBot="1">
      <c r="A56" s="2880" t="s">
        <v>2956</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
      <c r="A57" s="2868" t="s">
        <v>2957</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6">
      <c r="A58" s="2872" t="s">
        <v>2938</v>
      </c>
      <c r="B58" s="1809"/>
      <c r="C58" s="1809" t="s">
        <v>2940</v>
      </c>
      <c r="D58" s="1809" t="s">
        <v>2941</v>
      </c>
      <c r="E58" s="819" t="s">
        <v>2942</v>
      </c>
      <c r="F58" s="2873" t="s">
        <v>2958</v>
      </c>
      <c r="G58" s="1809" t="s">
        <v>754</v>
      </c>
      <c r="H58" s="2874" t="s">
        <v>2944</v>
      </c>
      <c r="I58" s="1809"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50">
      <c r="A59" s="2872" t="s">
        <v>2959</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0">
      <c r="A60" s="2872" t="s">
        <v>2947</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6">
      <c r="A61" s="2872" t="s">
        <v>2948</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2">
      <c r="A62" s="2872" t="s">
        <v>2949</v>
      </c>
      <c r="B62" s="2877" t="s">
        <v>2950</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6">
      <c r="A63" s="2872" t="s">
        <v>2951</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6">
      <c r="A64" s="2872" t="s">
        <v>2952</v>
      </c>
      <c r="B64" s="2878" t="s">
        <v>2953</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
      <c r="A65" s="2872" t="s">
        <v>2954</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
      <c r="A66" s="2872" t="s">
        <v>2955</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8" thickBot="1">
      <c r="A67" s="2880" t="s">
        <v>2956</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
      <c r="A68" s="2868" t="s">
        <v>2960</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6">
      <c r="A69" s="2872" t="s">
        <v>2938</v>
      </c>
      <c r="B69" s="1809"/>
      <c r="C69" s="1809" t="s">
        <v>2940</v>
      </c>
      <c r="D69" s="1809" t="s">
        <v>2941</v>
      </c>
      <c r="E69" s="819" t="s">
        <v>2942</v>
      </c>
      <c r="F69" s="2873" t="s">
        <v>2958</v>
      </c>
      <c r="G69" s="1809" t="s">
        <v>754</v>
      </c>
      <c r="H69" s="2874" t="s">
        <v>2944</v>
      </c>
      <c r="I69" s="1809"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62.5">
      <c r="A70" s="2872" t="s">
        <v>2961</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0">
      <c r="A71" s="2872" t="s">
        <v>2947</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6">
      <c r="A72" s="2872" t="s">
        <v>2948</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
      <c r="A73" s="2872" t="s">
        <v>2962</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
      <c r="A74" s="2872" t="s">
        <v>2954</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
      <c r="A75" s="2872" t="s">
        <v>2955</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6">
      <c r="A76" s="2872" t="s">
        <v>2952</v>
      </c>
      <c r="B76" s="2878" t="s">
        <v>2953</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7.5">
      <c r="A77" s="2872" t="s">
        <v>2956</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6.5" thickBot="1">
      <c r="A78" s="2880" t="s">
        <v>2963</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4">
      <c r="A79" s="2868" t="s">
        <v>2964</v>
      </c>
      <c r="B79" s="2869">
        <f>1+E81</f>
        <v>1</v>
      </c>
      <c r="C79" s="814"/>
      <c r="D79" s="814"/>
      <c r="E79" s="815"/>
      <c r="F79" s="2871"/>
      <c r="G79" s="6"/>
      <c r="H79" s="6"/>
      <c r="I79" s="6"/>
      <c r="J79" s="7"/>
      <c r="K79" s="7"/>
      <c r="L79" s="7"/>
      <c r="M79" s="7"/>
      <c r="N79" s="7"/>
      <c r="Z79" s="2722"/>
      <c r="AA79" s="2790"/>
      <c r="AG79" s="1372"/>
      <c r="AK79" s="2790"/>
    </row>
    <row r="80" spans="1:37" ht="26">
      <c r="A80" s="2872" t="s">
        <v>2938</v>
      </c>
      <c r="B80" s="1809"/>
      <c r="C80" s="1809" t="s">
        <v>2940</v>
      </c>
      <c r="D80" s="1809" t="s">
        <v>2941</v>
      </c>
      <c r="E80" s="819" t="s">
        <v>2942</v>
      </c>
      <c r="F80" s="2873" t="s">
        <v>2958</v>
      </c>
      <c r="G80" s="1809" t="s">
        <v>754</v>
      </c>
      <c r="H80" s="2874" t="s">
        <v>2944</v>
      </c>
      <c r="I80" s="1809" t="s">
        <v>2945</v>
      </c>
      <c r="J80" s="603" t="s">
        <v>2594</v>
      </c>
      <c r="K80" s="603" t="s">
        <v>2595</v>
      </c>
      <c r="L80" s="603" t="s">
        <v>2596</v>
      </c>
      <c r="M80" s="603" t="s">
        <v>2597</v>
      </c>
      <c r="N80" s="603" t="s">
        <v>2598</v>
      </c>
      <c r="Z80" s="2722"/>
      <c r="AA80" s="2790"/>
      <c r="AG80" s="1372"/>
      <c r="AK80" s="2790"/>
    </row>
    <row r="81" spans="1:37" ht="37.5">
      <c r="A81" s="2872" t="s">
        <v>2965</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0">
      <c r="A82" s="2872" t="s">
        <v>2947</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6">
      <c r="A83" s="2872" t="s">
        <v>2948</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
      <c r="A84" s="2872" t="s">
        <v>2962</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6">
      <c r="A85" s="2872" t="s">
        <v>2954</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6">
      <c r="A86" s="2872" t="s">
        <v>2955</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6">
      <c r="A87" s="2872" t="s">
        <v>2952</v>
      </c>
      <c r="B87" s="2878" t="s">
        <v>2966</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50.5" thickBot="1">
      <c r="A88" s="2880" t="s">
        <v>2967</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ht="13">
      <c r="A90" s="3253" t="s">
        <v>2968</v>
      </c>
      <c r="B90" s="3253"/>
      <c r="C90" s="3253"/>
      <c r="D90" s="3253"/>
      <c r="E90" s="3253"/>
      <c r="F90" s="3253"/>
      <c r="G90" s="3253"/>
      <c r="H90" s="3253"/>
      <c r="I90" s="3253"/>
      <c r="J90" s="3253"/>
      <c r="K90" s="2886"/>
      <c r="L90" s="2886"/>
      <c r="M90" s="2886"/>
      <c r="N90" s="2886"/>
    </row>
    <row r="91" spans="1:37" ht="13">
      <c r="A91" s="3255" t="s">
        <v>2969</v>
      </c>
      <c r="B91" s="3255" t="s">
        <v>2970</v>
      </c>
      <c r="C91" s="2840" t="s">
        <v>2971</v>
      </c>
      <c r="D91" s="2841"/>
      <c r="E91" s="2841"/>
      <c r="F91" s="2841"/>
      <c r="G91" s="2841"/>
      <c r="H91" s="2841"/>
      <c r="I91" s="2841"/>
      <c r="J91" s="2887"/>
      <c r="K91" s="2888"/>
      <c r="L91" s="2888"/>
      <c r="M91" s="2888"/>
      <c r="N91" s="2888"/>
    </row>
    <row r="92" spans="1:37" ht="13">
      <c r="A92" s="3255"/>
      <c r="B92" s="3255"/>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56"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5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5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5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5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5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ht="13">
      <c r="A99" s="3257"/>
      <c r="B99" s="2889" t="s">
        <v>2853</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5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ht="13">
      <c r="A101" s="3256" t="s">
        <v>2973</v>
      </c>
      <c r="B101" s="2893" t="s">
        <v>2974</v>
      </c>
      <c r="C101" s="2894">
        <f>$G$3</f>
        <v>1.1200000000000001</v>
      </c>
      <c r="D101" s="2894">
        <f t="shared" ref="D101:N101" si="31">$G$3</f>
        <v>1.1200000000000001</v>
      </c>
      <c r="E101" s="2894">
        <f t="shared" si="31"/>
        <v>1.1200000000000001</v>
      </c>
      <c r="F101" s="2894">
        <f t="shared" si="31"/>
        <v>1.1200000000000001</v>
      </c>
      <c r="G101" s="2894">
        <f t="shared" si="31"/>
        <v>1.1200000000000001</v>
      </c>
      <c r="H101" s="2894">
        <f t="shared" si="31"/>
        <v>1.1200000000000001</v>
      </c>
      <c r="I101" s="2894">
        <f t="shared" si="31"/>
        <v>1.1200000000000001</v>
      </c>
      <c r="J101" s="2894">
        <f t="shared" si="31"/>
        <v>1.1200000000000001</v>
      </c>
      <c r="K101" s="2894">
        <f t="shared" si="31"/>
        <v>1.1200000000000001</v>
      </c>
      <c r="L101" s="2894">
        <f t="shared" si="31"/>
        <v>1.1200000000000001</v>
      </c>
      <c r="M101" s="2894">
        <f t="shared" si="31"/>
        <v>1.1200000000000001</v>
      </c>
      <c r="N101" s="2894">
        <f t="shared" si="31"/>
        <v>1.1200000000000001</v>
      </c>
    </row>
    <row r="102" spans="1:14">
      <c r="A102" s="3257"/>
      <c r="B102" s="2889">
        <v>1</v>
      </c>
      <c r="C102" s="2890">
        <f>1.9362/C101</f>
        <v>1.7287499999999998</v>
      </c>
      <c r="D102" s="2890">
        <f>1.9362/D101</f>
        <v>1.7287499999999998</v>
      </c>
      <c r="E102" s="2890">
        <f>1.8629/E101</f>
        <v>1.6633035714285713</v>
      </c>
      <c r="F102" s="2890">
        <f>1.8629/F101</f>
        <v>1.6633035714285713</v>
      </c>
      <c r="G102" s="2890">
        <f>1.8629/G101</f>
        <v>1.6633035714285713</v>
      </c>
      <c r="H102" s="2890">
        <f>1.8629/H101</f>
        <v>1.6633035714285713</v>
      </c>
      <c r="I102" s="2890">
        <f>1.8629/I101</f>
        <v>1.6633035714285713</v>
      </c>
      <c r="J102" s="2890">
        <f>1.942/J101</f>
        <v>1.7339285714285713</v>
      </c>
      <c r="K102" s="2890">
        <f>1.942/K101</f>
        <v>1.7339285714285713</v>
      </c>
      <c r="L102" s="2890">
        <f>1.942/L101</f>
        <v>1.7339285714285713</v>
      </c>
      <c r="M102" s="2890">
        <f>1.942/M101</f>
        <v>1.7339285714285713</v>
      </c>
      <c r="N102" s="2890">
        <f>1.942/N101</f>
        <v>1.7339285714285713</v>
      </c>
    </row>
    <row r="103" spans="1:14">
      <c r="A103" s="3257"/>
      <c r="B103" s="2889">
        <v>2</v>
      </c>
      <c r="C103" s="2890">
        <f>1.4198/C101</f>
        <v>1.2676785714285712</v>
      </c>
      <c r="D103" s="2890">
        <f>1.4198/D101</f>
        <v>1.2676785714285712</v>
      </c>
      <c r="E103" s="2890">
        <f>1.3372/E101</f>
        <v>1.1939285714285712</v>
      </c>
      <c r="F103" s="2890">
        <f>1.3372/F101</f>
        <v>1.1939285714285712</v>
      </c>
      <c r="G103" s="2890">
        <f>1.3372/G101</f>
        <v>1.1939285714285712</v>
      </c>
      <c r="H103" s="2890">
        <f>1.3372/H101</f>
        <v>1.1939285714285712</v>
      </c>
      <c r="I103" s="2890">
        <f>1.3372/I101</f>
        <v>1.1939285714285712</v>
      </c>
      <c r="J103" s="2890">
        <f>1.2799/J101</f>
        <v>1.142767857142857</v>
      </c>
      <c r="K103" s="2890">
        <f>1.2799/K101</f>
        <v>1.142767857142857</v>
      </c>
      <c r="L103" s="2890">
        <f>1.2799/L101</f>
        <v>1.142767857142857</v>
      </c>
      <c r="M103" s="2890">
        <f>1.2799/M101</f>
        <v>1.142767857142857</v>
      </c>
      <c r="N103" s="2890">
        <f>1.2799/N101</f>
        <v>1.142767857142857</v>
      </c>
    </row>
    <row r="104" spans="1:14">
      <c r="A104" s="3257"/>
      <c r="B104" s="2889">
        <v>3</v>
      </c>
      <c r="C104" s="2890">
        <f>1.1594/C101</f>
        <v>1.0351785714285713</v>
      </c>
      <c r="D104" s="2890">
        <f>1.1594/D101</f>
        <v>1.0351785714285713</v>
      </c>
      <c r="E104" s="2890">
        <f>1.0788/E101</f>
        <v>0.96321428571428558</v>
      </c>
      <c r="F104" s="2890">
        <f>1.0788/F101</f>
        <v>0.96321428571428558</v>
      </c>
      <c r="G104" s="2890">
        <f>1.0788/G101</f>
        <v>0.96321428571428558</v>
      </c>
      <c r="H104" s="2890">
        <f>1.0788/H101</f>
        <v>0.96321428571428558</v>
      </c>
      <c r="I104" s="2890">
        <f>1.0788/I101</f>
        <v>0.96321428571428558</v>
      </c>
      <c r="J104" s="2890">
        <f>1.0072/J101</f>
        <v>0.89928571428571424</v>
      </c>
      <c r="K104" s="2890">
        <f>1.0072/K101</f>
        <v>0.89928571428571424</v>
      </c>
      <c r="L104" s="2890">
        <f>1.0072/L101</f>
        <v>0.89928571428571424</v>
      </c>
      <c r="M104" s="2890">
        <f>1.0072/M101</f>
        <v>0.89928571428571424</v>
      </c>
      <c r="N104" s="2890">
        <f>1.0072/N101</f>
        <v>0.89928571428571424</v>
      </c>
    </row>
    <row r="105" spans="1:14">
      <c r="A105" s="3257"/>
      <c r="B105" s="2889">
        <v>4</v>
      </c>
      <c r="C105" s="2890">
        <f>0.9622/C101</f>
        <v>0.85910714285714285</v>
      </c>
      <c r="D105" s="2890">
        <f>0.9622/D101</f>
        <v>0.85910714285714285</v>
      </c>
      <c r="E105" s="2890">
        <f>0.8656/E101</f>
        <v>0.7728571428571428</v>
      </c>
      <c r="F105" s="2890">
        <f>0.8656/F101</f>
        <v>0.7728571428571428</v>
      </c>
      <c r="G105" s="2890">
        <f>0.8656/G101</f>
        <v>0.7728571428571428</v>
      </c>
      <c r="H105" s="2890">
        <f>0.8656/H101</f>
        <v>0.7728571428571428</v>
      </c>
      <c r="I105" s="2890">
        <f>0.8656/I101</f>
        <v>0.7728571428571428</v>
      </c>
      <c r="J105" s="2890">
        <f>0.7525/J101</f>
        <v>0.67187499999999989</v>
      </c>
      <c r="K105" s="2890">
        <f>0.7525/K101</f>
        <v>0.67187499999999989</v>
      </c>
      <c r="L105" s="2890">
        <f>0.7525/L101</f>
        <v>0.67187499999999989</v>
      </c>
      <c r="M105" s="2890">
        <f>0.7525/M101</f>
        <v>0.67187499999999989</v>
      </c>
      <c r="N105" s="2890">
        <f>0.7525/N101</f>
        <v>0.67187499999999989</v>
      </c>
    </row>
    <row r="106" spans="1:14">
      <c r="A106" s="3257"/>
      <c r="B106" s="2889">
        <v>5</v>
      </c>
      <c r="C106" s="2890">
        <f>0.8417/C101</f>
        <v>0.75151785714285713</v>
      </c>
      <c r="D106" s="2890">
        <f>0.8417/D101</f>
        <v>0.75151785714285713</v>
      </c>
      <c r="E106" s="2890">
        <f>0.7371/E101</f>
        <v>0.65812499999999996</v>
      </c>
      <c r="F106" s="2890">
        <f>0.7371/F101</f>
        <v>0.65812499999999996</v>
      </c>
      <c r="G106" s="2890">
        <f>0.7371/G101</f>
        <v>0.65812499999999996</v>
      </c>
      <c r="H106" s="2890">
        <f>0.7371/H101</f>
        <v>0.65812499999999996</v>
      </c>
      <c r="I106" s="2890">
        <f>0.7371/I101</f>
        <v>0.65812499999999996</v>
      </c>
      <c r="J106" s="2890">
        <f>0.5659/J101</f>
        <v>0.50526785714285705</v>
      </c>
      <c r="K106" s="2890">
        <f>0.5659/K101</f>
        <v>0.50526785714285705</v>
      </c>
      <c r="L106" s="2890">
        <f>0.5659/L101</f>
        <v>0.50526785714285705</v>
      </c>
      <c r="M106" s="2890">
        <f>0.5659/M101</f>
        <v>0.50526785714285705</v>
      </c>
      <c r="N106" s="2890">
        <f>0.5659/N101</f>
        <v>0.50526785714285705</v>
      </c>
    </row>
    <row r="107" spans="1:14">
      <c r="A107" s="3257"/>
      <c r="B107" s="2889">
        <v>6</v>
      </c>
      <c r="C107" s="2890">
        <f>0.7608/C101</f>
        <v>0.67928571428571427</v>
      </c>
      <c r="D107" s="2890">
        <f>0.7608/D101</f>
        <v>0.67928571428571427</v>
      </c>
      <c r="E107" s="2890">
        <f>0.6482/E101</f>
        <v>0.57874999999999999</v>
      </c>
      <c r="F107" s="2890">
        <f>0.6482/F101</f>
        <v>0.57874999999999999</v>
      </c>
      <c r="G107" s="2890">
        <f>0.6482/G101</f>
        <v>0.57874999999999999</v>
      </c>
      <c r="H107" s="2890">
        <f>0.6482/H101</f>
        <v>0.57874999999999999</v>
      </c>
      <c r="I107" s="2890">
        <f>0.6482/I101</f>
        <v>0.57874999999999999</v>
      </c>
      <c r="J107" s="2890">
        <f>0.4525/J101</f>
        <v>0.4040178571428571</v>
      </c>
      <c r="K107" s="2890">
        <f>0.4525/K101</f>
        <v>0.4040178571428571</v>
      </c>
      <c r="L107" s="2890">
        <f>0.4525/L101</f>
        <v>0.4040178571428571</v>
      </c>
      <c r="M107" s="2890">
        <f>0.4525/M101</f>
        <v>0.4040178571428571</v>
      </c>
      <c r="N107" s="2890">
        <f>0.4525/N101</f>
        <v>0.4040178571428571</v>
      </c>
    </row>
    <row r="108" spans="1:14">
      <c r="A108" s="3257"/>
      <c r="B108" s="3085"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58"/>
      <c r="B109" s="3086"/>
      <c r="C109" s="2892">
        <f>(-0.163*(C108^2)-0.59*C108+7617)*(10^(-4))/C101</f>
        <v>0.68008928571428573</v>
      </c>
      <c r="D109" s="2892">
        <f>(-0.163*(D108^2)-0.59*D108+7617)*(10^(-4))/D101</f>
        <v>0.68008928571428573</v>
      </c>
      <c r="E109" s="2892">
        <f>(-0.161*(E108^2)-7.509*E108+6533)*(10^(-4))/E101</f>
        <v>0.58330357142857137</v>
      </c>
      <c r="F109" s="2892">
        <f>(-0.161*(F108^2)-7.509*F108+6533)*(10^(-4))/F101</f>
        <v>0.58330357142857137</v>
      </c>
      <c r="G109" s="2892">
        <f>(-0.161*(G108^2)-7.509*G108+6533)*(10^(-4))/G101</f>
        <v>0.58330357142857137</v>
      </c>
      <c r="H109" s="2892">
        <f>(-0.161*(H108^2)-7.509*H108+6533)*(10^(-4))/H101</f>
        <v>0.58330357142857137</v>
      </c>
      <c r="I109" s="2892">
        <f>(-0.161*(I108^2)-7.509*I108+6533)*(10^(-4))/I101</f>
        <v>0.58330357142857137</v>
      </c>
      <c r="J109" s="2892">
        <f>(-0.214*(J108^2)-21.991*J108+4665)*(10^(-4))/J101</f>
        <v>0.41651785714285711</v>
      </c>
      <c r="K109" s="2892">
        <f>(-0.214*(K108^2)-21.991*K108+4665)*(10^(-4))/K101</f>
        <v>0.41651785714285711</v>
      </c>
      <c r="L109" s="2892">
        <f>(-0.214*(L108^2)-21.991*L108+4665)*(10^(-4))/L101</f>
        <v>0.41651785714285711</v>
      </c>
      <c r="M109" s="2892">
        <f>(-0.214*(M108^2)-21.991*M108+4665)*(10^(-4))/M101</f>
        <v>0.41651785714285711</v>
      </c>
      <c r="N109" s="2892">
        <f>(-0.214*(N108^2)-21.991*N108+4665)*(10^(-4))/N101</f>
        <v>0.41651785714285711</v>
      </c>
    </row>
    <row r="110" spans="1:14" ht="13">
      <c r="A110" s="3254" t="s">
        <v>2976</v>
      </c>
      <c r="B110" s="3254"/>
      <c r="C110" s="3254"/>
      <c r="D110" s="3254"/>
      <c r="E110" s="3254"/>
      <c r="F110" s="3254"/>
      <c r="G110" s="3254"/>
      <c r="H110" s="3254"/>
      <c r="I110" s="3254"/>
      <c r="J110" s="3254"/>
      <c r="K110" s="2895"/>
      <c r="L110" s="2895"/>
      <c r="M110" s="2895"/>
      <c r="N110" s="2895"/>
    </row>
    <row r="112" spans="1:14" ht="13" thickBot="1"/>
    <row r="113" spans="1:13" ht="26" thickBot="1">
      <c r="A113" s="903" t="s">
        <v>2977</v>
      </c>
      <c r="B113" s="1287">
        <f>G3</f>
        <v>1.1200000000000001</v>
      </c>
      <c r="C113" s="904" t="s">
        <v>2978</v>
      </c>
      <c r="D113" s="905">
        <f>SUMPRODUCT((A115:A118=F113)*(B114:M114=H113)*B115:M118)</f>
        <v>0</v>
      </c>
      <c r="E113" s="2726" t="s">
        <v>2810</v>
      </c>
      <c r="F113" s="2897">
        <f>E2</f>
        <v>0</v>
      </c>
      <c r="G113" s="2726" t="s">
        <v>2811</v>
      </c>
      <c r="H113" s="2897">
        <f>G2</f>
        <v>0</v>
      </c>
      <c r="I113" s="2726"/>
      <c r="J113" s="2898"/>
      <c r="K113" s="2898"/>
      <c r="L113" s="2898"/>
      <c r="M113" s="2898"/>
    </row>
    <row r="114" spans="1:13" ht="13">
      <c r="A114" s="908"/>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ht="13">
      <c r="A115" s="909" t="s">
        <v>2875</v>
      </c>
      <c r="B115" s="910">
        <f>ROUND(0.9335-0.0094*B113,4)</f>
        <v>0.92300000000000004</v>
      </c>
      <c r="C115" s="910">
        <f>B115</f>
        <v>0.92300000000000004</v>
      </c>
      <c r="D115" s="910">
        <f>ROUND(0.8331-0.0109*B113,4)</f>
        <v>0.82089999999999996</v>
      </c>
      <c r="E115" s="910">
        <f>D115</f>
        <v>0.82089999999999996</v>
      </c>
      <c r="F115" s="910">
        <f>E115</f>
        <v>0.82089999999999996</v>
      </c>
      <c r="G115" s="910">
        <f>F115</f>
        <v>0.82089999999999996</v>
      </c>
      <c r="H115" s="910">
        <f>G115</f>
        <v>0.82089999999999996</v>
      </c>
      <c r="I115" s="910">
        <f>ROUND(0.689-0.0155*B113,4)</f>
        <v>0.67159999999999997</v>
      </c>
      <c r="J115" s="910">
        <f t="shared" ref="J115:M118" si="33">I115</f>
        <v>0.67159999999999997</v>
      </c>
      <c r="K115" s="910">
        <f t="shared" si="33"/>
        <v>0.67159999999999997</v>
      </c>
      <c r="L115" s="910">
        <f t="shared" si="33"/>
        <v>0.67159999999999997</v>
      </c>
      <c r="M115" s="911">
        <f t="shared" si="33"/>
        <v>0.67159999999999997</v>
      </c>
    </row>
    <row r="116" spans="1:13" ht="13">
      <c r="A116" s="909" t="s">
        <v>2876</v>
      </c>
      <c r="B116" s="910">
        <f>ROUND(0.949-0.012*B113,4)</f>
        <v>0.93559999999999999</v>
      </c>
      <c r="C116" s="910">
        <f>B116</f>
        <v>0.93559999999999999</v>
      </c>
      <c r="D116" s="910">
        <f>ROUND(0.8567-0.013*B113,4)</f>
        <v>0.84209999999999996</v>
      </c>
      <c r="E116" s="910">
        <f t="shared" ref="E116:H117" si="34">D116</f>
        <v>0.84209999999999996</v>
      </c>
      <c r="F116" s="910">
        <f t="shared" si="34"/>
        <v>0.84209999999999996</v>
      </c>
      <c r="G116" s="910">
        <f t="shared" si="34"/>
        <v>0.84209999999999996</v>
      </c>
      <c r="H116" s="910">
        <f t="shared" si="34"/>
        <v>0.84209999999999996</v>
      </c>
      <c r="I116" s="910">
        <f>ROUND(0.7694-0.014*B113,4)</f>
        <v>0.75370000000000004</v>
      </c>
      <c r="J116" s="910">
        <f t="shared" si="33"/>
        <v>0.75370000000000004</v>
      </c>
      <c r="K116" s="910">
        <f t="shared" si="33"/>
        <v>0.75370000000000004</v>
      </c>
      <c r="L116" s="910">
        <f t="shared" si="33"/>
        <v>0.75370000000000004</v>
      </c>
      <c r="M116" s="911">
        <f t="shared" si="33"/>
        <v>0.75370000000000004</v>
      </c>
    </row>
    <row r="117" spans="1:13" ht="13">
      <c r="A117" s="909" t="s">
        <v>2877</v>
      </c>
      <c r="B117" s="910">
        <f>ROUND(0.8808-0.006*B113,4)</f>
        <v>0.87409999999999999</v>
      </c>
      <c r="C117" s="910">
        <f>B117</f>
        <v>0.87409999999999999</v>
      </c>
      <c r="D117" s="910">
        <f>ROUND(0.8748-0.008*B113,4)</f>
        <v>0.86580000000000001</v>
      </c>
      <c r="E117" s="910">
        <f t="shared" si="34"/>
        <v>0.86580000000000001</v>
      </c>
      <c r="F117" s="910">
        <f t="shared" si="34"/>
        <v>0.86580000000000001</v>
      </c>
      <c r="G117" s="910">
        <f t="shared" si="34"/>
        <v>0.86580000000000001</v>
      </c>
      <c r="H117" s="910">
        <f t="shared" si="34"/>
        <v>0.86580000000000001</v>
      </c>
      <c r="I117" s="910">
        <f>ROUND(0.7412-0.0095*B113,4)</f>
        <v>0.73060000000000003</v>
      </c>
      <c r="J117" s="910">
        <f t="shared" si="33"/>
        <v>0.73060000000000003</v>
      </c>
      <c r="K117" s="910">
        <f t="shared" si="33"/>
        <v>0.73060000000000003</v>
      </c>
      <c r="L117" s="910">
        <f t="shared" si="33"/>
        <v>0.73060000000000003</v>
      </c>
      <c r="M117" s="911">
        <f t="shared" si="33"/>
        <v>0.73060000000000003</v>
      </c>
    </row>
    <row r="118" spans="1:13" ht="13.5" thickBot="1">
      <c r="A118" s="714" t="s">
        <v>2878</v>
      </c>
      <c r="B118" s="912">
        <f>ROUND(0.7275-0.01*B113,4)</f>
        <v>0.71630000000000005</v>
      </c>
      <c r="C118" s="912">
        <f>B118</f>
        <v>0.71630000000000005</v>
      </c>
      <c r="D118" s="912">
        <f>ROUND(0.7043-0.012*B113,4)</f>
        <v>0.69089999999999996</v>
      </c>
      <c r="E118" s="912">
        <f>D118</f>
        <v>0.69089999999999996</v>
      </c>
      <c r="F118" s="912">
        <f>E118</f>
        <v>0.69089999999999996</v>
      </c>
      <c r="G118" s="912">
        <f>ROUND(0.6299-0.0122*B113,4)</f>
        <v>0.61619999999999997</v>
      </c>
      <c r="H118" s="912">
        <f>G118</f>
        <v>0.61619999999999997</v>
      </c>
      <c r="I118" s="912">
        <f>ROUND(0.5667-0.0136*B113,4)</f>
        <v>0.55149999999999999</v>
      </c>
      <c r="J118" s="912">
        <f t="shared" si="33"/>
        <v>0.55149999999999999</v>
      </c>
      <c r="K118" s="912">
        <f t="shared" si="33"/>
        <v>0.55149999999999999</v>
      </c>
      <c r="L118" s="912">
        <f t="shared" si="33"/>
        <v>0.55149999999999999</v>
      </c>
      <c r="M118" s="913">
        <f t="shared" si="33"/>
        <v>0.55149999999999999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1796875" defaultRowHeight="19.5" customHeight="1"/>
  <cols>
    <col min="1" max="1" width="13.6328125" style="816" customWidth="1"/>
    <col min="2" max="9" width="8.1796875" style="878" customWidth="1"/>
    <col min="10" max="13" width="8.1796875" style="816"/>
    <col min="14" max="14" width="10" style="816" customWidth="1"/>
    <col min="15" max="16" width="8.1796875" style="816"/>
    <col min="17" max="17" width="34.08984375" style="816" customWidth="1"/>
    <col min="18" max="18" width="8.1796875" style="816" customWidth="1"/>
    <col min="19" max="19" width="8.1796875" style="816"/>
    <col min="20" max="20" width="11.6328125" style="816" customWidth="1"/>
    <col min="21" max="16384" width="8.1796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26">
      <c r="A61" s="882">
        <v>1</v>
      </c>
      <c r="B61" s="3274" t="s">
        <v>614</v>
      </c>
      <c r="C61" s="818" t="s">
        <v>615</v>
      </c>
      <c r="D61" s="818" t="s">
        <v>616</v>
      </c>
      <c r="E61" s="895">
        <v>0.5</v>
      </c>
      <c r="F61" s="882">
        <v>80</v>
      </c>
    </row>
    <row r="62" spans="1:8" s="878" customFormat="1" ht="26">
      <c r="A62" s="882">
        <v>2</v>
      </c>
      <c r="B62" s="3274"/>
      <c r="C62" s="818" t="s">
        <v>617</v>
      </c>
      <c r="D62" s="818" t="s">
        <v>618</v>
      </c>
      <c r="E62" s="895">
        <v>0.5</v>
      </c>
      <c r="F62" s="882">
        <v>80</v>
      </c>
    </row>
    <row r="63" spans="1:8" s="878" customFormat="1" ht="39">
      <c r="A63" s="882">
        <v>3</v>
      </c>
      <c r="B63" s="3274"/>
      <c r="C63" s="818" t="s">
        <v>619</v>
      </c>
      <c r="D63" s="818" t="s">
        <v>620</v>
      </c>
      <c r="E63" s="895">
        <v>0.5</v>
      </c>
      <c r="F63" s="882">
        <v>80</v>
      </c>
    </row>
    <row r="64" spans="1:8" s="878" customFormat="1" ht="39">
      <c r="A64" s="882">
        <v>4</v>
      </c>
      <c r="B64" s="3274"/>
      <c r="C64" s="818" t="s">
        <v>621</v>
      </c>
      <c r="D64" s="818" t="s">
        <v>622</v>
      </c>
      <c r="E64" s="895">
        <v>0.4</v>
      </c>
      <c r="F64" s="882">
        <v>60</v>
      </c>
    </row>
    <row r="65" spans="1:6" s="878" customFormat="1" ht="39">
      <c r="A65" s="882">
        <v>5</v>
      </c>
      <c r="B65" s="3274"/>
      <c r="C65" s="818" t="s">
        <v>623</v>
      </c>
      <c r="D65" s="818" t="s">
        <v>624</v>
      </c>
      <c r="E65" s="895">
        <v>0.2</v>
      </c>
      <c r="F65" s="882">
        <v>30</v>
      </c>
    </row>
    <row r="66" spans="1:6" s="878" customFormat="1" ht="39">
      <c r="A66" s="882">
        <v>6</v>
      </c>
      <c r="B66" s="3274"/>
      <c r="C66" s="818" t="s">
        <v>625</v>
      </c>
      <c r="D66" s="818" t="s">
        <v>626</v>
      </c>
      <c r="E66" s="895">
        <v>0.3</v>
      </c>
      <c r="F66" s="882">
        <v>50</v>
      </c>
    </row>
    <row r="67" spans="1:6" s="878" customFormat="1" ht="39">
      <c r="A67" s="882">
        <v>7</v>
      </c>
      <c r="B67" s="3274"/>
      <c r="C67" s="818" t="s">
        <v>627</v>
      </c>
      <c r="D67" s="818" t="s">
        <v>628</v>
      </c>
      <c r="E67" s="895">
        <v>0.2</v>
      </c>
      <c r="F67" s="882">
        <v>30</v>
      </c>
    </row>
    <row r="68" spans="1:6" s="878" customFormat="1" ht="39">
      <c r="A68" s="882">
        <v>8</v>
      </c>
      <c r="B68" s="3274"/>
      <c r="C68" s="818" t="s">
        <v>629</v>
      </c>
      <c r="D68" s="818" t="s">
        <v>630</v>
      </c>
      <c r="E68" s="895">
        <v>0.2</v>
      </c>
      <c r="F68" s="882">
        <v>30</v>
      </c>
    </row>
    <row r="69" spans="1:6" s="878" customFormat="1" ht="39">
      <c r="A69" s="882">
        <v>9</v>
      </c>
      <c r="B69" s="3274"/>
      <c r="C69" s="818" t="s">
        <v>631</v>
      </c>
      <c r="D69" s="818" t="s">
        <v>632</v>
      </c>
      <c r="E69" s="895">
        <v>0.2</v>
      </c>
      <c r="F69" s="882">
        <v>30</v>
      </c>
    </row>
    <row r="70" spans="1:6" s="878" customFormat="1" ht="52">
      <c r="A70" s="882">
        <v>10</v>
      </c>
      <c r="B70" s="3274"/>
      <c r="C70" s="818" t="s">
        <v>633</v>
      </c>
      <c r="D70" s="818" t="s">
        <v>634</v>
      </c>
      <c r="E70" s="895">
        <v>0.2</v>
      </c>
      <c r="F70" s="882">
        <v>30</v>
      </c>
    </row>
    <row r="71" spans="1:6" s="878" customFormat="1" ht="52">
      <c r="A71" s="882">
        <v>11</v>
      </c>
      <c r="B71" s="3274"/>
      <c r="C71" s="818" t="s">
        <v>635</v>
      </c>
      <c r="D71" s="818" t="s">
        <v>636</v>
      </c>
      <c r="E71" s="895">
        <v>0.2</v>
      </c>
      <c r="F71" s="882">
        <v>30</v>
      </c>
    </row>
    <row r="72" spans="1:6" s="878" customFormat="1" ht="39">
      <c r="A72" s="882">
        <v>12</v>
      </c>
      <c r="B72" s="3274"/>
      <c r="C72" s="818" t="s">
        <v>637</v>
      </c>
      <c r="D72" s="818" t="s">
        <v>638</v>
      </c>
      <c r="E72" s="895">
        <v>0.5</v>
      </c>
      <c r="F72" s="882">
        <v>80</v>
      </c>
    </row>
    <row r="73" spans="1:6" s="878" customFormat="1" ht="26">
      <c r="A73" s="882">
        <v>13</v>
      </c>
      <c r="B73" s="3274"/>
      <c r="C73" s="818" t="s">
        <v>639</v>
      </c>
      <c r="D73" s="818" t="s">
        <v>640</v>
      </c>
      <c r="E73" s="895">
        <v>0.4</v>
      </c>
      <c r="F73" s="882">
        <v>60</v>
      </c>
    </row>
    <row r="74" spans="1:6" s="878" customFormat="1" ht="26">
      <c r="A74" s="882">
        <v>14</v>
      </c>
      <c r="B74" s="3274"/>
      <c r="C74" s="818" t="s">
        <v>641</v>
      </c>
      <c r="D74" s="818" t="s">
        <v>642</v>
      </c>
      <c r="E74" s="895">
        <v>0.2</v>
      </c>
      <c r="F74" s="882">
        <v>30</v>
      </c>
    </row>
    <row r="75" spans="1:6" s="878" customFormat="1" ht="26">
      <c r="A75" s="882">
        <v>15</v>
      </c>
      <c r="B75" s="3274"/>
      <c r="C75" s="818" t="s">
        <v>643</v>
      </c>
      <c r="D75" s="818" t="s">
        <v>644</v>
      </c>
      <c r="E75" s="895">
        <v>0.2</v>
      </c>
      <c r="F75" s="882">
        <v>30</v>
      </c>
    </row>
    <row r="76" spans="1:6" s="878" customFormat="1" ht="26">
      <c r="A76" s="882">
        <v>16</v>
      </c>
      <c r="B76" s="3274" t="s">
        <v>645</v>
      </c>
      <c r="C76" s="818" t="s">
        <v>646</v>
      </c>
      <c r="D76" s="818" t="s">
        <v>647</v>
      </c>
      <c r="E76" s="895">
        <v>0.5</v>
      </c>
      <c r="F76" s="882">
        <v>80</v>
      </c>
    </row>
    <row r="77" spans="1:6" s="878" customFormat="1" ht="26">
      <c r="A77" s="882">
        <v>17</v>
      </c>
      <c r="B77" s="3274"/>
      <c r="C77" s="818" t="s">
        <v>648</v>
      </c>
      <c r="D77" s="818" t="s">
        <v>649</v>
      </c>
      <c r="E77" s="895">
        <v>0.5</v>
      </c>
      <c r="F77" s="882">
        <v>80</v>
      </c>
    </row>
    <row r="78" spans="1:6" s="878" customFormat="1" ht="26">
      <c r="A78" s="882">
        <v>18</v>
      </c>
      <c r="B78" s="3274"/>
      <c r="C78" s="818" t="s">
        <v>650</v>
      </c>
      <c r="D78" s="818" t="s">
        <v>651</v>
      </c>
      <c r="E78" s="895">
        <v>0.2</v>
      </c>
      <c r="F78" s="882">
        <v>30</v>
      </c>
    </row>
    <row r="79" spans="1:6" s="878" customFormat="1" ht="26">
      <c r="A79" s="882">
        <v>19</v>
      </c>
      <c r="B79" s="3274"/>
      <c r="C79" s="818" t="s">
        <v>652</v>
      </c>
      <c r="D79" s="818" t="s">
        <v>653</v>
      </c>
      <c r="E79" s="895">
        <v>0.5</v>
      </c>
      <c r="F79" s="882">
        <v>80</v>
      </c>
    </row>
    <row r="80" spans="1:6" s="878" customFormat="1" ht="39">
      <c r="A80" s="882">
        <v>20</v>
      </c>
      <c r="B80" s="3274"/>
      <c r="C80" s="818" t="s">
        <v>654</v>
      </c>
      <c r="D80" s="818" t="s">
        <v>655</v>
      </c>
      <c r="E80" s="895">
        <v>0.2</v>
      </c>
      <c r="F80" s="882">
        <v>30</v>
      </c>
    </row>
    <row r="81" spans="1:6" s="878" customFormat="1" ht="39">
      <c r="A81" s="882">
        <v>21</v>
      </c>
      <c r="B81" s="3274"/>
      <c r="C81" s="818" t="s">
        <v>656</v>
      </c>
      <c r="D81" s="818" t="s">
        <v>657</v>
      </c>
      <c r="E81" s="895">
        <v>0.2</v>
      </c>
      <c r="F81" s="882">
        <v>30</v>
      </c>
    </row>
    <row r="82" spans="1:6" s="878" customFormat="1" ht="52">
      <c r="A82" s="882">
        <v>22</v>
      </c>
      <c r="B82" s="3274"/>
      <c r="C82" s="818" t="s">
        <v>658</v>
      </c>
      <c r="D82" s="818" t="s">
        <v>659</v>
      </c>
      <c r="E82" s="895">
        <v>0.2</v>
      </c>
      <c r="F82" s="882">
        <v>30</v>
      </c>
    </row>
    <row r="83" spans="1:6" s="878" customFormat="1" ht="52">
      <c r="A83" s="882">
        <v>23</v>
      </c>
      <c r="B83" s="3274"/>
      <c r="C83" s="818" t="s">
        <v>660</v>
      </c>
      <c r="D83" s="818" t="s">
        <v>661</v>
      </c>
      <c r="E83" s="895">
        <v>0.2</v>
      </c>
      <c r="F83" s="882">
        <v>30</v>
      </c>
    </row>
    <row r="84" spans="1:6" s="878" customFormat="1" ht="39">
      <c r="A84" s="882">
        <v>24</v>
      </c>
      <c r="B84" s="3274"/>
      <c r="C84" s="818" t="s">
        <v>662</v>
      </c>
      <c r="D84" s="818" t="s">
        <v>663</v>
      </c>
      <c r="E84" s="895">
        <v>0.2</v>
      </c>
      <c r="F84" s="882">
        <v>30</v>
      </c>
    </row>
    <row r="85" spans="1:6" s="878" customFormat="1" ht="39">
      <c r="A85" s="882">
        <v>25</v>
      </c>
      <c r="B85" s="3274"/>
      <c r="C85" s="818" t="s">
        <v>664</v>
      </c>
      <c r="D85" s="818" t="s">
        <v>665</v>
      </c>
      <c r="E85" s="895">
        <v>0.5</v>
      </c>
      <c r="F85" s="882">
        <v>80</v>
      </c>
    </row>
    <row r="86" spans="1:6" s="878" customFormat="1" ht="39">
      <c r="A86" s="882">
        <v>26</v>
      </c>
      <c r="B86" s="3274"/>
      <c r="C86" s="818" t="s">
        <v>666</v>
      </c>
      <c r="D86" s="818" t="s">
        <v>667</v>
      </c>
      <c r="E86" s="895">
        <v>0.2</v>
      </c>
      <c r="F86" s="882">
        <v>30</v>
      </c>
    </row>
    <row r="87" spans="1:6" s="878" customFormat="1" ht="39">
      <c r="A87" s="882">
        <v>27</v>
      </c>
      <c r="B87" s="3274"/>
      <c r="C87" s="818" t="s">
        <v>668</v>
      </c>
      <c r="D87" s="818" t="s">
        <v>669</v>
      </c>
      <c r="E87" s="895">
        <v>0.2</v>
      </c>
      <c r="F87" s="882">
        <v>30</v>
      </c>
    </row>
    <row r="88" spans="1:6" s="878" customFormat="1" ht="39">
      <c r="A88" s="882">
        <v>28</v>
      </c>
      <c r="B88" s="3274"/>
      <c r="C88" s="818" t="s">
        <v>670</v>
      </c>
      <c r="D88" s="818" t="s">
        <v>671</v>
      </c>
      <c r="E88" s="895">
        <v>0.2</v>
      </c>
      <c r="F88" s="882">
        <v>30</v>
      </c>
    </row>
    <row r="89" spans="1:6" s="878" customFormat="1" ht="26">
      <c r="A89" s="882">
        <v>29</v>
      </c>
      <c r="B89" s="3274"/>
      <c r="C89" s="818" t="s">
        <v>672</v>
      </c>
      <c r="D89" s="818" t="s">
        <v>673</v>
      </c>
      <c r="E89" s="895">
        <v>0.2</v>
      </c>
      <c r="F89" s="882">
        <v>30</v>
      </c>
    </row>
    <row r="90" spans="1:6" s="878" customFormat="1" ht="26">
      <c r="A90" s="882">
        <v>30</v>
      </c>
      <c r="B90" s="3274"/>
      <c r="C90" s="818" t="s">
        <v>674</v>
      </c>
      <c r="D90" s="818" t="s">
        <v>675</v>
      </c>
      <c r="E90" s="895">
        <v>0.2</v>
      </c>
      <c r="F90" s="882">
        <v>30</v>
      </c>
    </row>
    <row r="91" spans="1:6" s="878" customFormat="1" ht="39">
      <c r="A91" s="882">
        <v>31</v>
      </c>
      <c r="B91" s="3274"/>
      <c r="C91" s="818" t="s">
        <v>676</v>
      </c>
      <c r="D91" s="818" t="s">
        <v>677</v>
      </c>
      <c r="E91" s="895">
        <v>0.2</v>
      </c>
      <c r="F91" s="882">
        <v>30</v>
      </c>
    </row>
    <row r="92" spans="1:6" s="878" customFormat="1" ht="26">
      <c r="A92" s="882">
        <v>32</v>
      </c>
      <c r="B92" s="3274" t="s">
        <v>678</v>
      </c>
      <c r="C92" s="882" t="s">
        <v>679</v>
      </c>
      <c r="D92" s="818" t="s">
        <v>680</v>
      </c>
      <c r="E92" s="895">
        <v>0.2</v>
      </c>
      <c r="F92" s="882">
        <v>30</v>
      </c>
    </row>
    <row r="93" spans="1:6" s="878" customFormat="1" ht="39">
      <c r="A93" s="882">
        <v>33</v>
      </c>
      <c r="B93" s="3274"/>
      <c r="C93" s="882" t="s">
        <v>681</v>
      </c>
      <c r="D93" s="818" t="s">
        <v>682</v>
      </c>
      <c r="E93" s="895">
        <v>0.2</v>
      </c>
      <c r="F93" s="882">
        <v>30</v>
      </c>
    </row>
    <row r="94" spans="1:6" s="878" customFormat="1" ht="52">
      <c r="A94" s="882">
        <v>34</v>
      </c>
      <c r="B94" s="3274"/>
      <c r="C94" s="882" t="s">
        <v>683</v>
      </c>
      <c r="D94" s="818" t="s">
        <v>684</v>
      </c>
      <c r="E94" s="895">
        <v>0.2</v>
      </c>
      <c r="F94" s="882">
        <v>30</v>
      </c>
    </row>
    <row r="95" spans="1:6" s="878" customFormat="1" ht="39">
      <c r="A95" s="882">
        <v>35</v>
      </c>
      <c r="B95" s="3274"/>
      <c r="C95" s="882" t="s">
        <v>685</v>
      </c>
      <c r="D95" s="818" t="s">
        <v>686</v>
      </c>
      <c r="E95" s="895">
        <v>0.2</v>
      </c>
      <c r="F95" s="882">
        <v>30</v>
      </c>
    </row>
    <row r="96" spans="1:6" s="878" customFormat="1" ht="52">
      <c r="A96" s="882">
        <v>36</v>
      </c>
      <c r="B96" s="3274"/>
      <c r="C96" s="818" t="s">
        <v>687</v>
      </c>
      <c r="D96" s="818" t="s">
        <v>688</v>
      </c>
      <c r="E96" s="895">
        <v>0.2</v>
      </c>
      <c r="F96" s="882">
        <v>30</v>
      </c>
    </row>
    <row r="97" spans="1:6" s="878" customFormat="1" ht="39">
      <c r="A97" s="882">
        <v>37</v>
      </c>
      <c r="B97" s="3274"/>
      <c r="C97" s="882" t="s">
        <v>689</v>
      </c>
      <c r="D97" s="818" t="s">
        <v>690</v>
      </c>
      <c r="E97" s="895">
        <v>0.2</v>
      </c>
      <c r="F97" s="882">
        <v>30</v>
      </c>
    </row>
    <row r="98" spans="1:6" s="878" customFormat="1" ht="39">
      <c r="A98" s="882">
        <v>38</v>
      </c>
      <c r="B98" s="3274"/>
      <c r="C98" s="882" t="s">
        <v>691</v>
      </c>
      <c r="D98" s="818" t="s">
        <v>692</v>
      </c>
      <c r="E98" s="895">
        <v>0.2</v>
      </c>
      <c r="F98" s="882">
        <v>30</v>
      </c>
    </row>
    <row r="99" spans="1:6" s="878" customFormat="1" ht="39">
      <c r="A99" s="882">
        <v>39</v>
      </c>
      <c r="B99" s="3274" t="s">
        <v>693</v>
      </c>
      <c r="C99" s="882" t="s">
        <v>694</v>
      </c>
      <c r="D99" s="818" t="s">
        <v>695</v>
      </c>
      <c r="E99" s="895">
        <v>0.3</v>
      </c>
      <c r="F99" s="882">
        <v>50</v>
      </c>
    </row>
    <row r="100" spans="1:6" s="878" customFormat="1" ht="26">
      <c r="A100" s="882">
        <v>40</v>
      </c>
      <c r="B100" s="3274"/>
      <c r="C100" s="882" t="s">
        <v>696</v>
      </c>
      <c r="D100" s="818" t="s">
        <v>697</v>
      </c>
      <c r="E100" s="895">
        <v>0.2</v>
      </c>
      <c r="F100" s="882">
        <v>30</v>
      </c>
    </row>
    <row r="101" spans="1:6" s="878" customFormat="1" ht="39">
      <c r="A101" s="882">
        <v>41</v>
      </c>
      <c r="B101" s="3274"/>
      <c r="C101" s="882" t="s">
        <v>698</v>
      </c>
      <c r="D101" s="818" t="s">
        <v>695</v>
      </c>
      <c r="E101" s="895">
        <v>0.2</v>
      </c>
      <c r="F101" s="882">
        <v>30</v>
      </c>
    </row>
    <row r="102" spans="1:6" s="878" customFormat="1" ht="52">
      <c r="A102" s="882">
        <v>42</v>
      </c>
      <c r="B102" s="882" t="s">
        <v>699</v>
      </c>
      <c r="C102" s="818" t="s">
        <v>700</v>
      </c>
      <c r="D102" s="818" t="s">
        <v>701</v>
      </c>
      <c r="E102" s="895">
        <v>0.2</v>
      </c>
      <c r="F102" s="882">
        <v>30</v>
      </c>
    </row>
    <row r="103" spans="1:6" s="878" customFormat="1" ht="26">
      <c r="A103" s="882">
        <v>43</v>
      </c>
      <c r="B103" s="882" t="s">
        <v>702</v>
      </c>
      <c r="C103" s="882" t="s">
        <v>703</v>
      </c>
      <c r="D103" s="818" t="s">
        <v>704</v>
      </c>
      <c r="E103" s="895">
        <v>0.2</v>
      </c>
      <c r="F103" s="882">
        <v>30</v>
      </c>
    </row>
    <row r="104" spans="1:6" s="878" customFormat="1" ht="39">
      <c r="A104" s="882">
        <v>44</v>
      </c>
      <c r="B104" s="882" t="s">
        <v>705</v>
      </c>
      <c r="C104" s="882" t="s">
        <v>706</v>
      </c>
      <c r="D104" s="818" t="s">
        <v>707</v>
      </c>
      <c r="E104" s="895">
        <v>0.2</v>
      </c>
      <c r="F104" s="882">
        <v>30</v>
      </c>
    </row>
    <row r="105" spans="1:6" s="878" customFormat="1" ht="39">
      <c r="A105" s="882">
        <v>45</v>
      </c>
      <c r="B105" s="3274" t="s">
        <v>708</v>
      </c>
      <c r="C105" s="882" t="s">
        <v>709</v>
      </c>
      <c r="D105" s="818" t="s">
        <v>710</v>
      </c>
      <c r="E105" s="895">
        <v>0.2</v>
      </c>
      <c r="F105" s="882">
        <v>30</v>
      </c>
    </row>
    <row r="106" spans="1:6" s="878" customFormat="1" ht="39">
      <c r="A106" s="882">
        <v>46</v>
      </c>
      <c r="B106" s="3274"/>
      <c r="C106" s="882" t="s">
        <v>711</v>
      </c>
      <c r="D106" s="818" t="s">
        <v>712</v>
      </c>
      <c r="E106" s="895">
        <v>0.2</v>
      </c>
      <c r="F106" s="882">
        <v>30</v>
      </c>
    </row>
    <row r="107" spans="1:6" s="878" customFormat="1" ht="39">
      <c r="A107" s="882">
        <v>47</v>
      </c>
      <c r="B107" s="3274" t="s">
        <v>713</v>
      </c>
      <c r="C107" s="882" t="s">
        <v>714</v>
      </c>
      <c r="D107" s="818" t="s">
        <v>715</v>
      </c>
      <c r="E107" s="895">
        <v>0.3</v>
      </c>
      <c r="F107" s="882">
        <v>50</v>
      </c>
    </row>
    <row r="108" spans="1:6" s="878" customFormat="1" ht="39">
      <c r="A108" s="882">
        <v>48</v>
      </c>
      <c r="B108" s="3274"/>
      <c r="C108" s="882" t="s">
        <v>716</v>
      </c>
      <c r="D108" s="818" t="s">
        <v>717</v>
      </c>
      <c r="E108" s="895">
        <v>0.2</v>
      </c>
      <c r="F108" s="882">
        <v>30</v>
      </c>
    </row>
    <row r="109" spans="1:6" s="878" customFormat="1" ht="39">
      <c r="A109" s="882">
        <v>49</v>
      </c>
      <c r="B109" s="882" t="s">
        <v>718</v>
      </c>
      <c r="C109" s="882" t="s">
        <v>719</v>
      </c>
      <c r="D109" s="818" t="s">
        <v>720</v>
      </c>
      <c r="E109" s="895">
        <v>0.2</v>
      </c>
      <c r="F109" s="882">
        <v>30</v>
      </c>
    </row>
    <row r="110" spans="1:6" s="878" customFormat="1" ht="39">
      <c r="A110" s="882">
        <v>50</v>
      </c>
      <c r="B110" s="882" t="s">
        <v>721</v>
      </c>
      <c r="C110" s="882" t="s">
        <v>722</v>
      </c>
      <c r="D110" s="818" t="s">
        <v>723</v>
      </c>
      <c r="E110" s="895">
        <v>0.2</v>
      </c>
      <c r="F110" s="882">
        <v>30</v>
      </c>
    </row>
    <row r="111" spans="1:6" s="878" customFormat="1" ht="39">
      <c r="A111" s="882">
        <v>51</v>
      </c>
      <c r="B111" s="3274" t="s">
        <v>724</v>
      </c>
      <c r="C111" s="882" t="s">
        <v>725</v>
      </c>
      <c r="D111" s="818" t="s">
        <v>726</v>
      </c>
      <c r="E111" s="895">
        <v>0.2</v>
      </c>
      <c r="F111" s="882">
        <v>30</v>
      </c>
    </row>
    <row r="112" spans="1:6" s="878" customFormat="1" ht="26">
      <c r="A112" s="882">
        <v>52</v>
      </c>
      <c r="B112" s="3274"/>
      <c r="C112" s="882" t="s">
        <v>727</v>
      </c>
      <c r="D112" s="818" t="s">
        <v>728</v>
      </c>
      <c r="E112" s="895">
        <v>0.2</v>
      </c>
      <c r="F112" s="882">
        <v>30</v>
      </c>
    </row>
    <row r="113" spans="1:6" s="878" customFormat="1" ht="26">
      <c r="A113" s="882">
        <v>53</v>
      </c>
      <c r="B113" s="3274"/>
      <c r="C113" s="882" t="s">
        <v>729</v>
      </c>
      <c r="D113" s="818" t="s">
        <v>730</v>
      </c>
      <c r="E113" s="895">
        <v>0.2</v>
      </c>
      <c r="F113" s="882">
        <v>30</v>
      </c>
    </row>
    <row r="114" spans="1:6" ht="39">
      <c r="A114" s="882">
        <v>54</v>
      </c>
      <c r="B114" s="882" t="s">
        <v>731</v>
      </c>
      <c r="C114" s="882" t="s">
        <v>732</v>
      </c>
      <c r="D114" s="818" t="s">
        <v>733</v>
      </c>
      <c r="E114" s="895">
        <v>0.2</v>
      </c>
      <c r="F114" s="882">
        <v>30</v>
      </c>
    </row>
    <row r="115" spans="1:6" ht="26">
      <c r="A115" s="882">
        <v>55</v>
      </c>
      <c r="B115" s="882" t="s">
        <v>734</v>
      </c>
      <c r="C115" s="882" t="s">
        <v>735</v>
      </c>
      <c r="D115" s="818" t="s">
        <v>736</v>
      </c>
      <c r="E115" s="895">
        <v>0.2</v>
      </c>
      <c r="F115" s="882">
        <v>30</v>
      </c>
    </row>
    <row r="116" spans="1:6" ht="26">
      <c r="A116" s="882">
        <v>56</v>
      </c>
      <c r="B116" s="3274" t="s">
        <v>737</v>
      </c>
      <c r="C116" s="882" t="s">
        <v>738</v>
      </c>
      <c r="D116" s="818" t="s">
        <v>739</v>
      </c>
      <c r="E116" s="895">
        <v>0.2</v>
      </c>
      <c r="F116" s="882">
        <v>30</v>
      </c>
    </row>
    <row r="117" spans="1:6" ht="39">
      <c r="A117" s="882">
        <v>57</v>
      </c>
      <c r="B117" s="3274"/>
      <c r="C117" s="882" t="s">
        <v>740</v>
      </c>
      <c r="D117" s="818" t="s">
        <v>741</v>
      </c>
      <c r="E117" s="895">
        <v>0.2</v>
      </c>
      <c r="F117" s="882">
        <v>30</v>
      </c>
    </row>
    <row r="118" spans="1:6" ht="39">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B3" sqref="B3"/>
    </sheetView>
  </sheetViews>
  <sheetFormatPr defaultColWidth="9" defaultRowHeight="14"/>
  <cols>
    <col min="1" max="1" width="23.36328125" style="1944" customWidth="1"/>
    <col min="2" max="2" width="12.453125" style="1944" customWidth="1"/>
    <col min="3" max="3" width="12.08984375" style="1944" customWidth="1"/>
    <col min="4" max="4" width="14.08984375" style="1944" customWidth="1"/>
    <col min="5" max="5" width="12.453125" style="1944" customWidth="1"/>
    <col min="6" max="16384" width="9" style="1944"/>
  </cols>
  <sheetData>
    <row r="1" spans="1:5" ht="21">
      <c r="A1" s="2563" t="s">
        <v>2999</v>
      </c>
    </row>
    <row r="2" spans="1:5" ht="15.5">
      <c r="A2" s="2904" t="s">
        <v>2991</v>
      </c>
      <c r="B2" s="2905" t="e">
        <f ca="1">SUMIF(B6:B13,"&lt;&gt;#ref!",B6:B13)</f>
        <v>#DIV/0!</v>
      </c>
      <c r="C2" s="2904" t="s">
        <v>2992</v>
      </c>
      <c r="D2" s="2904" t="s">
        <v>2993</v>
      </c>
      <c r="E2" s="2905">
        <f ca="1">SUMIF(E6:E13,"&lt;&gt;#ref!",E6:E13)</f>
        <v>0</v>
      </c>
    </row>
    <row r="3" spans="1:5" ht="15.5">
      <c r="A3" s="2904" t="s">
        <v>2994</v>
      </c>
      <c r="B3" s="2905" t="e">
        <f ca="1">ROUND(B2*10000/E2,0)</f>
        <v>#DIV/0!</v>
      </c>
      <c r="C3" s="2904" t="s">
        <v>3000</v>
      </c>
      <c r="D3" s="2906"/>
      <c r="E3" s="2906"/>
    </row>
    <row r="4" spans="1:5" ht="15.5">
      <c r="A4" s="2907"/>
      <c r="B4" s="2906"/>
      <c r="C4" s="2906"/>
      <c r="D4" s="2906"/>
      <c r="E4" s="2906"/>
    </row>
    <row r="5" spans="1:5" ht="30">
      <c r="A5" s="2908" t="s">
        <v>2995</v>
      </c>
      <c r="B5" s="2904" t="s">
        <v>2996</v>
      </c>
      <c r="C5" s="2905"/>
      <c r="D5" s="2906"/>
      <c r="E5" s="2904" t="s">
        <v>2997</v>
      </c>
    </row>
    <row r="6" spans="1:5" ht="15.5">
      <c r="A6" s="2909" t="s">
        <v>2998</v>
      </c>
      <c r="B6" s="2905" t="e">
        <f ca="1">SUMIF(INDIRECT("'"&amp;A6&amp;"'"&amp;"!A:A"),"总价",INDIRECT("'"&amp;A6&amp;"'"&amp;"!B:B"))</f>
        <v>#DIV/0!</v>
      </c>
      <c r="C6" s="2904" t="s">
        <v>2992</v>
      </c>
      <c r="D6" s="2906"/>
      <c r="E6" s="2577">
        <f ca="1">SUMIF(INDIRECT("'"&amp;A6&amp;"'"&amp;"!C:C"),"建筑面积",INDIRECT("'"&amp;A6&amp;"'"&amp;"!D:D"))</f>
        <v>0</v>
      </c>
    </row>
    <row r="7" spans="1:5" ht="15.5">
      <c r="A7" s="2909"/>
      <c r="B7" s="2905" t="e">
        <f ca="1">SUMIF(INDIRECT("'"&amp;A7&amp;"'"&amp;"!A:A"),"总价",INDIRECT("'"&amp;A7&amp;"'"&amp;"!B:B"))</f>
        <v>#REF!</v>
      </c>
      <c r="C7" s="2904" t="s">
        <v>2992</v>
      </c>
      <c r="D7" s="2906"/>
      <c r="E7" s="2577" t="e">
        <f t="shared" ref="E7:E13" ca="1" si="0">SUMIF(INDIRECT("'"&amp;A7&amp;"'"&amp;"!C:C"),"建筑面积",INDIRECT("'"&amp;A7&amp;"'"&amp;"!D:D"))</f>
        <v>#REF!</v>
      </c>
    </row>
    <row r="8" spans="1:5" ht="15.5">
      <c r="A8" s="2909"/>
      <c r="B8" s="2905" t="e">
        <f t="shared" ref="B8:B13" ca="1" si="1">SUMIF(INDIRECT("'"&amp;A8&amp;"'"&amp;"!A:A"),"总价",INDIRECT("'"&amp;A8&amp;"'"&amp;"!B:B"))</f>
        <v>#REF!</v>
      </c>
      <c r="C8" s="2904" t="s">
        <v>2992</v>
      </c>
      <c r="D8" s="2906"/>
      <c r="E8" s="2577" t="e">
        <f t="shared" ca="1" si="0"/>
        <v>#REF!</v>
      </c>
    </row>
    <row r="9" spans="1:5" ht="15.5">
      <c r="A9" s="2909"/>
      <c r="B9" s="2905" t="e">
        <f t="shared" ca="1" si="1"/>
        <v>#REF!</v>
      </c>
      <c r="C9" s="2904" t="s">
        <v>2992</v>
      </c>
      <c r="D9" s="2906"/>
      <c r="E9" s="2577" t="e">
        <f t="shared" ca="1" si="0"/>
        <v>#REF!</v>
      </c>
    </row>
    <row r="10" spans="1:5" ht="15.5">
      <c r="A10" s="2909"/>
      <c r="B10" s="2905" t="e">
        <f t="shared" ca="1" si="1"/>
        <v>#REF!</v>
      </c>
      <c r="C10" s="2904" t="s">
        <v>2992</v>
      </c>
      <c r="D10" s="2906"/>
      <c r="E10" s="2577" t="e">
        <f t="shared" ca="1" si="0"/>
        <v>#REF!</v>
      </c>
    </row>
    <row r="11" spans="1:5" ht="15.5">
      <c r="A11" s="2909"/>
      <c r="B11" s="2905" t="e">
        <f t="shared" ca="1" si="1"/>
        <v>#REF!</v>
      </c>
      <c r="C11" s="2904" t="s">
        <v>2992</v>
      </c>
      <c r="D11" s="2906"/>
      <c r="E11" s="2577" t="e">
        <f t="shared" ca="1" si="0"/>
        <v>#REF!</v>
      </c>
    </row>
    <row r="12" spans="1:5" ht="15.5">
      <c r="A12" s="2909"/>
      <c r="B12" s="2905" t="e">
        <f t="shared" ca="1" si="1"/>
        <v>#REF!</v>
      </c>
      <c r="C12" s="2904" t="s">
        <v>2992</v>
      </c>
      <c r="D12" s="2906"/>
      <c r="E12" s="2577" t="e">
        <f t="shared" ca="1" si="0"/>
        <v>#REF!</v>
      </c>
    </row>
    <row r="13" spans="1:5" ht="15.5">
      <c r="A13" s="2909"/>
      <c r="B13" s="2905" t="e">
        <f t="shared" ca="1" si="1"/>
        <v>#REF!</v>
      </c>
      <c r="C13" s="2904" t="s">
        <v>2992</v>
      </c>
      <c r="D13" s="2906"/>
      <c r="E13" s="2577" t="e">
        <f t="shared" ca="1" si="0"/>
        <v>#REF!</v>
      </c>
    </row>
  </sheetData>
  <sheetProtection password="C66D" sheet="1" objects="1" scenarios="1" formatCells="0"/>
  <phoneticPr fontId="14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9" customWidth="1"/>
    <col min="2" max="2" width="37.1796875" style="1959" customWidth="1"/>
    <col min="3" max="3" width="11.36328125" style="1959" customWidth="1"/>
    <col min="4" max="4" width="31.81640625" style="1959" customWidth="1"/>
    <col min="5" max="5" width="0.453125" style="1959" customWidth="1"/>
    <col min="6" max="7" width="13" style="1959" customWidth="1"/>
    <col min="8" max="16384" width="9" style="1959"/>
  </cols>
  <sheetData>
    <row r="1" spans="1:5" ht="18">
      <c r="A1" s="1957" t="s">
        <v>1615</v>
      </c>
      <c r="B1" s="1958"/>
      <c r="C1" s="1958"/>
      <c r="D1" s="1958"/>
      <c r="E1" s="1958"/>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8.5" thickBot="1">
      <c r="A4" s="1960"/>
      <c r="B4" s="2969" t="s">
        <v>1624</v>
      </c>
      <c r="C4" s="2969"/>
      <c r="D4" s="2969"/>
      <c r="E4" s="1960"/>
    </row>
    <row r="5" spans="1:5" ht="16" thickTop="1">
      <c r="A5" s="1958"/>
      <c r="B5" s="2967" t="s">
        <v>1616</v>
      </c>
      <c r="C5" s="1961" t="s">
        <v>1617</v>
      </c>
      <c r="D5" s="1040">
        <f ca="1">结果表!H101</f>
        <v>23438</v>
      </c>
      <c r="E5" s="1958"/>
    </row>
    <row r="6" spans="1:5" ht="15.5">
      <c r="A6" s="1958"/>
      <c r="B6" s="2967"/>
      <c r="C6" s="1961" t="s">
        <v>1618</v>
      </c>
      <c r="D6" s="1040" t="str">
        <f ca="1">NUMBERSTRING(INT(D5*10000),2)&amp;"元整"</f>
        <v>贰亿叁仟肆佰叁拾捌万元整</v>
      </c>
      <c r="E6" s="1958"/>
    </row>
    <row r="7" spans="1:5" ht="15.5">
      <c r="A7" s="1958"/>
      <c r="B7" s="2972"/>
      <c r="C7" s="1962" t="s">
        <v>1619</v>
      </c>
      <c r="D7" s="1041">
        <f ca="1">结果表!H102</f>
        <v>3343</v>
      </c>
      <c r="E7" s="1958"/>
    </row>
    <row r="8" spans="1:5" ht="15.5">
      <c r="A8" s="1958"/>
      <c r="B8" s="2973" t="str">
        <f>结果表!E103</f>
        <v>2.估价师知悉的法定优先受偿款</v>
      </c>
      <c r="C8" s="1963" t="s">
        <v>1620</v>
      </c>
      <c r="D8" s="1041">
        <f>结果表!H103</f>
        <v>0</v>
      </c>
      <c r="E8" s="1958"/>
    </row>
    <row r="9" spans="1:5" ht="15.5">
      <c r="A9" s="1958"/>
      <c r="B9" s="2975"/>
      <c r="C9" s="1961" t="s">
        <v>1618</v>
      </c>
      <c r="D9" s="1040" t="str">
        <f>NUMBERSTRING(INT(D8*10000),2)&amp;"元整"</f>
        <v>零元整</v>
      </c>
      <c r="E9" s="1958"/>
    </row>
    <row r="10" spans="1:5" ht="16">
      <c r="A10" s="1958"/>
      <c r="B10" s="1964" t="s">
        <v>1623</v>
      </c>
      <c r="C10" s="1965" t="s">
        <v>1621</v>
      </c>
      <c r="D10" s="1042">
        <f>结果表!H104</f>
        <v>0</v>
      </c>
      <c r="E10" s="1958"/>
    </row>
    <row r="11" spans="1:5" ht="16">
      <c r="A11" s="1958"/>
      <c r="B11" s="1964" t="s">
        <v>1625</v>
      </c>
      <c r="C11" s="1965" t="s">
        <v>1626</v>
      </c>
      <c r="D11" s="1042">
        <f>结果表!H105</f>
        <v>0</v>
      </c>
      <c r="E11" s="1958"/>
    </row>
    <row r="12" spans="1:5" ht="16">
      <c r="A12" s="1958"/>
      <c r="B12" s="1964" t="s">
        <v>1627</v>
      </c>
      <c r="C12" s="1965" t="s">
        <v>1626</v>
      </c>
      <c r="D12" s="1042">
        <f>结果表!H106</f>
        <v>0</v>
      </c>
      <c r="E12" s="1958"/>
    </row>
    <row r="13" spans="1:5" ht="15.5">
      <c r="A13" s="1958"/>
      <c r="B13" s="2966" t="str">
        <f>结果表!E107</f>
        <v>3.房地产抵押价值</v>
      </c>
      <c r="C13" s="1966" t="s">
        <v>1617</v>
      </c>
      <c r="D13" s="1043">
        <f ca="1">结果表!H107</f>
        <v>23438</v>
      </c>
      <c r="E13" s="1958"/>
    </row>
    <row r="14" spans="1:5" ht="15.5">
      <c r="A14" s="1958"/>
      <c r="B14" s="2967"/>
      <c r="C14" s="1961" t="s">
        <v>1618</v>
      </c>
      <c r="D14" s="1040" t="str">
        <f ca="1">NUMBERSTRING(INT(D13*10000),2)&amp;"元整"</f>
        <v>贰亿叁仟肆佰叁拾捌万元整</v>
      </c>
      <c r="E14" s="1958"/>
    </row>
    <row r="15" spans="1:5" ht="15.5">
      <c r="A15" s="1958"/>
      <c r="B15" s="2972"/>
      <c r="C15" s="1962" t="s">
        <v>1628</v>
      </c>
      <c r="D15" s="1052">
        <f ca="1">结果表!H108</f>
        <v>3343</v>
      </c>
      <c r="E15" s="1958"/>
    </row>
    <row r="16" spans="1:5" ht="15">
      <c r="A16" s="1958"/>
      <c r="B16" s="2973" t="str">
        <f>结果表!E109</f>
        <v>——</v>
      </c>
      <c r="C16" s="1966" t="s">
        <v>1629</v>
      </c>
      <c r="D16" s="1967" t="str">
        <f>结果表!H109</f>
        <v>——</v>
      </c>
      <c r="E16" s="1958"/>
    </row>
    <row r="17" spans="1:5" ht="15.5">
      <c r="A17" s="1958"/>
      <c r="B17" s="2974"/>
      <c r="C17" s="1961" t="s">
        <v>1630</v>
      </c>
      <c r="D17" s="1040" t="e">
        <f>NUMBERSTRING(INT(D16*10000),2)&amp;"元整"</f>
        <v>#VALUE!</v>
      </c>
      <c r="E17" s="1958"/>
    </row>
    <row r="18" spans="1:5" ht="15.5">
      <c r="A18" s="1958"/>
      <c r="B18" s="2975"/>
      <c r="C18" s="1962" t="s">
        <v>1619</v>
      </c>
      <c r="D18" s="1052" t="str">
        <f>结果表!H110</f>
        <v>——</v>
      </c>
      <c r="E18" s="1958"/>
    </row>
    <row r="19" spans="1:5" ht="15.5">
      <c r="A19" s="1958"/>
      <c r="B19" s="2966" t="str">
        <f>结果表!E111</f>
        <v>——</v>
      </c>
      <c r="C19" s="1966" t="s">
        <v>1617</v>
      </c>
      <c r="D19" s="1041" t="str">
        <f>结果表!H111</f>
        <v>——</v>
      </c>
      <c r="E19" s="1958"/>
    </row>
    <row r="20" spans="1:5" ht="15.5">
      <c r="A20" s="1958"/>
      <c r="B20" s="2967"/>
      <c r="C20" s="1961" t="s">
        <v>1630</v>
      </c>
      <c r="D20" s="1040" t="e">
        <f>NUMBERSTRING(INT(D19*10000),2)&amp;"元整"</f>
        <v>#VALUE!</v>
      </c>
      <c r="E20" s="1958"/>
    </row>
    <row r="21" spans="1:5" ht="16" thickBot="1">
      <c r="A21" s="1958"/>
      <c r="B21" s="2968"/>
      <c r="C21" s="1968" t="s">
        <v>1628</v>
      </c>
      <c r="D21" s="1053" t="str">
        <f>结果表!H112</f>
        <v>——</v>
      </c>
      <c r="E21" s="1958"/>
    </row>
    <row r="22" spans="1:5" ht="14.5" thickTop="1">
      <c r="A22" s="1958"/>
      <c r="B22" s="1969" t="s">
        <v>1631</v>
      </c>
      <c r="C22" s="1958"/>
      <c r="D22" s="1958"/>
      <c r="E22" s="1958"/>
    </row>
    <row r="23" spans="1:5">
      <c r="A23" s="1958"/>
      <c r="B23" s="1958"/>
      <c r="C23" s="1958"/>
      <c r="D23" s="1958"/>
      <c r="E23" s="1958"/>
    </row>
    <row r="24" spans="1:5" ht="1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H6" sqref="H6"/>
    </sheetView>
  </sheetViews>
  <sheetFormatPr defaultColWidth="9" defaultRowHeight="12.5"/>
  <cols>
    <col min="1" max="1" width="9" style="1471"/>
    <col min="2" max="6" width="9" style="1471" customWidth="1"/>
    <col min="7" max="7" width="9" style="1486"/>
    <col min="8" max="8" width="9" style="1471"/>
    <col min="9" max="12" width="9" style="1471" customWidth="1"/>
    <col min="13" max="13" width="2.1796875" style="1471" customWidth="1"/>
    <col min="14" max="14" width="9" style="1486" customWidth="1"/>
    <col min="15" max="17" width="9" style="1471" customWidth="1"/>
    <col min="18" max="18" width="2.36328125" style="1471" customWidth="1"/>
    <col min="19" max="19" width="7.08984375" style="1486" customWidth="1"/>
    <col min="20" max="22" width="7.08984375" style="1471" customWidth="1"/>
    <col min="23" max="23" width="24.1796875" style="1471" customWidth="1"/>
    <col min="24" max="25" width="9" style="1471"/>
    <col min="26" max="27" width="11.6328125" style="1471" customWidth="1"/>
    <col min="28" max="28" width="9" style="1471"/>
    <col min="29" max="29" width="2" style="1471" customWidth="1"/>
    <col min="30" max="16384" width="9" style="1471"/>
  </cols>
  <sheetData>
    <row r="1" spans="1:34" s="1445" customFormat="1" ht="13">
      <c r="B1" s="3280" t="s">
        <v>1145</v>
      </c>
      <c r="C1" s="3280"/>
      <c r="D1" s="3280"/>
      <c r="E1" s="3280"/>
      <c r="F1" s="3280"/>
      <c r="G1" s="3276" t="s">
        <v>1146</v>
      </c>
      <c r="H1" s="3276"/>
      <c r="I1" s="3276"/>
      <c r="J1" s="3276"/>
      <c r="K1" s="3276"/>
      <c r="L1" s="3276"/>
      <c r="N1" s="3276" t="s">
        <v>1147</v>
      </c>
      <c r="O1" s="3276"/>
      <c r="P1" s="3276"/>
      <c r="Q1" s="3276"/>
      <c r="R1" s="1446"/>
      <c r="S1" s="3276" t="s">
        <v>1148</v>
      </c>
      <c r="T1" s="3276"/>
      <c r="U1" s="3276"/>
      <c r="V1" s="3276"/>
      <c r="X1" s="3275" t="s">
        <v>1149</v>
      </c>
      <c r="Y1" s="3276"/>
      <c r="Z1" s="3276"/>
      <c r="AA1" s="3276"/>
      <c r="AB1" s="3276"/>
      <c r="AD1" s="3275" t="s">
        <v>1150</v>
      </c>
      <c r="AE1" s="3276"/>
      <c r="AF1" s="3276"/>
      <c r="AG1" s="3276"/>
      <c r="AH1" s="3276"/>
    </row>
    <row r="2" spans="1:34" s="1447" customFormat="1" ht="14.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
      <c r="A3" s="2929" t="s">
        <v>3034</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
      <c r="A5" s="1729" t="s">
        <v>3053</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3035</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ht="13">
      <c r="A6" s="1461" t="s">
        <v>3052</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ht="13">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ht="13">
      <c r="A10" s="1461" t="s">
        <v>3047</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278">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78"/>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78"/>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8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ht="13">
      <c r="A14" s="1461" t="s">
        <v>3030</v>
      </c>
      <c r="B14" s="1469">
        <v>439</v>
      </c>
      <c r="C14" s="1469">
        <v>327</v>
      </c>
      <c r="D14" s="1469">
        <f>C14</f>
        <v>327</v>
      </c>
      <c r="E14" s="1469">
        <v>627</v>
      </c>
      <c r="F14" s="1470">
        <v>283</v>
      </c>
      <c r="G14" s="328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78"/>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78"/>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8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ht="13">
      <c r="A18" s="1461" t="s">
        <v>154</v>
      </c>
      <c r="B18" s="1469">
        <v>392</v>
      </c>
      <c r="C18" s="1469">
        <v>302</v>
      </c>
      <c r="D18" s="1469">
        <f>C18</f>
        <v>302</v>
      </c>
      <c r="E18" s="1469">
        <v>553</v>
      </c>
      <c r="F18" s="1470">
        <v>266</v>
      </c>
      <c r="G18" s="328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78"/>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78"/>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79"/>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77">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78"/>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78"/>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79"/>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77">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78"/>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78"/>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79"/>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8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8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ht="13">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8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8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77">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78"/>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78"/>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 thickBot="1">
      <c r="A37" s="1461" t="s">
        <v>1165</v>
      </c>
      <c r="B37" s="1477">
        <f>B36/(1+N36)</f>
        <v>275.19025476197027</v>
      </c>
      <c r="C37" s="1513">
        <v>232</v>
      </c>
      <c r="D37" s="1513">
        <f t="shared" si="119"/>
        <v>232</v>
      </c>
      <c r="E37" s="1477">
        <f t="shared" si="130"/>
        <v>375.65990977608692</v>
      </c>
      <c r="F37" s="1477">
        <f t="shared" si="130"/>
        <v>214.12518283971252</v>
      </c>
      <c r="G37" s="3279"/>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77">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78">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78">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79">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77">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78">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78">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79">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77">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78">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78">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79">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77">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78">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78">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79">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77">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78">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78">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79">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77">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78">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78">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79">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77">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78">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78">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79">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77">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78">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78">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79">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77">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78">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78">
        <v>2003</v>
      </c>
      <c r="H72" s="1465">
        <v>2</v>
      </c>
      <c r="I72" s="1534"/>
      <c r="J72" s="1534"/>
      <c r="K72" s="1534"/>
      <c r="L72" s="1534"/>
      <c r="X72" s="1526"/>
      <c r="Y72" s="1526"/>
      <c r="Z72" s="1526"/>
    </row>
    <row r="73" spans="1:26" ht="13" thickBot="1">
      <c r="A73" s="1461" t="s">
        <v>1201</v>
      </c>
      <c r="B73" s="1536">
        <f t="shared" si="155"/>
        <v>107.25</v>
      </c>
      <c r="C73" s="1536">
        <f t="shared" si="155"/>
        <v>108.75</v>
      </c>
      <c r="D73" s="1536">
        <f t="shared" si="119"/>
        <v>108.75</v>
      </c>
      <c r="E73" s="1536">
        <f t="shared" si="156"/>
        <v>105.75</v>
      </c>
      <c r="F73" s="1536">
        <f t="shared" si="156"/>
        <v>102.5</v>
      </c>
      <c r="G73" s="3279">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77">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78">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78">
        <v>2002</v>
      </c>
      <c r="H76" s="1465">
        <v>2</v>
      </c>
      <c r="I76" s="1534"/>
      <c r="J76" s="1534"/>
      <c r="K76" s="1534"/>
      <c r="L76" s="1534"/>
      <c r="X76" s="1526"/>
      <c r="Y76" s="1526"/>
      <c r="Z76" s="1526"/>
    </row>
    <row r="77" spans="1:26" s="1498" customFormat="1" ht="13" thickBot="1">
      <c r="A77" s="1494" t="s">
        <v>1205</v>
      </c>
      <c r="B77" s="1540">
        <f t="shared" si="157"/>
        <v>103</v>
      </c>
      <c r="C77" s="1540">
        <f t="shared" si="157"/>
        <v>104</v>
      </c>
      <c r="D77" s="1540">
        <f t="shared" si="119"/>
        <v>104</v>
      </c>
      <c r="E77" s="1540">
        <f t="shared" si="158"/>
        <v>103.5</v>
      </c>
      <c r="F77" s="1540">
        <f t="shared" si="158"/>
        <v>100.5</v>
      </c>
      <c r="G77" s="3279">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ht="13">
      <c r="A80" s="1548" t="s">
        <v>1206</v>
      </c>
      <c r="G80" s="1550"/>
      <c r="N80" s="1550"/>
      <c r="S80" s="1550"/>
    </row>
    <row r="81" spans="1:22" s="1549" customFormat="1" ht="13">
      <c r="A81" s="1549" t="s">
        <v>1207</v>
      </c>
      <c r="G81" s="1550"/>
      <c r="N81" s="1550"/>
      <c r="S81" s="1550"/>
    </row>
    <row r="82" spans="1:22" s="1549" customFormat="1" ht="13">
      <c r="A82" s="1549" t="s">
        <v>1208</v>
      </c>
      <c r="G82" s="1550"/>
      <c r="I82" s="1551"/>
      <c r="J82" s="1551"/>
      <c r="K82" s="1551"/>
      <c r="L82" s="1551"/>
      <c r="N82" s="1552"/>
      <c r="O82" s="1551"/>
      <c r="P82" s="1551"/>
      <c r="Q82" s="1551"/>
      <c r="S82" s="1552"/>
      <c r="T82" s="1551"/>
      <c r="U82" s="1551"/>
      <c r="V82" s="1551"/>
    </row>
    <row r="83" spans="1:22" s="1549" customFormat="1" ht="13">
      <c r="A83" s="1549" t="s">
        <v>1209</v>
      </c>
      <c r="G83" s="1550"/>
      <c r="N83" s="1550"/>
      <c r="S83" s="1550"/>
    </row>
    <row r="90" spans="1:22" ht="13" thickBot="1"/>
    <row r="91" spans="1:22" ht="13">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5"/>
  <cols>
    <col min="1" max="1" width="11.453125" style="139"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7" t="s">
        <v>3002</v>
      </c>
      <c r="D1" s="3288"/>
      <c r="E1" s="3288"/>
      <c r="F1" s="3288"/>
      <c r="G1" s="3288"/>
      <c r="H1" s="3288"/>
      <c r="I1" s="3288"/>
      <c r="J1" s="3288"/>
      <c r="K1" s="3288"/>
      <c r="L1" s="3288"/>
      <c r="M1" s="3288"/>
      <c r="N1" s="3288"/>
      <c r="O1" s="3288"/>
      <c r="P1" s="3288"/>
      <c r="Q1" s="3288"/>
      <c r="R1" s="3288"/>
      <c r="S1" s="3289"/>
      <c r="T1" s="1204" t="s">
        <v>3003</v>
      </c>
    </row>
    <row r="2" spans="1:45" s="707" customFormat="1" ht="13">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3">
      <c r="A17" s="2910" t="s">
        <v>3011</v>
      </c>
      <c r="B17" s="2911"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3">
      <c r="A19" s="138"/>
      <c r="B19" s="168"/>
      <c r="C19" s="168"/>
      <c r="D19" s="2912" t="s">
        <v>3013</v>
      </c>
      <c r="E19" s="1792"/>
      <c r="F19" s="1792"/>
      <c r="G19" s="1792"/>
      <c r="H19" s="1280"/>
      <c r="I19" s="168"/>
      <c r="J19" s="168"/>
      <c r="K19" s="168"/>
      <c r="L19" s="168"/>
      <c r="M19" s="168"/>
      <c r="N19" s="168"/>
      <c r="O19" s="168"/>
      <c r="P19" s="168"/>
      <c r="Q19" s="168"/>
      <c r="R19" s="788"/>
      <c r="S19" s="138"/>
    </row>
    <row r="20" spans="1:45" ht="16" thickBot="1">
      <c r="A20" s="715" t="s">
        <v>3014</v>
      </c>
      <c r="B20" s="338" t="e">
        <f ca="1">IF(D20="——",S22,S22-F20)</f>
        <v>#REF!</v>
      </c>
      <c r="C20" s="168"/>
      <c r="D20" s="2913" t="s">
        <v>3015</v>
      </c>
      <c r="E20" s="1793"/>
      <c r="F20" s="1204" t="e">
        <f ca="1">SUMIF(INDIRECT("'"&amp;H20&amp;"'"&amp;"!A:A"),"承租人权益价值",INDIRECT("'"&amp;H20&amp;"'"&amp;"!c:c"))</f>
        <v>#REF!</v>
      </c>
      <c r="G20" s="1204" t="s">
        <v>3016</v>
      </c>
      <c r="H20" s="2914"/>
      <c r="I20" s="168"/>
      <c r="J20" s="168"/>
      <c r="K20" s="168"/>
      <c r="L20" s="168"/>
      <c r="M20" s="168"/>
      <c r="N20" s="168"/>
      <c r="O20" s="168"/>
      <c r="P20" s="168"/>
      <c r="Q20" s="168"/>
      <c r="R20" s="788"/>
      <c r="S20" s="138"/>
    </row>
    <row r="21" spans="1:45" ht="15.5">
      <c r="A21" s="715" t="s">
        <v>3017</v>
      </c>
      <c r="B21" s="338">
        <f>R22</f>
        <v>10000</v>
      </c>
      <c r="C21" s="168"/>
      <c r="D21" s="168"/>
      <c r="E21" s="168"/>
      <c r="F21" s="168"/>
      <c r="G21" s="168"/>
      <c r="H21" s="168"/>
      <c r="I21" s="168"/>
      <c r="J21" s="168"/>
      <c r="K21" s="168"/>
      <c r="L21" s="168"/>
      <c r="M21" s="168"/>
      <c r="N21" s="168"/>
      <c r="O21" s="168"/>
      <c r="P21" s="168"/>
      <c r="Q21" s="168"/>
      <c r="R21" s="788"/>
      <c r="S21" s="138"/>
    </row>
    <row r="22" spans="1:45" ht="13">
      <c r="A22" s="361" t="s">
        <v>3018</v>
      </c>
      <c r="B22" s="24">
        <f>SUM(B24:B10000)</f>
        <v>100</v>
      </c>
      <c r="C22" s="3066" t="s">
        <v>33</v>
      </c>
      <c r="D22" s="3067"/>
      <c r="E22" s="3067"/>
      <c r="F22" s="3067"/>
      <c r="G22" s="3067"/>
      <c r="H22" s="3067"/>
      <c r="I22" s="3067"/>
      <c r="J22" s="3067"/>
      <c r="K22" s="3067"/>
      <c r="L22" s="3067"/>
      <c r="M22" s="3067"/>
      <c r="N22" s="3067"/>
      <c r="O22" s="3067"/>
      <c r="P22" s="3067"/>
      <c r="Q22" s="3286"/>
      <c r="R22" s="716">
        <f>ROUND(S22*10000/B22,0)</f>
        <v>10000</v>
      </c>
      <c r="S22" s="24">
        <f>SUM(S24:S10000)</f>
        <v>100</v>
      </c>
    </row>
    <row r="23" spans="1:45" s="12" customFormat="1" ht="26">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ht="13">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ht="13">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ht="13">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ht="13">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ht="13">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ht="13">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ht="13">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ht="13">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ht="13">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ht="13">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ht="13">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ht="13">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ht="13">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ht="13">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ht="13">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ht="13">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ht="13">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ht="13">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ht="13">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ht="13">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ht="13">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ht="13">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ht="13">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ht="13">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ht="13">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ht="13">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ht="13">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ht="13">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ht="13">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ht="13">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ht="13">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ht="13">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ht="13">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ht="13">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ht="13">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ht="13">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ht="13">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ht="13">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ht="13">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ht="13">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ht="13">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ht="13">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ht="13">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ht="13">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ht="13">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ht="13">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ht="13">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ht="13">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ht="13">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ht="13">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ht="13">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ht="13">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ht="13">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ht="13">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ht="13">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ht="13">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ht="13">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ht="13">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ht="13">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ht="13">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ht="13">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ht="13">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ht="13">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ht="13">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ht="13">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ht="13">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ht="13">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ht="13">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ht="13">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ht="13">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ht="13">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ht="13">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ht="13">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ht="13">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ht="13">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ht="13">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ht="13">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ht="13">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ht="13">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ht="13">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ht="13">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ht="13">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ht="13">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ht="13">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ht="13">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ht="13">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ht="13">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ht="13">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ht="13">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ht="13">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ht="13">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ht="13">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ht="13">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ht="13">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ht="13">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ht="13">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ht="13">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ht="13">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ht="13">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ht="13">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ht="13">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ht="13">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ht="13">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ht="13">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ht="13">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ht="13">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ht="13">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ht="13">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ht="13">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ht="13">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ht="13">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ht="13">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ht="13">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ht="13">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ht="13">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ht="13">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ht="13">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ht="13">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ht="13">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ht="13">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ht="13">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ht="13">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ht="13">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ht="13">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ht="13">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ht="13">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ht="13">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ht="13">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ht="13">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ht="13">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ht="13">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ht="13">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ht="13">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ht="13">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ht="13">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ht="13">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ht="13">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ht="13">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ht="13">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ht="13">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ht="13">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ht="13">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ht="13">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ht="13">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ht="13">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ht="13">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ht="13">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ht="13">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ht="13">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ht="13">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ht="13">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ht="13">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ht="13">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ht="13">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ht="13">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ht="13">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ht="13">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ht="13">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ht="13">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ht="13">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ht="13">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ht="13">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ht="13">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ht="13">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ht="13">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ht="13">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ht="13">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ht="13">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ht="13">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ht="13">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ht="13">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ht="13">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ht="13">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ht="13">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ht="13">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ht="13">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ht="13">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ht="13">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ht="13">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ht="13">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ht="13">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ht="13">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ht="13">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ht="13">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ht="13">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ht="13">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ht="13">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ht="13">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ht="13">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ht="13">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ht="13">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ht="13">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ht="13">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ht="13">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ht="13">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ht="13">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ht="13">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ht="13">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ht="13">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ht="13">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ht="13">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ht="13">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ht="13">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ht="13">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ht="13">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ht="13">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ht="13">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ht="13">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ht="13">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ht="13">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ht="13">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ht="13">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ht="13">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ht="13">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ht="13">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ht="13">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ht="13">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ht="13">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ht="13">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ht="13">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ht="13">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ht="13">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ht="13">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ht="13">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ht="13">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ht="13">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ht="13">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ht="13">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ht="13">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ht="13">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ht="13">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ht="13">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ht="13">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ht="13">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ht="13">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ht="13">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ht="13">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ht="13">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ht="13">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ht="13">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ht="13">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ht="13">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ht="13">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ht="13">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ht="13">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ht="13">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ht="13">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ht="13">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ht="13">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ht="13">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ht="13">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ht="13">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ht="13">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ht="13">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ht="13">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ht="13">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ht="13">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ht="13">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ht="13">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ht="13">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ht="13">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ht="13">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ht="13">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ht="13">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ht="13">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ht="13">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ht="13">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ht="13">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ht="13">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ht="13">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ht="13">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ht="13">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ht="13">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ht="13">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ht="13">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ht="13">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ht="13">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ht="13">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ht="13">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ht="13">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ht="13">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ht="13">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ht="13">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ht="13">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ht="13">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ht="13">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ht="13">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ht="13">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ht="13">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ht="13">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ht="13">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ht="13">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ht="13">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ht="13">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ht="13">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ht="13">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ht="13">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ht="13">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ht="13">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ht="13">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ht="13">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ht="13">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ht="13">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ht="13">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ht="13">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ht="13">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ht="13">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ht="13">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ht="13">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ht="13">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ht="13">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ht="13">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ht="13">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ht="13">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ht="13">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ht="13">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ht="13">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ht="13">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ht="13">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ht="13">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ht="13">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ht="13">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ht="13">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ht="13">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ht="13">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ht="13">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ht="13">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ht="13">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ht="13">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ht="13">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ht="13">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ht="13">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ht="13">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ht="13">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ht="13">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ht="13">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ht="13">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ht="13">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ht="13">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ht="13">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ht="13">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ht="13">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ht="13">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ht="13">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ht="13">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ht="13">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ht="13">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ht="13">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ht="13">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ht="13">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ht="13">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ht="13">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ht="13">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ht="13">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ht="13">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ht="13">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ht="13">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ht="13">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ht="13">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ht="13">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ht="13">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ht="13">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ht="13">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ht="13">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ht="13">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ht="13">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ht="13">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ht="13">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ht="13">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ht="13">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ht="13">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ht="13">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ht="13">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ht="13">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ht="13">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ht="13">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ht="13">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ht="13">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ht="13">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ht="13">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ht="13">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ht="13">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ht="13">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ht="13">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ht="13">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ht="13">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ht="13">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ht="13">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ht="13">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ht="13">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ht="13">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ht="13">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ht="13">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ht="13">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ht="13">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ht="13">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ht="13">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ht="13">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ht="13">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ht="13">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ht="13">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ht="13">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ht="13">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ht="13">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ht="13">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ht="13">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ht="13">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ht="13">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ht="13">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ht="13">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ht="13">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ht="13">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ht="13">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ht="13">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ht="13">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ht="13">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ht="13">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ht="13">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ht="13">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ht="13">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ht="13">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ht="13">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ht="13">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ht="13">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ht="13">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ht="13">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ht="13">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ht="13">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ht="13">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ht="13">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ht="13">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ht="13">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ht="13">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ht="13">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ht="13">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ht="13">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ht="13">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ht="13">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ht="13">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ht="13">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ht="13">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ht="13">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ht="13">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ht="13">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ht="13">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ht="13">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ht="13">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ht="13">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ht="13">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ht="13">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ht="13">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ht="13">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ht="13">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ht="13">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ht="13">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ht="13">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ht="13">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ht="13">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ht="13">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ht="13">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ht="13">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ht="13">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ht="13">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ht="13">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ht="13">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ht="13">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ht="13">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ht="13">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ht="13">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ht="13">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ht="13">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ht="13">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ht="13">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ht="13">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ht="13">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ht="13">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ht="13">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ht="13">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ht="13">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ht="13">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ht="13">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ht="13">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ht="13">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ht="13">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ht="13">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ht="13">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ht="13">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ht="13">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ht="13">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ht="13">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ht="13">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ht="13">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ht="13">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ht="13">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ht="13">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ht="13">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ht="13">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ht="13">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ht="13">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48547</v>
      </c>
      <c r="C2" s="2" t="s">
        <v>133</v>
      </c>
      <c r="D2" s="243"/>
      <c r="E2" s="243"/>
      <c r="F2" s="243"/>
      <c r="G2" s="243"/>
    </row>
    <row r="3" spans="1:7" s="244" customFormat="1" ht="18" customHeight="1" thickBot="1">
      <c r="A3" s="247" t="s">
        <v>85</v>
      </c>
      <c r="B3" s="248">
        <f ca="1">ROUND(B2*10000/'数据-汇总表'!E3,0)</f>
        <v>6924</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ht="13">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105</v>
      </c>
      <c r="F9" s="265"/>
      <c r="G9" s="270"/>
    </row>
    <row r="10" spans="1:7" s="258" customFormat="1" ht="13.5" customHeight="1">
      <c r="A10" s="950" t="s">
        <v>801</v>
      </c>
      <c r="B10" s="268" t="s">
        <v>94</v>
      </c>
      <c r="C10" s="269">
        <f>ROUND(D10*E10/10000,0)</f>
        <v>736</v>
      </c>
      <c r="D10" s="1032">
        <f>'数据-汇总表'!E6</f>
        <v>70116</v>
      </c>
      <c r="E10" s="269">
        <f>'数据-取费表'!B28</f>
        <v>105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1402</v>
      </c>
      <c r="D19" s="1036">
        <f>'数据-汇总表'!E3</f>
        <v>70116</v>
      </c>
      <c r="E19" s="255">
        <f>'数据-取费表'!B31</f>
        <v>200</v>
      </c>
      <c r="F19" s="275"/>
      <c r="G19" s="1" t="s">
        <v>1070</v>
      </c>
    </row>
    <row r="20" spans="1:7" s="258" customFormat="1" ht="13.5" customHeight="1">
      <c r="A20" s="948" t="s">
        <v>1053</v>
      </c>
      <c r="B20" s="254" t="s">
        <v>104</v>
      </c>
      <c r="C20" s="276">
        <f>ROUND((C5+C19)*F20,0)</f>
        <v>444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1601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1485</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100</v>
      </c>
      <c r="D24" s="282"/>
      <c r="E24" s="282"/>
      <c r="F24" s="283"/>
      <c r="G24" s="284" t="s">
        <v>109</v>
      </c>
    </row>
    <row r="25" spans="1:7" s="258" customFormat="1" ht="26">
      <c r="A25" s="951" t="s">
        <v>793</v>
      </c>
      <c r="B25" s="259" t="s">
        <v>1054</v>
      </c>
      <c r="C25" s="1355">
        <f ca="1">ROUND(IF('数据-取费表'!B22&lt;=1,C20*F22*'数据-取费表'!B23/2,C20*(POWER((1+F22),'数据-取费表'!B23/2)-1)),0)</f>
        <v>16</v>
      </c>
      <c r="D25" s="282"/>
      <c r="E25" s="285"/>
      <c r="F25" s="283"/>
      <c r="G25" s="286" t="s">
        <v>110</v>
      </c>
    </row>
    <row r="26" spans="1:7" s="258" customFormat="1" ht="13">
      <c r="A26" s="951" t="s">
        <v>795</v>
      </c>
      <c r="B26" s="259" t="s">
        <v>1056</v>
      </c>
      <c r="C26" s="282">
        <f ca="1">ROUND(IF('数据-取费表'!B22&lt;=1,F21*F22*'数据-取费表'!B23/2,F21*(POWER((1+F22),'数据-取费表'!B23/2)-1)),4)</f>
        <v>6.9999999999999999E-4</v>
      </c>
      <c r="D26" s="282"/>
      <c r="E26" s="285"/>
      <c r="F26" s="283"/>
      <c r="G26" s="287"/>
    </row>
    <row r="27" spans="1:7" s="258" customFormat="1" ht="27">
      <c r="A27" s="948" t="s">
        <v>787</v>
      </c>
      <c r="B27" s="288" t="s">
        <v>112</v>
      </c>
      <c r="C27" s="289">
        <f>C28</f>
        <v>2243</v>
      </c>
      <c r="D27" s="279">
        <f>C29</f>
        <v>2E-3</v>
      </c>
      <c r="E27" s="280" t="s">
        <v>126</v>
      </c>
      <c r="F27" s="290">
        <f>'数据-取费表'!Q16</f>
        <v>0.1</v>
      </c>
      <c r="G27" s="291" t="s">
        <v>1065</v>
      </c>
    </row>
    <row r="28" spans="1:7" s="258" customFormat="1" ht="13.5" customHeight="1">
      <c r="A28" s="951" t="s">
        <v>794</v>
      </c>
      <c r="B28" s="292" t="s">
        <v>1058</v>
      </c>
      <c r="C28" s="293">
        <f>ROUND((C5+C19+C20)*F27*'数据-取费表'!B21/'数据-取费表'!B20,0)</f>
        <v>2243</v>
      </c>
      <c r="D28" s="279"/>
      <c r="E28" s="280"/>
      <c r="F28" s="290"/>
      <c r="G28" s="291"/>
    </row>
    <row r="29" spans="1:7" s="258" customFormat="1" ht="13.5" customHeight="1">
      <c r="A29" s="951" t="s">
        <v>792</v>
      </c>
      <c r="B29" s="292" t="s">
        <v>1059</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28651</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15895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13883</v>
      </c>
      <c r="D34" s="261"/>
      <c r="E34" s="264"/>
      <c r="F34" s="301">
        <f>IF('数据-取费表'!B24=0,1,'数据-取费表'!N16)</f>
        <v>0.99</v>
      </c>
      <c r="G34" s="263" t="s">
        <v>116</v>
      </c>
    </row>
    <row r="35" spans="1:7" ht="13.5" customHeight="1">
      <c r="A35" s="951" t="s">
        <v>796</v>
      </c>
      <c r="B35" s="259" t="s">
        <v>60</v>
      </c>
      <c r="C35" s="264">
        <f>ROUND(C34*F35,0)</f>
        <v>416</v>
      </c>
      <c r="D35" s="264"/>
      <c r="E35" s="264"/>
      <c r="F35" s="303">
        <f>'数据-取费表'!B33</f>
        <v>0.03</v>
      </c>
      <c r="G35" s="263" t="s">
        <v>117</v>
      </c>
    </row>
    <row r="36" spans="1:7" ht="26">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1388</v>
      </c>
      <c r="D37" s="261">
        <f>'数据-汇总表'!E3</f>
        <v>70116</v>
      </c>
      <c r="E37" s="293">
        <f>'数据-取费表'!B35</f>
        <v>200</v>
      </c>
      <c r="F37" s="303"/>
      <c r="G37" s="305" t="s">
        <v>119</v>
      </c>
    </row>
    <row r="38" spans="1:7" ht="13.5" customHeight="1">
      <c r="A38" s="951" t="s">
        <v>799</v>
      </c>
      <c r="B38" s="259" t="s">
        <v>63</v>
      </c>
      <c r="C38" s="264">
        <f>ROUND(C34*F38,0)</f>
        <v>208</v>
      </c>
      <c r="D38" s="264"/>
      <c r="E38" s="264"/>
      <c r="F38" s="303">
        <f>'数据-取费表'!B36</f>
        <v>1.4999999999999999E-2</v>
      </c>
      <c r="G38" s="263" t="s">
        <v>117</v>
      </c>
    </row>
    <row r="39" spans="1:7" s="258" customFormat="1" ht="13.5" customHeight="1">
      <c r="A39" s="948" t="s">
        <v>783</v>
      </c>
      <c r="B39" s="254" t="s">
        <v>104</v>
      </c>
      <c r="C39" s="276">
        <f>ROUND(C33*F20,0)</f>
        <v>318</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568</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557</v>
      </c>
      <c r="D42" s="282"/>
      <c r="E42" s="282"/>
      <c r="F42" s="283"/>
      <c r="G42" s="3151" t="s">
        <v>121</v>
      </c>
    </row>
    <row r="43" spans="1:7" ht="13.5" customHeight="1">
      <c r="A43" s="951" t="s">
        <v>792</v>
      </c>
      <c r="B43" s="259" t="s">
        <v>1060</v>
      </c>
      <c r="C43" s="282">
        <f ca="1">ROUND(IF('数据-取费表'!B22&lt;=1,C39*F22*'数据-取费表'!B21/2,C39*(POWER((1+F22),'数据-取费表'!B21/2)-1)),0)</f>
        <v>11</v>
      </c>
      <c r="D43" s="282"/>
      <c r="E43" s="282"/>
      <c r="F43" s="283"/>
      <c r="G43" s="3152"/>
    </row>
    <row r="44" spans="1:7" ht="13.5" customHeight="1">
      <c r="A44" s="951" t="s">
        <v>793</v>
      </c>
      <c r="B44" s="259" t="s">
        <v>1062</v>
      </c>
      <c r="C44" s="282">
        <f ca="1">ROUND(IF('数据-取费表'!B22&lt;=1,C40*F22*'数据-取费表'!B21/2,C40*(POWER((1+F22),'数据-取费表'!B21/2)-1)),4)</f>
        <v>6.9999999999999999E-4</v>
      </c>
      <c r="D44" s="282"/>
      <c r="E44" s="282"/>
      <c r="F44" s="283"/>
      <c r="G44" s="3153"/>
    </row>
    <row r="45" spans="1:7" s="258" customFormat="1" ht="13.5" customHeight="1">
      <c r="A45" s="948" t="s">
        <v>786</v>
      </c>
      <c r="B45" s="288" t="s">
        <v>112</v>
      </c>
      <c r="C45" s="289">
        <f>C46</f>
        <v>1621</v>
      </c>
      <c r="D45" s="279">
        <f>C47</f>
        <v>2E-3</v>
      </c>
      <c r="E45" s="280" t="s">
        <v>129</v>
      </c>
      <c r="F45" s="290"/>
      <c r="G45" s="291" t="s">
        <v>1068</v>
      </c>
    </row>
    <row r="46" spans="1:7" s="258" customFormat="1" ht="13.5" customHeight="1">
      <c r="A46" s="951" t="s">
        <v>794</v>
      </c>
      <c r="B46" s="292" t="s">
        <v>1061</v>
      </c>
      <c r="C46" s="293">
        <f>ROUND((C33+C39)*F27,0)</f>
        <v>1621</v>
      </c>
      <c r="D46" s="307"/>
      <c r="E46" s="280"/>
      <c r="F46" s="290"/>
      <c r="G46" s="291"/>
    </row>
    <row r="47" spans="1:7" s="258" customFormat="1" ht="13.5" customHeight="1">
      <c r="A47" s="951" t="s">
        <v>792</v>
      </c>
      <c r="B47" s="292" t="s">
        <v>1063</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19896</v>
      </c>
      <c r="D49" s="276"/>
      <c r="E49" s="276"/>
      <c r="F49" s="308"/>
      <c r="G49" s="278" t="s">
        <v>1069</v>
      </c>
    </row>
    <row r="50" spans="1:7" s="302" customFormat="1" ht="26">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19896</v>
      </c>
      <c r="D51" s="276"/>
      <c r="E51" s="276"/>
      <c r="F51" s="308"/>
      <c r="G51" s="278" t="s">
        <v>64</v>
      </c>
    </row>
    <row r="52" spans="1:7" s="252" customFormat="1" ht="16.5" thickBot="1">
      <c r="A52" s="309" t="s">
        <v>65</v>
      </c>
      <c r="B52" s="310"/>
      <c r="C52" s="311">
        <f ca="1">C31+C51</f>
        <v>48547</v>
      </c>
      <c r="D52" s="310"/>
      <c r="E52" s="310"/>
      <c r="F52" s="310"/>
      <c r="G52" s="312"/>
    </row>
    <row r="55" spans="1:7" ht="15.5">
      <c r="B55" s="314" t="s">
        <v>66</v>
      </c>
      <c r="C55" s="315"/>
    </row>
    <row r="56" spans="1:7" ht="13">
      <c r="B56" s="317" t="s">
        <v>67</v>
      </c>
      <c r="C56" s="318">
        <f ca="1">ROUND(C51/C52,3)</f>
        <v>0.41</v>
      </c>
    </row>
    <row r="57" spans="1:7" ht="13">
      <c r="B57" s="317" t="s">
        <v>68</v>
      </c>
      <c r="C57" s="319">
        <f ca="1">1-C56</f>
        <v>0.59000000000000008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855" customWidth="1"/>
    <col min="2" max="5" width="10.179687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855" customWidth="1"/>
    <col min="2" max="2" width="10.1796875" style="813" customWidth="1"/>
  </cols>
  <sheetData>
    <row r="1" spans="1:6">
      <c r="A1" s="3290" t="s">
        <v>867</v>
      </c>
      <c r="B1" s="3290"/>
    </row>
    <row r="2" spans="1:6" ht="14.5" thickBot="1">
      <c r="A2" s="1057"/>
      <c r="B2" s="1057"/>
    </row>
    <row r="3" spans="1:6" ht="14.5" thickBot="1">
      <c r="A3" s="1057"/>
      <c r="B3" s="1057"/>
      <c r="C3" s="1061" t="s">
        <v>870</v>
      </c>
      <c r="D3" s="1061" t="s">
        <v>871</v>
      </c>
      <c r="E3" s="1061" t="s">
        <v>872</v>
      </c>
      <c r="F3" s="1061" t="s">
        <v>873</v>
      </c>
    </row>
    <row r="4" spans="1:6" ht="14.5" thickBot="1">
      <c r="A4" s="1059" t="s">
        <v>868</v>
      </c>
      <c r="B4" s="1060" t="s">
        <v>869</v>
      </c>
      <c r="C4" s="1061"/>
      <c r="D4" s="1061"/>
      <c r="E4" s="1061"/>
      <c r="F4" s="1061"/>
    </row>
    <row r="5" spans="1:6" ht="14.5" thickBot="1">
      <c r="A5" s="840" t="s">
        <v>874</v>
      </c>
      <c r="B5" s="841" t="s">
        <v>875</v>
      </c>
      <c r="C5" s="1062">
        <v>8.8999999999999996E-2</v>
      </c>
      <c r="D5" s="1062">
        <v>7.3999999999999996E-2</v>
      </c>
      <c r="E5" s="1062">
        <v>7.4999999999999997E-2</v>
      </c>
      <c r="F5" s="1063">
        <v>0.1</v>
      </c>
    </row>
    <row r="6" spans="1:6" ht="14.5" thickBot="1">
      <c r="A6" s="840" t="s">
        <v>212</v>
      </c>
      <c r="B6" s="834" t="s">
        <v>876</v>
      </c>
      <c r="C6" s="1064">
        <v>0.1</v>
      </c>
      <c r="D6" s="1064">
        <v>9.0999999999999998E-2</v>
      </c>
      <c r="E6" s="1064">
        <v>9.0999999999999998E-2</v>
      </c>
      <c r="F6" s="1065">
        <v>0.1</v>
      </c>
    </row>
    <row r="7" spans="1:6" ht="14.5" thickBot="1">
      <c r="A7" s="840" t="s">
        <v>212</v>
      </c>
      <c r="B7" s="844" t="s">
        <v>201</v>
      </c>
      <c r="C7" s="1064">
        <v>8.5999999999999993E-2</v>
      </c>
      <c r="D7" s="1064">
        <v>9.6000000000000002E-2</v>
      </c>
      <c r="E7" s="1064">
        <v>7.5999999999999998E-2</v>
      </c>
      <c r="F7" s="1065">
        <v>0.1</v>
      </c>
    </row>
    <row r="8" spans="1:6" ht="14.5" thickBot="1">
      <c r="A8" s="840" t="s">
        <v>212</v>
      </c>
      <c r="B8" s="834" t="s">
        <v>213</v>
      </c>
      <c r="C8" s="1064">
        <v>9.9000000000000005E-2</v>
      </c>
      <c r="D8" s="1064">
        <v>9.8000000000000004E-2</v>
      </c>
      <c r="E8" s="1064">
        <v>9.8000000000000004E-2</v>
      </c>
      <c r="F8" s="1065">
        <v>0.1</v>
      </c>
    </row>
    <row r="9" spans="1:6" ht="14.5" thickBot="1">
      <c r="A9" s="850" t="s">
        <v>212</v>
      </c>
      <c r="B9" s="845" t="s">
        <v>225</v>
      </c>
      <c r="C9" s="1066">
        <v>0.05</v>
      </c>
      <c r="D9" s="1074"/>
      <c r="E9" s="1074"/>
      <c r="F9" s="1075"/>
    </row>
    <row r="10" spans="1:6" ht="14.5" thickBot="1">
      <c r="A10" s="840" t="s">
        <v>269</v>
      </c>
      <c r="B10" s="841" t="s">
        <v>877</v>
      </c>
      <c r="C10" s="1062">
        <v>8.8999999999999996E-2</v>
      </c>
      <c r="D10" s="1062">
        <v>7.2999999999999995E-2</v>
      </c>
      <c r="E10" s="1062">
        <v>8.2000000000000003E-2</v>
      </c>
      <c r="F10" s="1063">
        <v>0.1</v>
      </c>
    </row>
    <row r="11" spans="1:6" ht="14.5" thickBot="1">
      <c r="A11" s="840" t="s">
        <v>269</v>
      </c>
      <c r="B11" s="844" t="s">
        <v>188</v>
      </c>
      <c r="C11" s="1064">
        <v>8.8999999999999996E-2</v>
      </c>
      <c r="D11" s="1064">
        <v>7.2999999999999995E-2</v>
      </c>
      <c r="E11" s="1064">
        <v>8.2000000000000003E-2</v>
      </c>
      <c r="F11" s="1065">
        <v>0.1</v>
      </c>
    </row>
    <row r="12" spans="1:6" ht="14.5" thickBot="1">
      <c r="A12" s="840" t="s">
        <v>269</v>
      </c>
      <c r="B12" s="844" t="s">
        <v>138</v>
      </c>
      <c r="C12" s="1064">
        <v>6.0999999999999999E-2</v>
      </c>
      <c r="D12" s="1064">
        <v>7.0999999999999994E-2</v>
      </c>
      <c r="E12" s="1064">
        <v>9.6000000000000002E-2</v>
      </c>
      <c r="F12" s="1065">
        <v>0.1</v>
      </c>
    </row>
    <row r="13" spans="1:6" ht="14.5" thickBot="1">
      <c r="A13" s="840" t="s">
        <v>269</v>
      </c>
      <c r="B13" s="844" t="s">
        <v>214</v>
      </c>
      <c r="C13" s="1064">
        <v>6.9000000000000006E-2</v>
      </c>
      <c r="D13" s="1064">
        <v>6.5000000000000002E-2</v>
      </c>
      <c r="E13" s="1064">
        <v>6.6000000000000003E-2</v>
      </c>
      <c r="F13" s="1065">
        <v>0.1</v>
      </c>
    </row>
    <row r="14" spans="1:6" ht="14.5" thickBot="1">
      <c r="A14" s="840" t="s">
        <v>269</v>
      </c>
      <c r="B14" s="844" t="s">
        <v>226</v>
      </c>
      <c r="C14" s="1064">
        <v>0.1</v>
      </c>
      <c r="D14" s="1064">
        <v>6.5000000000000002E-2</v>
      </c>
      <c r="E14" s="1064">
        <v>7.0000000000000007E-2</v>
      </c>
      <c r="F14" s="1065">
        <v>0.1</v>
      </c>
    </row>
    <row r="15" spans="1:6" ht="14.5" thickBot="1">
      <c r="A15" s="840" t="s">
        <v>269</v>
      </c>
      <c r="B15" s="844" t="s">
        <v>237</v>
      </c>
      <c r="C15" s="1064">
        <v>9.8000000000000004E-2</v>
      </c>
      <c r="D15" s="1064">
        <v>8.8999999999999996E-2</v>
      </c>
      <c r="E15" s="1064">
        <v>8.8999999999999996E-2</v>
      </c>
      <c r="F15" s="1065">
        <v>0.1</v>
      </c>
    </row>
    <row r="16" spans="1:6" ht="14.5" thickBot="1">
      <c r="A16" s="840" t="s">
        <v>269</v>
      </c>
      <c r="B16" s="844" t="s">
        <v>248</v>
      </c>
      <c r="C16" s="1064">
        <v>7.0000000000000007E-2</v>
      </c>
      <c r="D16" s="1064">
        <v>9.2999999999999999E-2</v>
      </c>
      <c r="E16" s="1064">
        <v>9.6000000000000002E-2</v>
      </c>
      <c r="F16" s="1065">
        <v>0.1</v>
      </c>
    </row>
    <row r="17" spans="1:6" ht="14.5" thickBot="1">
      <c r="A17" s="840" t="s">
        <v>269</v>
      </c>
      <c r="B17" s="844" t="s">
        <v>259</v>
      </c>
      <c r="C17" s="1064">
        <v>9.5000000000000001E-2</v>
      </c>
      <c r="D17" s="1064">
        <v>0.1</v>
      </c>
      <c r="E17" s="1064">
        <v>0.1</v>
      </c>
      <c r="F17" s="1076"/>
    </row>
    <row r="18" spans="1:6" ht="14.5" thickBot="1">
      <c r="A18" s="840" t="s">
        <v>269</v>
      </c>
      <c r="B18" s="844" t="s">
        <v>271</v>
      </c>
      <c r="C18" s="1064">
        <v>7.3999999999999996E-2</v>
      </c>
      <c r="D18" s="1064">
        <v>9.9000000000000005E-2</v>
      </c>
      <c r="E18" s="1064">
        <v>0.1</v>
      </c>
      <c r="F18" s="1076"/>
    </row>
    <row r="19" spans="1:6" ht="14.5" thickBot="1">
      <c r="A19" s="840" t="s">
        <v>269</v>
      </c>
      <c r="B19" s="844" t="s">
        <v>281</v>
      </c>
      <c r="C19" s="1064">
        <v>9.9000000000000005E-2</v>
      </c>
      <c r="D19" s="1064">
        <v>7.5999999999999998E-2</v>
      </c>
      <c r="E19" s="1064">
        <v>8.6999999999999994E-2</v>
      </c>
      <c r="F19" s="1076"/>
    </row>
    <row r="20" spans="1:6" ht="14.5" thickBot="1">
      <c r="A20" s="840" t="s">
        <v>269</v>
      </c>
      <c r="B20" s="844" t="s">
        <v>291</v>
      </c>
      <c r="C20" s="1064">
        <v>9.8000000000000004E-2</v>
      </c>
      <c r="D20" s="1064">
        <v>8.5000000000000006E-2</v>
      </c>
      <c r="E20" s="1064">
        <v>8.2000000000000003E-2</v>
      </c>
      <c r="F20" s="1076"/>
    </row>
    <row r="21" spans="1:6" ht="14.5" thickBot="1">
      <c r="A21" s="840" t="s">
        <v>269</v>
      </c>
      <c r="B21" s="844" t="s">
        <v>301</v>
      </c>
      <c r="C21" s="1064">
        <v>6.6000000000000003E-2</v>
      </c>
      <c r="D21" s="1064">
        <v>6.4000000000000001E-2</v>
      </c>
      <c r="E21" s="1064">
        <v>6.5000000000000002E-2</v>
      </c>
      <c r="F21" s="1076"/>
    </row>
    <row r="22" spans="1:6" ht="14.5" thickBot="1">
      <c r="A22" s="840" t="s">
        <v>269</v>
      </c>
      <c r="B22" s="844" t="s">
        <v>878</v>
      </c>
      <c r="C22" s="1064">
        <v>0.08</v>
      </c>
      <c r="D22" s="1064">
        <v>9.8000000000000004E-2</v>
      </c>
      <c r="E22" s="1064">
        <v>9.8000000000000004E-2</v>
      </c>
      <c r="F22" s="1076"/>
    </row>
    <row r="23" spans="1:6" ht="14.5" thickBot="1">
      <c r="A23" s="840" t="s">
        <v>269</v>
      </c>
      <c r="B23" s="844" t="s">
        <v>322</v>
      </c>
      <c r="C23" s="1064">
        <v>9.9000000000000005E-2</v>
      </c>
      <c r="D23" s="1064">
        <v>9.8000000000000004E-2</v>
      </c>
      <c r="E23" s="1064">
        <v>9.0999999999999998E-2</v>
      </c>
      <c r="F23" s="1076"/>
    </row>
    <row r="24" spans="1:6" ht="14.5" thickBot="1">
      <c r="A24" s="840" t="s">
        <v>269</v>
      </c>
      <c r="B24" s="844" t="s">
        <v>333</v>
      </c>
      <c r="C24" s="1064">
        <v>8.8999999999999996E-2</v>
      </c>
      <c r="D24" s="1064">
        <v>9.7000000000000003E-2</v>
      </c>
      <c r="E24" s="1064">
        <v>7.0000000000000007E-2</v>
      </c>
      <c r="F24" s="1076"/>
    </row>
    <row r="25" spans="1:6" ht="14.5" thickBot="1">
      <c r="A25" s="840" t="s">
        <v>269</v>
      </c>
      <c r="B25" s="844" t="s">
        <v>343</v>
      </c>
      <c r="C25" s="1064">
        <v>8.8999999999999996E-2</v>
      </c>
      <c r="D25" s="1064">
        <v>0.1</v>
      </c>
      <c r="E25" s="1064">
        <v>8.1000000000000003E-2</v>
      </c>
      <c r="F25" s="1076"/>
    </row>
    <row r="26" spans="1:6" ht="14.5" thickBot="1">
      <c r="A26" s="840" t="s">
        <v>269</v>
      </c>
      <c r="B26" s="844" t="s">
        <v>353</v>
      </c>
      <c r="C26" s="1077"/>
      <c r="D26" s="1064">
        <v>9.6000000000000002E-2</v>
      </c>
      <c r="E26" s="1064">
        <v>9.2999999999999999E-2</v>
      </c>
      <c r="F26" s="1076"/>
    </row>
    <row r="27" spans="1:6" ht="14.5" thickBot="1">
      <c r="A27" s="840" t="s">
        <v>269</v>
      </c>
      <c r="B27" s="844" t="s">
        <v>363</v>
      </c>
      <c r="C27" s="1077"/>
      <c r="D27" s="1064">
        <v>7.5999999999999998E-2</v>
      </c>
      <c r="E27" s="1064">
        <v>9.1999999999999998E-2</v>
      </c>
      <c r="F27" s="1076"/>
    </row>
    <row r="28" spans="1:6" ht="14.5" thickBot="1">
      <c r="A28" s="850" t="s">
        <v>269</v>
      </c>
      <c r="B28" s="845" t="s">
        <v>373</v>
      </c>
      <c r="C28" s="1074"/>
      <c r="D28" s="1066">
        <v>7.5999999999999998E-2</v>
      </c>
      <c r="E28" s="1066">
        <v>9.1999999999999998E-2</v>
      </c>
      <c r="F28" s="1075"/>
    </row>
    <row r="29" spans="1:6" ht="14.5" thickBot="1">
      <c r="A29" s="840" t="s">
        <v>442</v>
      </c>
      <c r="B29" s="841" t="s">
        <v>879</v>
      </c>
      <c r="C29" s="1062">
        <v>6.4000000000000001E-2</v>
      </c>
      <c r="D29" s="1062">
        <v>6.5000000000000002E-2</v>
      </c>
      <c r="E29" s="1062">
        <v>6.9000000000000006E-2</v>
      </c>
      <c r="F29" s="1063">
        <v>0.1</v>
      </c>
    </row>
    <row r="30" spans="1:6" ht="14.5" thickBot="1">
      <c r="A30" s="840" t="s">
        <v>442</v>
      </c>
      <c r="B30" s="844" t="s">
        <v>189</v>
      </c>
      <c r="C30" s="1064">
        <v>6.4000000000000001E-2</v>
      </c>
      <c r="D30" s="1064">
        <v>9.9000000000000005E-2</v>
      </c>
      <c r="E30" s="1064">
        <v>0.1</v>
      </c>
      <c r="F30" s="1065">
        <v>0.1</v>
      </c>
    </row>
    <row r="31" spans="1:6" ht="14.5" thickBot="1">
      <c r="A31" s="840" t="s">
        <v>442</v>
      </c>
      <c r="B31" s="844" t="s">
        <v>202</v>
      </c>
      <c r="C31" s="1064">
        <v>0.1</v>
      </c>
      <c r="D31" s="1064">
        <v>9.5000000000000001E-2</v>
      </c>
      <c r="E31" s="1064">
        <v>8.8999999999999996E-2</v>
      </c>
      <c r="F31" s="1065">
        <v>0.1</v>
      </c>
    </row>
    <row r="32" spans="1:6" ht="14.5" thickBot="1">
      <c r="A32" s="840" t="s">
        <v>442</v>
      </c>
      <c r="B32" s="844" t="s">
        <v>215</v>
      </c>
      <c r="C32" s="1064">
        <v>0.05</v>
      </c>
      <c r="D32" s="1064">
        <v>0.05</v>
      </c>
      <c r="E32" s="1064">
        <v>8.7999999999999995E-2</v>
      </c>
      <c r="F32" s="1065">
        <v>0.1</v>
      </c>
    </row>
    <row r="33" spans="1:6" ht="14.5" thickBot="1">
      <c r="A33" s="840" t="s">
        <v>442</v>
      </c>
      <c r="B33" s="844" t="s">
        <v>227</v>
      </c>
      <c r="C33" s="1064">
        <v>7.4999999999999997E-2</v>
      </c>
      <c r="D33" s="1064">
        <v>9.4E-2</v>
      </c>
      <c r="E33" s="1064">
        <v>9.7000000000000003E-2</v>
      </c>
      <c r="F33" s="1065">
        <v>0.1</v>
      </c>
    </row>
    <row r="34" spans="1:6" ht="14.5" thickBot="1">
      <c r="A34" s="840" t="s">
        <v>442</v>
      </c>
      <c r="B34" s="844" t="s">
        <v>238</v>
      </c>
      <c r="C34" s="1064">
        <v>9.8000000000000004E-2</v>
      </c>
      <c r="D34" s="1064">
        <v>8.5999999999999993E-2</v>
      </c>
      <c r="E34" s="1064">
        <v>9.7000000000000003E-2</v>
      </c>
      <c r="F34" s="1065">
        <v>0.1</v>
      </c>
    </row>
    <row r="35" spans="1:6" ht="14.5" thickBot="1">
      <c r="A35" s="840" t="s">
        <v>442</v>
      </c>
      <c r="B35" s="844" t="s">
        <v>249</v>
      </c>
      <c r="C35" s="1064">
        <v>5.8999999999999997E-2</v>
      </c>
      <c r="D35" s="1064">
        <v>6.5000000000000002E-2</v>
      </c>
      <c r="E35" s="1064">
        <v>7.0000000000000007E-2</v>
      </c>
      <c r="F35" s="1065">
        <v>0.1</v>
      </c>
    </row>
    <row r="36" spans="1:6" ht="14.5" thickBot="1">
      <c r="A36" s="840" t="s">
        <v>442</v>
      </c>
      <c r="B36" s="844" t="s">
        <v>260</v>
      </c>
      <c r="C36" s="1064">
        <v>6.3E-2</v>
      </c>
      <c r="D36" s="1064">
        <v>0.1</v>
      </c>
      <c r="E36" s="1064">
        <v>0.1</v>
      </c>
      <c r="F36" s="1065">
        <v>0.1</v>
      </c>
    </row>
    <row r="37" spans="1:6" ht="14.5" thickBot="1">
      <c r="A37" s="840" t="s">
        <v>442</v>
      </c>
      <c r="B37" s="844" t="s">
        <v>272</v>
      </c>
      <c r="C37" s="1064">
        <v>7.3999999999999996E-2</v>
      </c>
      <c r="D37" s="1064">
        <v>0.1</v>
      </c>
      <c r="E37" s="1064">
        <v>0.1</v>
      </c>
      <c r="F37" s="1065">
        <v>0.1</v>
      </c>
    </row>
    <row r="38" spans="1:6" ht="14.5" thickBot="1">
      <c r="A38" s="840" t="s">
        <v>442</v>
      </c>
      <c r="B38" s="844" t="s">
        <v>282</v>
      </c>
      <c r="C38" s="1064">
        <v>0.1</v>
      </c>
      <c r="D38" s="1064">
        <v>9.6000000000000002E-2</v>
      </c>
      <c r="E38" s="1064">
        <v>9.6000000000000002E-2</v>
      </c>
      <c r="F38" s="1076"/>
    </row>
    <row r="39" spans="1:6" ht="14.5" thickBot="1">
      <c r="A39" s="840" t="s">
        <v>442</v>
      </c>
      <c r="B39" s="844" t="s">
        <v>292</v>
      </c>
      <c r="C39" s="1064">
        <v>0.1</v>
      </c>
      <c r="D39" s="1064">
        <v>9.6000000000000002E-2</v>
      </c>
      <c r="E39" s="1064">
        <v>9.6000000000000002E-2</v>
      </c>
      <c r="F39" s="1076"/>
    </row>
    <row r="40" spans="1:6" ht="14.5" thickBot="1">
      <c r="A40" s="840" t="s">
        <v>442</v>
      </c>
      <c r="B40" s="844" t="s">
        <v>302</v>
      </c>
      <c r="C40" s="1064">
        <v>9.6000000000000002E-2</v>
      </c>
      <c r="D40" s="1064">
        <v>0.1</v>
      </c>
      <c r="E40" s="1064">
        <v>9.9000000000000005E-2</v>
      </c>
      <c r="F40" s="1076"/>
    </row>
    <row r="41" spans="1:6" ht="14.5" thickBot="1">
      <c r="A41" s="840" t="s">
        <v>442</v>
      </c>
      <c r="B41" s="844" t="s">
        <v>312</v>
      </c>
      <c r="C41" s="1064">
        <v>9.6000000000000002E-2</v>
      </c>
      <c r="D41" s="1064">
        <v>9.8000000000000004E-2</v>
      </c>
      <c r="E41" s="1064">
        <v>9.8000000000000004E-2</v>
      </c>
      <c r="F41" s="1076"/>
    </row>
    <row r="42" spans="1:6" ht="14.5" thickBot="1">
      <c r="A42" s="840" t="s">
        <v>442</v>
      </c>
      <c r="B42" s="844" t="s">
        <v>323</v>
      </c>
      <c r="C42" s="1064">
        <v>0.1</v>
      </c>
      <c r="D42" s="1064">
        <v>8.7999999999999995E-2</v>
      </c>
      <c r="E42" s="1064">
        <v>0.1</v>
      </c>
      <c r="F42" s="1076"/>
    </row>
    <row r="43" spans="1:6" ht="14.5" thickBot="1">
      <c r="A43" s="840" t="s">
        <v>442</v>
      </c>
      <c r="B43" s="844" t="s">
        <v>334</v>
      </c>
      <c r="C43" s="1064">
        <v>9.8000000000000004E-2</v>
      </c>
      <c r="D43" s="1064">
        <v>9.7000000000000003E-2</v>
      </c>
      <c r="E43" s="1064">
        <v>9.6000000000000002E-2</v>
      </c>
      <c r="F43" s="1076"/>
    </row>
    <row r="44" spans="1:6" ht="14.5" thickBot="1">
      <c r="A44" s="840" t="s">
        <v>442</v>
      </c>
      <c r="B44" s="844" t="s">
        <v>344</v>
      </c>
      <c r="C44" s="1064">
        <v>8.5999999999999993E-2</v>
      </c>
      <c r="D44" s="1064">
        <v>7.9000000000000001E-2</v>
      </c>
      <c r="E44" s="1064">
        <v>7.0999999999999994E-2</v>
      </c>
      <c r="F44" s="1076"/>
    </row>
    <row r="45" spans="1:6" ht="14.5" thickBot="1">
      <c r="A45" s="840" t="s">
        <v>442</v>
      </c>
      <c r="B45" s="844" t="s">
        <v>354</v>
      </c>
      <c r="C45" s="1064">
        <v>9.8000000000000004E-2</v>
      </c>
      <c r="D45" s="1064">
        <v>9.6000000000000002E-2</v>
      </c>
      <c r="E45" s="1064">
        <v>9.6000000000000002E-2</v>
      </c>
      <c r="F45" s="1076"/>
    </row>
    <row r="46" spans="1:6" ht="14.5" thickBot="1">
      <c r="A46" s="840" t="s">
        <v>442</v>
      </c>
      <c r="B46" s="844" t="s">
        <v>364</v>
      </c>
      <c r="C46" s="1064">
        <v>8.5999999999999993E-2</v>
      </c>
      <c r="D46" s="1064">
        <v>9.8000000000000004E-2</v>
      </c>
      <c r="E46" s="1064">
        <v>8.7999999999999995E-2</v>
      </c>
      <c r="F46" s="1076"/>
    </row>
    <row r="47" spans="1:6" ht="14.5" thickBot="1">
      <c r="A47" s="840" t="s">
        <v>442</v>
      </c>
      <c r="B47" s="844" t="s">
        <v>374</v>
      </c>
      <c r="C47" s="1064">
        <v>9.6000000000000002E-2</v>
      </c>
      <c r="D47" s="1077"/>
      <c r="E47" s="1064">
        <v>6.9000000000000006E-2</v>
      </c>
      <c r="F47" s="1076"/>
    </row>
    <row r="48" spans="1:6" ht="14.5" thickBot="1">
      <c r="A48" s="850" t="s">
        <v>442</v>
      </c>
      <c r="B48" s="845" t="s">
        <v>383</v>
      </c>
      <c r="C48" s="1066">
        <v>9.8000000000000004E-2</v>
      </c>
      <c r="D48" s="1074"/>
      <c r="E48" s="1066">
        <v>9.5000000000000001E-2</v>
      </c>
      <c r="F48" s="1075"/>
    </row>
    <row r="49" spans="1:6" ht="14.5" thickBot="1">
      <c r="A49" s="840" t="s">
        <v>137</v>
      </c>
      <c r="B49" s="841" t="s">
        <v>880</v>
      </c>
      <c r="C49" s="1062">
        <v>9.7000000000000003E-2</v>
      </c>
      <c r="D49" s="1062">
        <v>9.5000000000000001E-2</v>
      </c>
      <c r="E49" s="1062">
        <v>9.7000000000000003E-2</v>
      </c>
      <c r="F49" s="1063">
        <v>0.1</v>
      </c>
    </row>
    <row r="50" spans="1:6" ht="14.5" thickBot="1">
      <c r="A50" s="840" t="s">
        <v>137</v>
      </c>
      <c r="B50" s="834" t="s">
        <v>190</v>
      </c>
      <c r="C50" s="1064">
        <v>7.4999999999999997E-2</v>
      </c>
      <c r="D50" s="1064">
        <v>9.5000000000000001E-2</v>
      </c>
      <c r="E50" s="1064">
        <v>0.1</v>
      </c>
      <c r="F50" s="1065">
        <v>0.1</v>
      </c>
    </row>
    <row r="51" spans="1:6" ht="14.5" thickBot="1">
      <c r="A51" s="840" t="s">
        <v>137</v>
      </c>
      <c r="B51" s="834" t="s">
        <v>203</v>
      </c>
      <c r="C51" s="1064">
        <v>9.8000000000000004E-2</v>
      </c>
      <c r="D51" s="1064">
        <v>8.8999999999999996E-2</v>
      </c>
      <c r="E51" s="1064">
        <v>0.1</v>
      </c>
      <c r="F51" s="1065">
        <v>0.1</v>
      </c>
    </row>
    <row r="52" spans="1:6" ht="14.5" thickBot="1">
      <c r="A52" s="840" t="s">
        <v>137</v>
      </c>
      <c r="B52" s="834" t="s">
        <v>216</v>
      </c>
      <c r="C52" s="1064">
        <v>9.8000000000000004E-2</v>
      </c>
      <c r="D52" s="1064">
        <v>9.7000000000000003E-2</v>
      </c>
      <c r="E52" s="1064">
        <v>8.1000000000000003E-2</v>
      </c>
      <c r="F52" s="1065">
        <v>0.1</v>
      </c>
    </row>
    <row r="53" spans="1:6" ht="14.5" thickBot="1">
      <c r="A53" s="840" t="s">
        <v>137</v>
      </c>
      <c r="B53" s="834" t="s">
        <v>228</v>
      </c>
      <c r="C53" s="1064">
        <v>9.7000000000000003E-2</v>
      </c>
      <c r="D53" s="1064">
        <v>7.5999999999999998E-2</v>
      </c>
      <c r="E53" s="1064">
        <v>7.0999999999999994E-2</v>
      </c>
      <c r="F53" s="1065">
        <v>0.1</v>
      </c>
    </row>
    <row r="54" spans="1:6" ht="14.5" thickBot="1">
      <c r="A54" s="840" t="s">
        <v>137</v>
      </c>
      <c r="B54" s="834" t="s">
        <v>239</v>
      </c>
      <c r="C54" s="1064">
        <v>7.5999999999999998E-2</v>
      </c>
      <c r="D54" s="1064">
        <v>0.1</v>
      </c>
      <c r="E54" s="1064">
        <v>9.9000000000000005E-2</v>
      </c>
      <c r="F54" s="1065">
        <v>0.1</v>
      </c>
    </row>
    <row r="55" spans="1:6" ht="14.5" thickBot="1">
      <c r="A55" s="840" t="s">
        <v>137</v>
      </c>
      <c r="B55" s="834" t="s">
        <v>250</v>
      </c>
      <c r="C55" s="1064">
        <v>0.1</v>
      </c>
      <c r="D55" s="1064">
        <v>0.1</v>
      </c>
      <c r="E55" s="1064">
        <v>9.6000000000000002E-2</v>
      </c>
      <c r="F55" s="1065">
        <v>0.1</v>
      </c>
    </row>
    <row r="56" spans="1:6" ht="14.5" thickBot="1">
      <c r="A56" s="840" t="s">
        <v>137</v>
      </c>
      <c r="B56" s="834" t="s">
        <v>261</v>
      </c>
      <c r="C56" s="1064">
        <v>0.1</v>
      </c>
      <c r="D56" s="1064">
        <v>9.6000000000000002E-2</v>
      </c>
      <c r="E56" s="1064">
        <v>5.1999999999999998E-2</v>
      </c>
      <c r="F56" s="1065">
        <v>0.1</v>
      </c>
    </row>
    <row r="57" spans="1:6" ht="14.5" thickBot="1">
      <c r="A57" s="840" t="s">
        <v>137</v>
      </c>
      <c r="B57" s="834" t="s">
        <v>273</v>
      </c>
      <c r="C57" s="1064">
        <v>9.7000000000000003E-2</v>
      </c>
      <c r="D57" s="1064">
        <v>9.6000000000000002E-2</v>
      </c>
      <c r="E57" s="1064">
        <v>9.6000000000000002E-2</v>
      </c>
      <c r="F57" s="1065">
        <v>0.1</v>
      </c>
    </row>
    <row r="58" spans="1:6" ht="14.5" thickBot="1">
      <c r="A58" s="840" t="s">
        <v>137</v>
      </c>
      <c r="B58" s="834" t="s">
        <v>283</v>
      </c>
      <c r="C58" s="1064">
        <v>9.6000000000000002E-2</v>
      </c>
      <c r="D58" s="1064">
        <v>9.9000000000000005E-2</v>
      </c>
      <c r="E58" s="1064">
        <v>9.6000000000000002E-2</v>
      </c>
      <c r="F58" s="1065">
        <v>0.1</v>
      </c>
    </row>
    <row r="59" spans="1:6" ht="14.5" thickBot="1">
      <c r="A59" s="840" t="s">
        <v>137</v>
      </c>
      <c r="B59" s="834" t="s">
        <v>293</v>
      </c>
      <c r="C59" s="1064">
        <v>7.1999999999999995E-2</v>
      </c>
      <c r="D59" s="1064">
        <v>9.6000000000000002E-2</v>
      </c>
      <c r="E59" s="1064">
        <v>7.0999999999999994E-2</v>
      </c>
      <c r="F59" s="1065">
        <v>0.1</v>
      </c>
    </row>
    <row r="60" spans="1:6" ht="14.5" thickBot="1">
      <c r="A60" s="840" t="s">
        <v>137</v>
      </c>
      <c r="B60" s="834" t="s">
        <v>303</v>
      </c>
      <c r="C60" s="1064">
        <v>9.6000000000000002E-2</v>
      </c>
      <c r="D60" s="1064">
        <v>8.8999999999999996E-2</v>
      </c>
      <c r="E60" s="1064">
        <v>9.6000000000000002E-2</v>
      </c>
      <c r="F60" s="1065">
        <v>0.1</v>
      </c>
    </row>
    <row r="61" spans="1:6" ht="14.5" thickBot="1">
      <c r="A61" s="840" t="s">
        <v>137</v>
      </c>
      <c r="B61" s="834" t="s">
        <v>313</v>
      </c>
      <c r="C61" s="1064">
        <v>8.8999999999999996E-2</v>
      </c>
      <c r="D61" s="1064">
        <v>9.8000000000000004E-2</v>
      </c>
      <c r="E61" s="1064">
        <v>8.7999999999999995E-2</v>
      </c>
      <c r="F61" s="1076"/>
    </row>
    <row r="62" spans="1:6" ht="14.5" thickBot="1">
      <c r="A62" s="840" t="s">
        <v>137</v>
      </c>
      <c r="B62" s="834" t="s">
        <v>324</v>
      </c>
      <c r="C62" s="1064">
        <v>9.8000000000000004E-2</v>
      </c>
      <c r="D62" s="1064">
        <v>9.2999999999999999E-2</v>
      </c>
      <c r="E62" s="1064">
        <v>9.7000000000000003E-2</v>
      </c>
      <c r="F62" s="1076"/>
    </row>
    <row r="63" spans="1:6" ht="14.5" thickBot="1">
      <c r="A63" s="840" t="s">
        <v>137</v>
      </c>
      <c r="B63" s="834" t="s">
        <v>335</v>
      </c>
      <c r="C63" s="1064">
        <v>9.6000000000000002E-2</v>
      </c>
      <c r="D63" s="1064">
        <v>9.8000000000000004E-2</v>
      </c>
      <c r="E63" s="1064">
        <v>0.09</v>
      </c>
      <c r="F63" s="1076"/>
    </row>
    <row r="64" spans="1:6" ht="14.5" thickBot="1">
      <c r="A64" s="840" t="s">
        <v>137</v>
      </c>
      <c r="B64" s="834" t="s">
        <v>345</v>
      </c>
      <c r="C64" s="1064">
        <v>9.9000000000000005E-2</v>
      </c>
      <c r="D64" s="1064">
        <v>9.7000000000000003E-2</v>
      </c>
      <c r="E64" s="1064">
        <v>9.9000000000000005E-2</v>
      </c>
      <c r="F64" s="1076"/>
    </row>
    <row r="65" spans="1:6" ht="14.5" thickBot="1">
      <c r="A65" s="840" t="s">
        <v>137</v>
      </c>
      <c r="B65" s="834" t="s">
        <v>355</v>
      </c>
      <c r="C65" s="1064">
        <v>9.8000000000000004E-2</v>
      </c>
      <c r="D65" s="1064">
        <v>9.6000000000000002E-2</v>
      </c>
      <c r="E65" s="1064">
        <v>9.6000000000000002E-2</v>
      </c>
      <c r="F65" s="1076"/>
    </row>
    <row r="66" spans="1:6" ht="14.5" thickBot="1">
      <c r="A66" s="840" t="s">
        <v>137</v>
      </c>
      <c r="B66" s="834" t="s">
        <v>365</v>
      </c>
      <c r="C66" s="1064">
        <v>9.6000000000000002E-2</v>
      </c>
      <c r="D66" s="1064">
        <v>9.1999999999999998E-2</v>
      </c>
      <c r="E66" s="1064">
        <v>9.6000000000000002E-2</v>
      </c>
      <c r="F66" s="1076"/>
    </row>
    <row r="67" spans="1:6" ht="14.5" thickBot="1">
      <c r="A67" s="840" t="s">
        <v>137</v>
      </c>
      <c r="B67" s="834" t="s">
        <v>375</v>
      </c>
      <c r="C67" s="1064">
        <v>9.4E-2</v>
      </c>
      <c r="D67" s="1064">
        <v>0.1</v>
      </c>
      <c r="E67" s="1064">
        <v>8.7999999999999995E-2</v>
      </c>
      <c r="F67" s="1076"/>
    </row>
    <row r="68" spans="1:6" ht="14.5" thickBot="1">
      <c r="A68" s="840" t="s">
        <v>137</v>
      </c>
      <c r="B68" s="834" t="s">
        <v>384</v>
      </c>
      <c r="C68" s="1064">
        <v>0.1</v>
      </c>
      <c r="D68" s="1064">
        <v>8.7999999999999995E-2</v>
      </c>
      <c r="E68" s="1064">
        <v>9.7000000000000003E-2</v>
      </c>
      <c r="F68" s="1076"/>
    </row>
    <row r="69" spans="1:6" ht="14.5" thickBot="1">
      <c r="A69" s="840" t="s">
        <v>137</v>
      </c>
      <c r="B69" s="834" t="s">
        <v>393</v>
      </c>
      <c r="C69" s="1064">
        <v>6.4000000000000001E-2</v>
      </c>
      <c r="D69" s="1064">
        <v>0.1</v>
      </c>
      <c r="E69" s="1064">
        <v>0.1</v>
      </c>
      <c r="F69" s="1076"/>
    </row>
    <row r="70" spans="1:6" ht="14.5" thickBot="1">
      <c r="A70" s="840" t="s">
        <v>137</v>
      </c>
      <c r="B70" s="834" t="s">
        <v>401</v>
      </c>
      <c r="C70" s="1064">
        <v>9.0999999999999998E-2</v>
      </c>
      <c r="D70" s="1077"/>
      <c r="E70" s="1077"/>
      <c r="F70" s="1076"/>
    </row>
    <row r="71" spans="1:6" ht="14.5" thickBot="1">
      <c r="A71" s="840" t="s">
        <v>137</v>
      </c>
      <c r="B71" s="834" t="s">
        <v>408</v>
      </c>
      <c r="C71" s="1064">
        <v>0.1</v>
      </c>
      <c r="D71" s="1077"/>
      <c r="E71" s="1077"/>
      <c r="F71" s="1076"/>
    </row>
    <row r="72" spans="1:6" ht="26.5" thickBot="1">
      <c r="A72" s="840" t="s">
        <v>137</v>
      </c>
      <c r="B72" s="834" t="s">
        <v>881</v>
      </c>
      <c r="C72" s="1077"/>
      <c r="D72" s="1077"/>
      <c r="E72" s="1077"/>
      <c r="F72" s="1065">
        <v>0.05</v>
      </c>
    </row>
    <row r="73" spans="1:6" ht="26.5" thickBot="1">
      <c r="A73" s="840" t="s">
        <v>137</v>
      </c>
      <c r="B73" s="834" t="s">
        <v>882</v>
      </c>
      <c r="C73" s="1077"/>
      <c r="D73" s="1077"/>
      <c r="E73" s="1077"/>
      <c r="F73" s="1065">
        <v>0.05</v>
      </c>
    </row>
    <row r="74" spans="1:6" ht="26.5" thickBot="1">
      <c r="A74" s="840" t="s">
        <v>137</v>
      </c>
      <c r="B74" s="834" t="s">
        <v>883</v>
      </c>
      <c r="C74" s="1077"/>
      <c r="D74" s="1077"/>
      <c r="E74" s="1077"/>
      <c r="F74" s="1065">
        <v>0.05</v>
      </c>
    </row>
    <row r="75" spans="1:6" ht="26.5" thickBot="1">
      <c r="A75" s="850" t="s">
        <v>137</v>
      </c>
      <c r="B75" s="846" t="s">
        <v>884</v>
      </c>
      <c r="C75" s="1074"/>
      <c r="D75" s="1074"/>
      <c r="E75" s="1074"/>
      <c r="F75" s="1067">
        <v>0.05</v>
      </c>
    </row>
    <row r="76" spans="1:6" ht="14.5" thickBot="1">
      <c r="A76" s="840" t="s">
        <v>523</v>
      </c>
      <c r="B76" s="841" t="s">
        <v>885</v>
      </c>
      <c r="C76" s="1062">
        <v>0.1</v>
      </c>
      <c r="D76" s="1062">
        <v>0.1</v>
      </c>
      <c r="E76" s="1062">
        <v>0.1</v>
      </c>
      <c r="F76" s="1063">
        <v>0.1</v>
      </c>
    </row>
    <row r="77" spans="1:6" ht="14.5" thickBot="1">
      <c r="A77" s="840" t="s">
        <v>523</v>
      </c>
      <c r="B77" s="834" t="s">
        <v>191</v>
      </c>
      <c r="C77" s="1064">
        <v>8.7999999999999995E-2</v>
      </c>
      <c r="D77" s="1064">
        <v>8.6999999999999994E-2</v>
      </c>
      <c r="E77" s="1064">
        <v>7.9000000000000001E-2</v>
      </c>
      <c r="F77" s="1065">
        <v>0.1</v>
      </c>
    </row>
    <row r="78" spans="1:6" ht="14.5" thickBot="1">
      <c r="A78" s="840" t="s">
        <v>523</v>
      </c>
      <c r="B78" s="834" t="s">
        <v>204</v>
      </c>
      <c r="C78" s="1064">
        <v>8.6999999999999994E-2</v>
      </c>
      <c r="D78" s="1064">
        <v>8.4000000000000005E-2</v>
      </c>
      <c r="E78" s="1064">
        <v>9.6000000000000002E-2</v>
      </c>
      <c r="F78" s="1065">
        <v>0.1</v>
      </c>
    </row>
    <row r="79" spans="1:6" ht="14.5" thickBot="1">
      <c r="A79" s="840" t="s">
        <v>523</v>
      </c>
      <c r="B79" s="834" t="s">
        <v>217</v>
      </c>
      <c r="C79" s="1064">
        <v>9.8000000000000004E-2</v>
      </c>
      <c r="D79" s="1064">
        <v>9.8000000000000004E-2</v>
      </c>
      <c r="E79" s="1064">
        <v>9.0999999999999998E-2</v>
      </c>
      <c r="F79" s="1065">
        <v>0.1</v>
      </c>
    </row>
    <row r="80" spans="1:6" ht="14.5" thickBot="1">
      <c r="A80" s="840" t="s">
        <v>523</v>
      </c>
      <c r="B80" s="834" t="s">
        <v>229</v>
      </c>
      <c r="C80" s="1064">
        <v>9.6000000000000002E-2</v>
      </c>
      <c r="D80" s="1064">
        <v>9.6000000000000002E-2</v>
      </c>
      <c r="E80" s="1064">
        <v>0.1</v>
      </c>
      <c r="F80" s="1065">
        <v>0.1</v>
      </c>
    </row>
    <row r="81" spans="1:6" ht="14.5" thickBot="1">
      <c r="A81" s="840" t="s">
        <v>523</v>
      </c>
      <c r="B81" s="834" t="s">
        <v>240</v>
      </c>
      <c r="C81" s="1064">
        <v>9.9000000000000005E-2</v>
      </c>
      <c r="D81" s="1064">
        <v>9.9000000000000005E-2</v>
      </c>
      <c r="E81" s="1064">
        <v>9.8000000000000004E-2</v>
      </c>
      <c r="F81" s="1065">
        <v>0.1</v>
      </c>
    </row>
    <row r="82" spans="1:6" ht="14.5" thickBot="1">
      <c r="A82" s="840" t="s">
        <v>523</v>
      </c>
      <c r="B82" s="834" t="s">
        <v>251</v>
      </c>
      <c r="C82" s="1064">
        <v>9.9000000000000005E-2</v>
      </c>
      <c r="D82" s="1064">
        <v>9.9000000000000005E-2</v>
      </c>
      <c r="E82" s="1064">
        <v>9.7000000000000003E-2</v>
      </c>
      <c r="F82" s="1065">
        <v>0.1</v>
      </c>
    </row>
    <row r="83" spans="1:6" ht="14.5" thickBot="1">
      <c r="A83" s="840" t="s">
        <v>523</v>
      </c>
      <c r="B83" s="834" t="s">
        <v>262</v>
      </c>
      <c r="C83" s="1064">
        <v>9.8000000000000004E-2</v>
      </c>
      <c r="D83" s="1064">
        <v>9.8000000000000004E-2</v>
      </c>
      <c r="E83" s="1064">
        <v>9.8000000000000004E-2</v>
      </c>
      <c r="F83" s="1065">
        <v>0.1</v>
      </c>
    </row>
    <row r="84" spans="1:6" ht="14.5" thickBot="1">
      <c r="A84" s="840" t="s">
        <v>523</v>
      </c>
      <c r="B84" s="834" t="s">
        <v>274</v>
      </c>
      <c r="C84" s="1064">
        <v>9.9000000000000005E-2</v>
      </c>
      <c r="D84" s="1064">
        <v>9.9000000000000005E-2</v>
      </c>
      <c r="E84" s="1064">
        <v>9.9000000000000005E-2</v>
      </c>
      <c r="F84" s="1065">
        <v>0.1</v>
      </c>
    </row>
    <row r="85" spans="1:6" ht="14.5" thickBot="1">
      <c r="A85" s="840" t="s">
        <v>523</v>
      </c>
      <c r="B85" s="834" t="s">
        <v>284</v>
      </c>
      <c r="C85" s="1064">
        <v>9.9000000000000005E-2</v>
      </c>
      <c r="D85" s="1064">
        <v>9.9000000000000005E-2</v>
      </c>
      <c r="E85" s="1064">
        <v>9.9000000000000005E-2</v>
      </c>
      <c r="F85" s="1065">
        <v>0.1</v>
      </c>
    </row>
    <row r="86" spans="1:6" ht="14.5" thickBot="1">
      <c r="A86" s="840" t="s">
        <v>523</v>
      </c>
      <c r="B86" s="834" t="s">
        <v>294</v>
      </c>
      <c r="C86" s="1064">
        <v>0.1</v>
      </c>
      <c r="D86" s="1064">
        <v>0.1</v>
      </c>
      <c r="E86" s="1064">
        <v>7.6999999999999999E-2</v>
      </c>
      <c r="F86" s="1065">
        <v>0.1</v>
      </c>
    </row>
    <row r="87" spans="1:6" ht="14.5" thickBot="1">
      <c r="A87" s="840" t="s">
        <v>523</v>
      </c>
      <c r="B87" s="834" t="s">
        <v>304</v>
      </c>
      <c r="C87" s="1064">
        <v>0.1</v>
      </c>
      <c r="D87" s="1064">
        <v>0.1</v>
      </c>
      <c r="E87" s="1064">
        <v>9.8000000000000004E-2</v>
      </c>
      <c r="F87" s="1076"/>
    </row>
    <row r="88" spans="1:6" ht="14.5" thickBot="1">
      <c r="A88" s="840" t="s">
        <v>523</v>
      </c>
      <c r="B88" s="834" t="s">
        <v>314</v>
      </c>
      <c r="C88" s="1064">
        <v>9.1999999999999998E-2</v>
      </c>
      <c r="D88" s="1064">
        <v>8.5000000000000006E-2</v>
      </c>
      <c r="E88" s="1064">
        <v>9.6000000000000002E-2</v>
      </c>
      <c r="F88" s="1076"/>
    </row>
    <row r="89" spans="1:6" ht="14.5" thickBot="1">
      <c r="A89" s="840" t="s">
        <v>523</v>
      </c>
      <c r="B89" s="834" t="s">
        <v>325</v>
      </c>
      <c r="C89" s="1064">
        <v>0.1</v>
      </c>
      <c r="D89" s="1064">
        <v>0.1</v>
      </c>
      <c r="E89" s="1064">
        <v>9.7000000000000003E-2</v>
      </c>
      <c r="F89" s="1076"/>
    </row>
    <row r="90" spans="1:6" ht="14.5" thickBot="1">
      <c r="A90" s="840" t="s">
        <v>523</v>
      </c>
      <c r="B90" s="834" t="s">
        <v>336</v>
      </c>
      <c r="C90" s="1064">
        <v>9.8000000000000004E-2</v>
      </c>
      <c r="D90" s="1064">
        <v>9.8000000000000004E-2</v>
      </c>
      <c r="E90" s="1064">
        <v>8.7999999999999995E-2</v>
      </c>
      <c r="F90" s="1076"/>
    </row>
    <row r="91" spans="1:6" ht="14.5" thickBot="1">
      <c r="A91" s="840" t="s">
        <v>523</v>
      </c>
      <c r="B91" s="834" t="s">
        <v>346</v>
      </c>
      <c r="C91" s="1064">
        <v>9.9000000000000005E-2</v>
      </c>
      <c r="D91" s="1064">
        <v>9.9000000000000005E-2</v>
      </c>
      <c r="E91" s="1064">
        <v>9.0999999999999998E-2</v>
      </c>
      <c r="F91" s="1076"/>
    </row>
    <row r="92" spans="1:6" ht="14.5" thickBot="1">
      <c r="A92" s="840" t="s">
        <v>523</v>
      </c>
      <c r="B92" s="834" t="s">
        <v>356</v>
      </c>
      <c r="C92" s="1064">
        <v>9.6000000000000002E-2</v>
      </c>
      <c r="D92" s="1064">
        <v>9.6000000000000002E-2</v>
      </c>
      <c r="E92" s="1064">
        <v>7.2999999999999995E-2</v>
      </c>
      <c r="F92" s="1076"/>
    </row>
    <row r="93" spans="1:6" ht="14.5" thickBot="1">
      <c r="A93" s="840" t="s">
        <v>523</v>
      </c>
      <c r="B93" s="834" t="s">
        <v>366</v>
      </c>
      <c r="C93" s="1064">
        <v>9.6000000000000002E-2</v>
      </c>
      <c r="D93" s="1064">
        <v>9.6000000000000002E-2</v>
      </c>
      <c r="E93" s="1064">
        <v>9.9000000000000005E-2</v>
      </c>
      <c r="F93" s="1076"/>
    </row>
    <row r="94" spans="1:6" ht="14.5" thickBot="1">
      <c r="A94" s="840" t="s">
        <v>523</v>
      </c>
      <c r="B94" s="834" t="s">
        <v>376</v>
      </c>
      <c r="C94" s="1064">
        <v>7.5999999999999998E-2</v>
      </c>
      <c r="D94" s="1064">
        <v>7.3999999999999996E-2</v>
      </c>
      <c r="E94" s="1064">
        <v>9.7000000000000003E-2</v>
      </c>
      <c r="F94" s="1076"/>
    </row>
    <row r="95" spans="1:6" ht="14.5" thickBot="1">
      <c r="A95" s="840" t="s">
        <v>523</v>
      </c>
      <c r="B95" s="834" t="s">
        <v>385</v>
      </c>
      <c r="C95" s="1064">
        <v>9.9000000000000005E-2</v>
      </c>
      <c r="D95" s="1064">
        <v>9.4E-2</v>
      </c>
      <c r="E95" s="1064">
        <v>9.6000000000000002E-2</v>
      </c>
      <c r="F95" s="1076"/>
    </row>
    <row r="96" spans="1:6" ht="14.5" thickBot="1">
      <c r="A96" s="840" t="s">
        <v>523</v>
      </c>
      <c r="B96" s="834" t="s">
        <v>394</v>
      </c>
      <c r="C96" s="1064">
        <v>9.9000000000000005E-2</v>
      </c>
      <c r="D96" s="1064">
        <v>9.9000000000000005E-2</v>
      </c>
      <c r="E96" s="1064">
        <v>9.9000000000000005E-2</v>
      </c>
      <c r="F96" s="1076"/>
    </row>
    <row r="97" spans="1:6" ht="14.5" thickBot="1">
      <c r="A97" s="840" t="s">
        <v>523</v>
      </c>
      <c r="B97" s="834" t="s">
        <v>402</v>
      </c>
      <c r="C97" s="1064">
        <v>9.8000000000000004E-2</v>
      </c>
      <c r="D97" s="1064">
        <v>9.8000000000000004E-2</v>
      </c>
      <c r="E97" s="1064">
        <v>9.7000000000000003E-2</v>
      </c>
      <c r="F97" s="1076"/>
    </row>
    <row r="98" spans="1:6" ht="14.5" thickBot="1">
      <c r="A98" s="840" t="s">
        <v>523</v>
      </c>
      <c r="B98" s="834" t="s">
        <v>409</v>
      </c>
      <c r="C98" s="1064">
        <v>0.1</v>
      </c>
      <c r="D98" s="1064">
        <v>0.1</v>
      </c>
      <c r="E98" s="1064">
        <v>9.7000000000000003E-2</v>
      </c>
      <c r="F98" s="1076"/>
    </row>
    <row r="99" spans="1:6" ht="14.5" thickBot="1">
      <c r="A99" s="840" t="s">
        <v>523</v>
      </c>
      <c r="B99" s="834" t="s">
        <v>416</v>
      </c>
      <c r="C99" s="1064">
        <v>0.1</v>
      </c>
      <c r="D99" s="1064">
        <v>0.1</v>
      </c>
      <c r="E99" s="1077"/>
      <c r="F99" s="1076"/>
    </row>
    <row r="100" spans="1:6" ht="14.5" thickBot="1">
      <c r="A100" s="840" t="s">
        <v>523</v>
      </c>
      <c r="B100" s="834" t="s">
        <v>423</v>
      </c>
      <c r="C100" s="1064">
        <v>0.09</v>
      </c>
      <c r="D100" s="1064">
        <v>8.8999999999999996E-2</v>
      </c>
      <c r="E100" s="1077"/>
      <c r="F100" s="1076"/>
    </row>
    <row r="101" spans="1:6" ht="14.5" thickBot="1">
      <c r="A101" s="840" t="s">
        <v>523</v>
      </c>
      <c r="B101" s="834" t="s">
        <v>430</v>
      </c>
      <c r="C101" s="1064">
        <v>9.8000000000000004E-2</v>
      </c>
      <c r="D101" s="1064">
        <v>9.7000000000000003E-2</v>
      </c>
      <c r="E101" s="1077"/>
      <c r="F101" s="1076"/>
    </row>
    <row r="102" spans="1:6" ht="26.5" thickBot="1">
      <c r="A102" s="840" t="s">
        <v>523</v>
      </c>
      <c r="B102" s="834" t="s">
        <v>886</v>
      </c>
      <c r="C102" s="1077"/>
      <c r="D102" s="1077"/>
      <c r="E102" s="1077"/>
      <c r="F102" s="1065">
        <v>0.05</v>
      </c>
    </row>
    <row r="103" spans="1:6" ht="26.5" thickBot="1">
      <c r="A103" s="840" t="s">
        <v>523</v>
      </c>
      <c r="B103" s="834" t="s">
        <v>887</v>
      </c>
      <c r="C103" s="1077"/>
      <c r="D103" s="1077"/>
      <c r="E103" s="1077"/>
      <c r="F103" s="1065">
        <v>0.05</v>
      </c>
    </row>
    <row r="104" spans="1:6" ht="14.5" thickBot="1">
      <c r="A104" s="840" t="s">
        <v>523</v>
      </c>
      <c r="B104" s="834" t="s">
        <v>888</v>
      </c>
      <c r="C104" s="1077"/>
      <c r="D104" s="1077"/>
      <c r="E104" s="1077"/>
      <c r="F104" s="1065">
        <v>0.05</v>
      </c>
    </row>
    <row r="105" spans="1:6" ht="26.5" thickBot="1">
      <c r="A105" s="840" t="s">
        <v>523</v>
      </c>
      <c r="B105" s="834" t="s">
        <v>889</v>
      </c>
      <c r="C105" s="1077"/>
      <c r="D105" s="1077"/>
      <c r="E105" s="1077"/>
      <c r="F105" s="1065">
        <v>0.05</v>
      </c>
    </row>
    <row r="106" spans="1:6" ht="26.5" thickBot="1">
      <c r="A106" s="840" t="s">
        <v>523</v>
      </c>
      <c r="B106" s="834" t="s">
        <v>890</v>
      </c>
      <c r="C106" s="1077"/>
      <c r="D106" s="1077"/>
      <c r="E106" s="1077"/>
      <c r="F106" s="1065">
        <v>0.05</v>
      </c>
    </row>
    <row r="107" spans="1:6" ht="26.5" thickBot="1">
      <c r="A107" s="840" t="s">
        <v>523</v>
      </c>
      <c r="B107" s="834" t="s">
        <v>891</v>
      </c>
      <c r="C107" s="1077"/>
      <c r="D107" s="1077"/>
      <c r="E107" s="1077"/>
      <c r="F107" s="1065">
        <v>0.05</v>
      </c>
    </row>
    <row r="108" spans="1:6" ht="26.5" thickBot="1">
      <c r="A108" s="840" t="s">
        <v>523</v>
      </c>
      <c r="B108" s="834" t="s">
        <v>892</v>
      </c>
      <c r="C108" s="1077"/>
      <c r="D108" s="1077"/>
      <c r="E108" s="1077"/>
      <c r="F108" s="1065">
        <v>0.05</v>
      </c>
    </row>
    <row r="109" spans="1:6" ht="26.5" thickBot="1">
      <c r="A109" s="850" t="s">
        <v>523</v>
      </c>
      <c r="B109" s="846" t="s">
        <v>893</v>
      </c>
      <c r="C109" s="1074"/>
      <c r="D109" s="1074"/>
      <c r="E109" s="1074"/>
      <c r="F109" s="1067">
        <v>0.05</v>
      </c>
    </row>
    <row r="110" spans="1:6" ht="14.5" thickBot="1">
      <c r="A110" s="840" t="s">
        <v>56</v>
      </c>
      <c r="B110" s="841" t="s">
        <v>894</v>
      </c>
      <c r="C110" s="1062">
        <v>0.129</v>
      </c>
      <c r="D110" s="1062">
        <v>0.129</v>
      </c>
      <c r="E110" s="1062">
        <v>0.126</v>
      </c>
      <c r="F110" s="1063">
        <v>0.13</v>
      </c>
    </row>
    <row r="111" spans="1:6" ht="14.5" thickBot="1">
      <c r="A111" s="840" t="s">
        <v>56</v>
      </c>
      <c r="B111" s="834" t="s">
        <v>192</v>
      </c>
      <c r="C111" s="1064">
        <v>0.11</v>
      </c>
      <c r="D111" s="1064">
        <v>0.11</v>
      </c>
      <c r="E111" s="1064">
        <v>9.9000000000000005E-2</v>
      </c>
      <c r="F111" s="1065">
        <v>0.128</v>
      </c>
    </row>
    <row r="112" spans="1:6" ht="14.5" thickBot="1">
      <c r="A112" s="840" t="s">
        <v>56</v>
      </c>
      <c r="B112" s="834" t="s">
        <v>205</v>
      </c>
      <c r="C112" s="1064">
        <v>0.125</v>
      </c>
      <c r="D112" s="1064">
        <v>0.125</v>
      </c>
      <c r="E112" s="1064">
        <v>0.12</v>
      </c>
      <c r="F112" s="1065">
        <v>0.125</v>
      </c>
    </row>
    <row r="113" spans="1:6" ht="14.5" thickBot="1">
      <c r="A113" s="840" t="s">
        <v>56</v>
      </c>
      <c r="B113" s="834" t="s">
        <v>218</v>
      </c>
      <c r="C113" s="1064">
        <v>0.13</v>
      </c>
      <c r="D113" s="1064">
        <v>0.13</v>
      </c>
      <c r="E113" s="1064">
        <v>0.13</v>
      </c>
      <c r="F113" s="1065">
        <v>0.13</v>
      </c>
    </row>
    <row r="114" spans="1:6" ht="14.5" thickBot="1">
      <c r="A114" s="840" t="s">
        <v>56</v>
      </c>
      <c r="B114" s="834" t="s">
        <v>230</v>
      </c>
      <c r="C114" s="1064">
        <v>0.123</v>
      </c>
      <c r="D114" s="1064">
        <v>0.123</v>
      </c>
      <c r="E114" s="1064">
        <v>0.12</v>
      </c>
      <c r="F114" s="1065">
        <v>0.13</v>
      </c>
    </row>
    <row r="115" spans="1:6" ht="14.5" thickBot="1">
      <c r="A115" s="840" t="s">
        <v>56</v>
      </c>
      <c r="B115" s="834" t="s">
        <v>241</v>
      </c>
      <c r="C115" s="1064">
        <v>0.125</v>
      </c>
      <c r="D115" s="1064">
        <v>0.125</v>
      </c>
      <c r="E115" s="1064">
        <v>0.11700000000000001</v>
      </c>
      <c r="F115" s="1065">
        <v>0.13</v>
      </c>
    </row>
    <row r="116" spans="1:6" ht="14.5" thickBot="1">
      <c r="A116" s="840" t="s">
        <v>56</v>
      </c>
      <c r="B116" s="834" t="s">
        <v>252</v>
      </c>
      <c r="C116" s="1064">
        <v>0.11700000000000001</v>
      </c>
      <c r="D116" s="1064">
        <v>0.11700000000000001</v>
      </c>
      <c r="E116" s="1064">
        <v>8.7999999999999995E-2</v>
      </c>
      <c r="F116" s="1065">
        <v>0.13</v>
      </c>
    </row>
    <row r="117" spans="1:6" ht="14.5" thickBot="1">
      <c r="A117" s="840" t="s">
        <v>56</v>
      </c>
      <c r="B117" s="834" t="s">
        <v>263</v>
      </c>
      <c r="C117" s="1064">
        <v>0.13</v>
      </c>
      <c r="D117" s="1064">
        <v>0.13</v>
      </c>
      <c r="E117" s="1064">
        <v>0.129</v>
      </c>
      <c r="F117" s="1065">
        <v>0.13</v>
      </c>
    </row>
    <row r="118" spans="1:6" ht="14.5" thickBot="1">
      <c r="A118" s="840" t="s">
        <v>56</v>
      </c>
      <c r="B118" s="834" t="s">
        <v>275</v>
      </c>
      <c r="C118" s="1064">
        <v>0.123</v>
      </c>
      <c r="D118" s="1064">
        <v>0.123</v>
      </c>
      <c r="E118" s="1064">
        <v>0.11600000000000001</v>
      </c>
      <c r="F118" s="1065">
        <v>0.13</v>
      </c>
    </row>
    <row r="119" spans="1:6" ht="14.5" thickBot="1">
      <c r="A119" s="840" t="s">
        <v>56</v>
      </c>
      <c r="B119" s="834" t="s">
        <v>285</v>
      </c>
      <c r="C119" s="1064">
        <v>0.127</v>
      </c>
      <c r="D119" s="1064">
        <v>0.127</v>
      </c>
      <c r="E119" s="1064">
        <v>0.124</v>
      </c>
      <c r="F119" s="1065">
        <v>0.13</v>
      </c>
    </row>
    <row r="120" spans="1:6" ht="14.5" thickBot="1">
      <c r="A120" s="840" t="s">
        <v>56</v>
      </c>
      <c r="B120" s="834" t="s">
        <v>295</v>
      </c>
      <c r="C120" s="1064">
        <v>0.125</v>
      </c>
      <c r="D120" s="1064">
        <v>0.125</v>
      </c>
      <c r="E120" s="1064">
        <v>0.122</v>
      </c>
      <c r="F120" s="1065">
        <v>0.13</v>
      </c>
    </row>
    <row r="121" spans="1:6" ht="14.5" thickBot="1">
      <c r="A121" s="840" t="s">
        <v>56</v>
      </c>
      <c r="B121" s="834" t="s">
        <v>305</v>
      </c>
      <c r="C121" s="1064">
        <v>0.13</v>
      </c>
      <c r="D121" s="1064">
        <v>0.13</v>
      </c>
      <c r="E121" s="1064">
        <v>0.13</v>
      </c>
      <c r="F121" s="1065">
        <v>0.13</v>
      </c>
    </row>
    <row r="122" spans="1:6" ht="14.5" thickBot="1">
      <c r="A122" s="840" t="s">
        <v>56</v>
      </c>
      <c r="B122" s="834" t="s">
        <v>315</v>
      </c>
      <c r="C122" s="1064">
        <v>0.13</v>
      </c>
      <c r="D122" s="1064">
        <v>0.13</v>
      </c>
      <c r="E122" s="1064">
        <v>0.125</v>
      </c>
      <c r="F122" s="1065">
        <v>0.13</v>
      </c>
    </row>
    <row r="123" spans="1:6" ht="14.5" thickBot="1">
      <c r="A123" s="840" t="s">
        <v>56</v>
      </c>
      <c r="B123" s="834" t="s">
        <v>326</v>
      </c>
      <c r="C123" s="1064">
        <v>0.129</v>
      </c>
      <c r="D123" s="1064">
        <v>0.129</v>
      </c>
      <c r="E123" s="1064">
        <v>0.123</v>
      </c>
      <c r="F123" s="1065">
        <v>0.13</v>
      </c>
    </row>
    <row r="124" spans="1:6" ht="14.5" thickBot="1">
      <c r="A124" s="840" t="s">
        <v>56</v>
      </c>
      <c r="B124" s="834" t="s">
        <v>337</v>
      </c>
      <c r="C124" s="1064">
        <v>0.10199999999999999</v>
      </c>
      <c r="D124" s="1064">
        <v>0.10100000000000001</v>
      </c>
      <c r="E124" s="1064">
        <v>0.08</v>
      </c>
      <c r="F124" s="1076"/>
    </row>
    <row r="125" spans="1:6" ht="14.5" thickBot="1">
      <c r="A125" s="840" t="s">
        <v>56</v>
      </c>
      <c r="B125" s="834" t="s">
        <v>347</v>
      </c>
      <c r="C125" s="1064">
        <v>0.13</v>
      </c>
      <c r="D125" s="1064">
        <v>0.13</v>
      </c>
      <c r="E125" s="1064">
        <v>0.129</v>
      </c>
      <c r="F125" s="1076"/>
    </row>
    <row r="126" spans="1:6" ht="14.5" thickBot="1">
      <c r="A126" s="840" t="s">
        <v>56</v>
      </c>
      <c r="B126" s="834" t="s">
        <v>357</v>
      </c>
      <c r="C126" s="1064">
        <v>0.13</v>
      </c>
      <c r="D126" s="1064">
        <v>0.13</v>
      </c>
      <c r="E126" s="1064">
        <v>0.126</v>
      </c>
      <c r="F126" s="1076"/>
    </row>
    <row r="127" spans="1:6" ht="14.5" thickBot="1">
      <c r="A127" s="840" t="s">
        <v>56</v>
      </c>
      <c r="B127" s="834" t="s">
        <v>367</v>
      </c>
      <c r="C127" s="1064">
        <v>0.125</v>
      </c>
      <c r="D127" s="1064">
        <v>0.125</v>
      </c>
      <c r="E127" s="1064">
        <v>0.121</v>
      </c>
      <c r="F127" s="1076"/>
    </row>
    <row r="128" spans="1:6" ht="14.5" thickBot="1">
      <c r="A128" s="840" t="s">
        <v>56</v>
      </c>
      <c r="B128" s="834" t="s">
        <v>377</v>
      </c>
      <c r="C128" s="1064">
        <v>0.12</v>
      </c>
      <c r="D128" s="1064">
        <v>0.12</v>
      </c>
      <c r="E128" s="1064">
        <v>0.105</v>
      </c>
      <c r="F128" s="1076"/>
    </row>
    <row r="129" spans="1:6" ht="14.5" thickBot="1">
      <c r="A129" s="840" t="s">
        <v>56</v>
      </c>
      <c r="B129" s="834" t="s">
        <v>386</v>
      </c>
      <c r="C129" s="1064">
        <v>0.13</v>
      </c>
      <c r="D129" s="1064">
        <v>0.13</v>
      </c>
      <c r="E129" s="1064">
        <v>0.126</v>
      </c>
      <c r="F129" s="1076"/>
    </row>
    <row r="130" spans="1:6" ht="14.5" thickBot="1">
      <c r="A130" s="840" t="s">
        <v>56</v>
      </c>
      <c r="B130" s="834" t="s">
        <v>395</v>
      </c>
      <c r="C130" s="1064">
        <v>0.125</v>
      </c>
      <c r="D130" s="1064">
        <v>0.125</v>
      </c>
      <c r="E130" s="1064">
        <v>0.122</v>
      </c>
      <c r="F130" s="1076"/>
    </row>
    <row r="131" spans="1:6" ht="14.5" thickBot="1">
      <c r="A131" s="840" t="s">
        <v>56</v>
      </c>
      <c r="B131" s="834" t="s">
        <v>403</v>
      </c>
      <c r="C131" s="1064">
        <v>0.127</v>
      </c>
      <c r="D131" s="1064">
        <v>0.126</v>
      </c>
      <c r="E131" s="1064">
        <v>0.123</v>
      </c>
      <c r="F131" s="1076"/>
    </row>
    <row r="132" spans="1:6" ht="14.5" thickBot="1">
      <c r="A132" s="840" t="s">
        <v>56</v>
      </c>
      <c r="B132" s="834" t="s">
        <v>410</v>
      </c>
      <c r="C132" s="1064">
        <v>9.0999999999999998E-2</v>
      </c>
      <c r="D132" s="1064">
        <v>0.121</v>
      </c>
      <c r="E132" s="1064">
        <v>9.9000000000000005E-2</v>
      </c>
      <c r="F132" s="1076"/>
    </row>
    <row r="133" spans="1:6" ht="14.5" thickBot="1">
      <c r="A133" s="840" t="s">
        <v>56</v>
      </c>
      <c r="B133" s="834" t="s">
        <v>417</v>
      </c>
      <c r="C133" s="1064">
        <v>0.13</v>
      </c>
      <c r="D133" s="1064">
        <v>0.13</v>
      </c>
      <c r="E133" s="1064">
        <v>0.129</v>
      </c>
      <c r="F133" s="1076"/>
    </row>
    <row r="134" spans="1:6" ht="14.5" thickBot="1">
      <c r="A134" s="840" t="s">
        <v>56</v>
      </c>
      <c r="B134" s="834" t="s">
        <v>895</v>
      </c>
      <c r="C134" s="1064">
        <v>6.8000000000000005E-2</v>
      </c>
      <c r="D134" s="1064">
        <v>6.5000000000000002E-2</v>
      </c>
      <c r="E134" s="1064">
        <v>6.5000000000000002E-2</v>
      </c>
      <c r="F134" s="1065">
        <v>0.13</v>
      </c>
    </row>
    <row r="135" spans="1:6" ht="14.5" thickBot="1">
      <c r="A135" s="840" t="s">
        <v>56</v>
      </c>
      <c r="B135" s="834" t="s">
        <v>431</v>
      </c>
      <c r="C135" s="1064">
        <v>0.123</v>
      </c>
      <c r="D135" s="1064">
        <v>0.123</v>
      </c>
      <c r="E135" s="1064">
        <v>0.11</v>
      </c>
      <c r="F135" s="1076"/>
    </row>
    <row r="136" spans="1:6" ht="14.5" thickBot="1">
      <c r="A136" s="840" t="s">
        <v>56</v>
      </c>
      <c r="B136" s="834" t="s">
        <v>438</v>
      </c>
      <c r="C136" s="1064">
        <v>0.13</v>
      </c>
      <c r="D136" s="1064">
        <v>0.13</v>
      </c>
      <c r="E136" s="1064">
        <v>0.125</v>
      </c>
      <c r="F136" s="1076"/>
    </row>
    <row r="137" spans="1:6" ht="14.5" thickBot="1">
      <c r="A137" s="840" t="s">
        <v>56</v>
      </c>
      <c r="B137" s="834" t="s">
        <v>445</v>
      </c>
      <c r="C137" s="1064">
        <v>0.121</v>
      </c>
      <c r="D137" s="1064">
        <v>0.122</v>
      </c>
      <c r="E137" s="1064">
        <v>0.115</v>
      </c>
      <c r="F137" s="1076"/>
    </row>
    <row r="138" spans="1:6" ht="14.5" thickBot="1">
      <c r="A138" s="840" t="s">
        <v>56</v>
      </c>
      <c r="B138" s="834" t="s">
        <v>896</v>
      </c>
      <c r="C138" s="1064">
        <v>0.105</v>
      </c>
      <c r="D138" s="1064">
        <v>0.125</v>
      </c>
      <c r="E138" s="1064">
        <v>0.112</v>
      </c>
      <c r="F138" s="1076"/>
    </row>
    <row r="139" spans="1:6" ht="14.5" thickBot="1">
      <c r="A139" s="840" t="s">
        <v>56</v>
      </c>
      <c r="B139" s="834" t="s">
        <v>897</v>
      </c>
      <c r="C139" s="1064">
        <v>0.127</v>
      </c>
      <c r="D139" s="1064">
        <v>0.127</v>
      </c>
      <c r="E139" s="1064">
        <v>0.122</v>
      </c>
      <c r="F139" s="1065">
        <v>0.13</v>
      </c>
    </row>
    <row r="140" spans="1:6" ht="14.5" thickBot="1">
      <c r="A140" s="840" t="s">
        <v>56</v>
      </c>
      <c r="B140" s="834" t="s">
        <v>898</v>
      </c>
      <c r="C140" s="1064">
        <v>0.125</v>
      </c>
      <c r="D140" s="1064">
        <v>0.125</v>
      </c>
      <c r="E140" s="1064">
        <v>0.11899999999999999</v>
      </c>
      <c r="F140" s="1065">
        <v>0.13</v>
      </c>
    </row>
    <row r="141" spans="1:6" ht="14.5" thickBot="1">
      <c r="A141" s="840" t="s">
        <v>56</v>
      </c>
      <c r="B141" s="834" t="s">
        <v>464</v>
      </c>
      <c r="C141" s="1064">
        <v>0.125</v>
      </c>
      <c r="D141" s="1064">
        <v>0.125</v>
      </c>
      <c r="E141" s="1064">
        <v>0.11700000000000001</v>
      </c>
      <c r="F141" s="1076"/>
    </row>
    <row r="142" spans="1:6" ht="14.5" thickBot="1">
      <c r="A142" s="840" t="s">
        <v>56</v>
      </c>
      <c r="B142" s="834" t="s">
        <v>469</v>
      </c>
      <c r="C142" s="1064">
        <v>0.125</v>
      </c>
      <c r="D142" s="1064">
        <v>0.125</v>
      </c>
      <c r="E142" s="1064">
        <v>0.115</v>
      </c>
      <c r="F142" s="1076"/>
    </row>
    <row r="143" spans="1:6" ht="14.5" thickBot="1">
      <c r="A143" s="840" t="s">
        <v>56</v>
      </c>
      <c r="B143" s="834" t="s">
        <v>474</v>
      </c>
      <c r="C143" s="1064">
        <v>0.121</v>
      </c>
      <c r="D143" s="1064">
        <v>0.121</v>
      </c>
      <c r="E143" s="1064">
        <v>0.108</v>
      </c>
      <c r="F143" s="1076"/>
    </row>
    <row r="144" spans="1:6" ht="14.5" thickBot="1">
      <c r="A144" s="840" t="s">
        <v>56</v>
      </c>
      <c r="B144" s="1068" t="s">
        <v>899</v>
      </c>
      <c r="C144" s="1069">
        <v>0.126</v>
      </c>
      <c r="D144" s="1069">
        <v>0.126</v>
      </c>
      <c r="E144" s="1069">
        <v>0.121</v>
      </c>
      <c r="F144" s="1076"/>
    </row>
    <row r="145" spans="1:6" ht="14.5" thickBot="1">
      <c r="A145" s="850" t="s">
        <v>56</v>
      </c>
      <c r="B145" s="1070" t="s">
        <v>900</v>
      </c>
      <c r="C145" s="1078"/>
      <c r="D145" s="1078"/>
      <c r="E145" s="1078"/>
      <c r="F145" s="1071">
        <v>0.05</v>
      </c>
    </row>
    <row r="146" spans="1:6" ht="26.5" thickBot="1">
      <c r="A146" s="1072" t="s">
        <v>56</v>
      </c>
      <c r="B146" s="844" t="s">
        <v>901</v>
      </c>
      <c r="C146" s="1077"/>
      <c r="D146" s="1077"/>
      <c r="E146" s="1077"/>
      <c r="F146" s="1073">
        <v>0.05</v>
      </c>
    </row>
    <row r="147" spans="1:6" ht="26.5" thickBot="1">
      <c r="A147" s="840" t="s">
        <v>56</v>
      </c>
      <c r="B147" s="834" t="s">
        <v>902</v>
      </c>
      <c r="C147" s="1077"/>
      <c r="D147" s="1077"/>
      <c r="E147" s="1077"/>
      <c r="F147" s="1065">
        <v>0.05</v>
      </c>
    </row>
    <row r="148" spans="1:6" ht="26.5" thickBot="1">
      <c r="A148" s="840" t="s">
        <v>56</v>
      </c>
      <c r="B148" s="834" t="s">
        <v>903</v>
      </c>
      <c r="C148" s="1077"/>
      <c r="D148" s="1077"/>
      <c r="E148" s="1077"/>
      <c r="F148" s="1065">
        <v>0.05</v>
      </c>
    </row>
    <row r="149" spans="1:6" ht="26.5" thickBot="1">
      <c r="A149" s="840" t="s">
        <v>56</v>
      </c>
      <c r="B149" s="834" t="s">
        <v>904</v>
      </c>
      <c r="C149" s="1077"/>
      <c r="D149" s="1077"/>
      <c r="E149" s="1077"/>
      <c r="F149" s="1065">
        <v>0.05</v>
      </c>
    </row>
    <row r="150" spans="1:6" ht="26.5" thickBot="1">
      <c r="A150" s="840" t="s">
        <v>56</v>
      </c>
      <c r="B150" s="834" t="s">
        <v>905</v>
      </c>
      <c r="C150" s="1077"/>
      <c r="D150" s="1077"/>
      <c r="E150" s="1077"/>
      <c r="F150" s="1065">
        <v>0.05</v>
      </c>
    </row>
    <row r="151" spans="1:6" ht="26.5" thickBot="1">
      <c r="A151" s="840" t="s">
        <v>56</v>
      </c>
      <c r="B151" s="834" t="s">
        <v>906</v>
      </c>
      <c r="C151" s="1077"/>
      <c r="D151" s="1077"/>
      <c r="E151" s="1077"/>
      <c r="F151" s="1065">
        <v>0.05</v>
      </c>
    </row>
    <row r="152" spans="1:6" ht="26.5" thickBot="1">
      <c r="A152" s="840" t="s">
        <v>56</v>
      </c>
      <c r="B152" s="834" t="s">
        <v>507</v>
      </c>
      <c r="C152" s="1077"/>
      <c r="D152" s="1077"/>
      <c r="E152" s="1077"/>
      <c r="F152" s="1065">
        <v>0.05</v>
      </c>
    </row>
    <row r="153" spans="1:6" ht="14.5" thickBot="1">
      <c r="A153" s="840" t="s">
        <v>56</v>
      </c>
      <c r="B153" s="834" t="s">
        <v>907</v>
      </c>
      <c r="C153" s="1077"/>
      <c r="D153" s="1077"/>
      <c r="E153" s="1077"/>
      <c r="F153" s="1065">
        <v>0.05</v>
      </c>
    </row>
    <row r="154" spans="1:6" ht="14.5" thickBot="1">
      <c r="A154" s="840" t="s">
        <v>56</v>
      </c>
      <c r="B154" s="834" t="s">
        <v>908</v>
      </c>
      <c r="C154" s="1077"/>
      <c r="D154" s="1077"/>
      <c r="E154" s="1077"/>
      <c r="F154" s="1065">
        <v>0.05</v>
      </c>
    </row>
    <row r="155" spans="1:6" ht="26.5" thickBot="1">
      <c r="A155" s="840" t="s">
        <v>56</v>
      </c>
      <c r="B155" s="834" t="s">
        <v>909</v>
      </c>
      <c r="C155" s="1077"/>
      <c r="D155" s="1077"/>
      <c r="E155" s="1077"/>
      <c r="F155" s="1065">
        <v>0.05</v>
      </c>
    </row>
    <row r="156" spans="1:6" ht="26.5" thickBot="1">
      <c r="A156" s="840" t="s">
        <v>56</v>
      </c>
      <c r="B156" s="834" t="s">
        <v>910</v>
      </c>
      <c r="C156" s="1077"/>
      <c r="D156" s="1077"/>
      <c r="E156" s="1077"/>
      <c r="F156" s="1065">
        <v>0.05</v>
      </c>
    </row>
    <row r="157" spans="1:6" ht="14.5" thickBot="1">
      <c r="A157" s="850" t="s">
        <v>56</v>
      </c>
      <c r="B157" s="846" t="s">
        <v>911</v>
      </c>
      <c r="C157" s="1074"/>
      <c r="D157" s="1074"/>
      <c r="E157" s="1074"/>
      <c r="F157" s="1067">
        <v>0.05</v>
      </c>
    </row>
    <row r="158" spans="1:6" ht="14.5" thickBot="1">
      <c r="A158" s="840" t="s">
        <v>526</v>
      </c>
      <c r="B158" s="841" t="s">
        <v>912</v>
      </c>
      <c r="C158" s="1062">
        <v>0.13</v>
      </c>
      <c r="D158" s="1062">
        <v>0.13</v>
      </c>
      <c r="E158" s="1062">
        <v>0.13</v>
      </c>
      <c r="F158" s="1063">
        <v>0.13</v>
      </c>
    </row>
    <row r="159" spans="1:6" ht="14.5" thickBot="1">
      <c r="A159" s="840" t="s">
        <v>526</v>
      </c>
      <c r="B159" s="834" t="s">
        <v>193</v>
      </c>
      <c r="C159" s="1064">
        <v>0.13</v>
      </c>
      <c r="D159" s="1064">
        <v>0.13</v>
      </c>
      <c r="E159" s="1064">
        <v>0.13</v>
      </c>
      <c r="F159" s="1065">
        <v>0.13</v>
      </c>
    </row>
    <row r="160" spans="1:6" ht="14.5" thickBot="1">
      <c r="A160" s="840" t="s">
        <v>526</v>
      </c>
      <c r="B160" s="834" t="s">
        <v>206</v>
      </c>
      <c r="C160" s="1064">
        <v>0.13</v>
      </c>
      <c r="D160" s="1064">
        <v>0.13</v>
      </c>
      <c r="E160" s="1064">
        <v>0.129</v>
      </c>
      <c r="F160" s="1065">
        <v>0.13</v>
      </c>
    </row>
    <row r="161" spans="1:6" ht="14.5" thickBot="1">
      <c r="A161" s="840" t="s">
        <v>526</v>
      </c>
      <c r="B161" s="834" t="s">
        <v>219</v>
      </c>
      <c r="C161" s="1064">
        <v>0.128</v>
      </c>
      <c r="D161" s="1064">
        <v>0.128</v>
      </c>
      <c r="E161" s="1064">
        <v>0.125</v>
      </c>
      <c r="F161" s="1065">
        <v>0.13</v>
      </c>
    </row>
    <row r="162" spans="1:6" ht="14.5" thickBot="1">
      <c r="A162" s="840" t="s">
        <v>526</v>
      </c>
      <c r="B162" s="834" t="s">
        <v>231</v>
      </c>
      <c r="C162" s="1064">
        <v>0.122</v>
      </c>
      <c r="D162" s="1064">
        <v>0.122</v>
      </c>
      <c r="E162" s="1064">
        <v>0.126</v>
      </c>
      <c r="F162" s="1065">
        <v>0.122</v>
      </c>
    </row>
    <row r="163" spans="1:6" ht="14.5" thickBot="1">
      <c r="A163" s="840" t="s">
        <v>526</v>
      </c>
      <c r="B163" s="834" t="s">
        <v>242</v>
      </c>
      <c r="C163" s="1064">
        <v>0.13</v>
      </c>
      <c r="D163" s="1064">
        <v>0.13</v>
      </c>
      <c r="E163" s="1064">
        <v>0.125</v>
      </c>
      <c r="F163" s="1065">
        <v>0.13</v>
      </c>
    </row>
    <row r="164" spans="1:6" ht="14.5" thickBot="1">
      <c r="A164" s="840" t="s">
        <v>526</v>
      </c>
      <c r="B164" s="834" t="s">
        <v>253</v>
      </c>
      <c r="C164" s="1064">
        <v>0.13</v>
      </c>
      <c r="D164" s="1064">
        <v>0.13</v>
      </c>
      <c r="E164" s="1064">
        <v>0.13</v>
      </c>
      <c r="F164" s="1065">
        <v>0.13</v>
      </c>
    </row>
    <row r="165" spans="1:6" ht="14.5" thickBot="1">
      <c r="A165" s="840" t="s">
        <v>526</v>
      </c>
      <c r="B165" s="834" t="s">
        <v>264</v>
      </c>
      <c r="C165" s="1064">
        <v>0.13</v>
      </c>
      <c r="D165" s="1064">
        <v>0.13</v>
      </c>
      <c r="E165" s="1064">
        <v>0.124</v>
      </c>
      <c r="F165" s="1065">
        <v>0.13</v>
      </c>
    </row>
    <row r="166" spans="1:6" ht="14.5" thickBot="1">
      <c r="A166" s="840" t="s">
        <v>526</v>
      </c>
      <c r="B166" s="834" t="s">
        <v>276</v>
      </c>
      <c r="C166" s="1064">
        <v>0.13</v>
      </c>
      <c r="D166" s="1064">
        <v>0.13</v>
      </c>
      <c r="E166" s="1064">
        <v>0.13</v>
      </c>
      <c r="F166" s="1065">
        <v>0.13</v>
      </c>
    </row>
    <row r="167" spans="1:6" ht="14.5" thickBot="1">
      <c r="A167" s="840" t="s">
        <v>526</v>
      </c>
      <c r="B167" s="834" t="s">
        <v>286</v>
      </c>
      <c r="C167" s="1064">
        <v>0.125</v>
      </c>
      <c r="D167" s="1064">
        <v>0.125</v>
      </c>
      <c r="E167" s="1064">
        <v>0.121</v>
      </c>
      <c r="F167" s="1076"/>
    </row>
    <row r="168" spans="1:6" ht="14.5" thickBot="1">
      <c r="A168" s="840" t="s">
        <v>526</v>
      </c>
      <c r="B168" s="834" t="s">
        <v>296</v>
      </c>
      <c r="C168" s="1064">
        <v>0.13</v>
      </c>
      <c r="D168" s="1064">
        <v>0.13</v>
      </c>
      <c r="E168" s="1064">
        <v>0.126</v>
      </c>
      <c r="F168" s="1076"/>
    </row>
    <row r="169" spans="1:6" ht="14.5" thickBot="1">
      <c r="A169" s="840" t="s">
        <v>526</v>
      </c>
      <c r="B169" s="834" t="s">
        <v>306</v>
      </c>
      <c r="C169" s="1064">
        <v>0.128</v>
      </c>
      <c r="D169" s="1064">
        <v>0.129</v>
      </c>
      <c r="E169" s="1064">
        <v>0.13</v>
      </c>
      <c r="F169" s="1076"/>
    </row>
    <row r="170" spans="1:6" ht="14.5" thickBot="1">
      <c r="A170" s="840" t="s">
        <v>526</v>
      </c>
      <c r="B170" s="834" t="s">
        <v>316</v>
      </c>
      <c r="C170" s="1064">
        <v>0.14099999999999999</v>
      </c>
      <c r="D170" s="1064">
        <v>0.13</v>
      </c>
      <c r="E170" s="1064">
        <v>0.125</v>
      </c>
      <c r="F170" s="1076"/>
    </row>
    <row r="171" spans="1:6" ht="14.5" thickBot="1">
      <c r="A171" s="840" t="s">
        <v>526</v>
      </c>
      <c r="B171" s="834" t="s">
        <v>913</v>
      </c>
      <c r="C171" s="1064">
        <v>0.127</v>
      </c>
      <c r="D171" s="1064">
        <v>0.126</v>
      </c>
      <c r="E171" s="1064">
        <v>0.126</v>
      </c>
      <c r="F171" s="1065">
        <v>0.11799999999999999</v>
      </c>
    </row>
    <row r="172" spans="1:6" ht="14.5" thickBot="1">
      <c r="A172" s="840" t="s">
        <v>526</v>
      </c>
      <c r="B172" s="834" t="s">
        <v>914</v>
      </c>
      <c r="C172" s="1064">
        <v>0.13</v>
      </c>
      <c r="D172" s="1064">
        <v>0.13</v>
      </c>
      <c r="E172" s="1064">
        <v>0.13</v>
      </c>
      <c r="F172" s="1076"/>
    </row>
    <row r="173" spans="1:6" ht="14.5" thickBot="1">
      <c r="A173" s="840" t="s">
        <v>526</v>
      </c>
      <c r="B173" s="834" t="s">
        <v>348</v>
      </c>
      <c r="C173" s="1064">
        <v>0.13</v>
      </c>
      <c r="D173" s="1064">
        <v>0.13</v>
      </c>
      <c r="E173" s="1064">
        <v>0.13</v>
      </c>
      <c r="F173" s="1076"/>
    </row>
    <row r="174" spans="1:6" ht="14.5" thickBot="1">
      <c r="A174" s="840" t="s">
        <v>526</v>
      </c>
      <c r="B174" s="834" t="s">
        <v>915</v>
      </c>
      <c r="C174" s="1064">
        <v>0.13</v>
      </c>
      <c r="D174" s="1064">
        <v>0.13</v>
      </c>
      <c r="E174" s="1064">
        <v>0.13</v>
      </c>
      <c r="F174" s="1065">
        <v>0.13</v>
      </c>
    </row>
    <row r="175" spans="1:6" ht="14.5" thickBot="1">
      <c r="A175" s="840" t="s">
        <v>526</v>
      </c>
      <c r="B175" s="834" t="s">
        <v>916</v>
      </c>
      <c r="C175" s="1064">
        <v>0.13</v>
      </c>
      <c r="D175" s="1064">
        <v>0.13</v>
      </c>
      <c r="E175" s="1064">
        <v>0.13</v>
      </c>
      <c r="F175" s="1065">
        <v>0.13</v>
      </c>
    </row>
    <row r="176" spans="1:6" ht="14.5" thickBot="1">
      <c r="A176" s="840" t="s">
        <v>526</v>
      </c>
      <c r="B176" s="834" t="s">
        <v>378</v>
      </c>
      <c r="C176" s="1064">
        <v>0.13</v>
      </c>
      <c r="D176" s="1064">
        <v>0.13</v>
      </c>
      <c r="E176" s="1064">
        <v>0.13</v>
      </c>
      <c r="F176" s="1065">
        <v>0.13</v>
      </c>
    </row>
    <row r="177" spans="1:6" ht="14.5" thickBot="1">
      <c r="A177" s="840" t="s">
        <v>526</v>
      </c>
      <c r="B177" s="834" t="s">
        <v>917</v>
      </c>
      <c r="C177" s="1064">
        <v>0.13</v>
      </c>
      <c r="D177" s="1064">
        <v>0.13</v>
      </c>
      <c r="E177" s="1064">
        <v>0.13</v>
      </c>
      <c r="F177" s="1065">
        <v>0.13</v>
      </c>
    </row>
    <row r="178" spans="1:6" ht="14.5" thickBot="1">
      <c r="A178" s="840" t="s">
        <v>526</v>
      </c>
      <c r="B178" s="834" t="s">
        <v>396</v>
      </c>
      <c r="C178" s="1064">
        <v>0.13</v>
      </c>
      <c r="D178" s="1064">
        <v>0.13</v>
      </c>
      <c r="E178" s="1064">
        <v>0.13</v>
      </c>
      <c r="F178" s="1065">
        <v>0.127</v>
      </c>
    </row>
    <row r="179" spans="1:6" ht="14.5" thickBot="1">
      <c r="A179" s="840" t="s">
        <v>526</v>
      </c>
      <c r="B179" s="834" t="s">
        <v>404</v>
      </c>
      <c r="C179" s="1064">
        <v>0.13</v>
      </c>
      <c r="D179" s="1064">
        <v>0.13</v>
      </c>
      <c r="E179" s="1064">
        <v>0.13</v>
      </c>
      <c r="F179" s="1076"/>
    </row>
    <row r="180" spans="1:6" ht="14.5" thickBot="1">
      <c r="A180" s="840" t="s">
        <v>526</v>
      </c>
      <c r="B180" s="834" t="s">
        <v>918</v>
      </c>
      <c r="C180" s="1064">
        <v>0.13</v>
      </c>
      <c r="D180" s="1064">
        <v>0.13</v>
      </c>
      <c r="E180" s="1064">
        <v>0.125</v>
      </c>
      <c r="F180" s="1065">
        <v>0.13</v>
      </c>
    </row>
    <row r="181" spans="1:6" ht="14.5" thickBot="1">
      <c r="A181" s="840" t="s">
        <v>526</v>
      </c>
      <c r="B181" s="834" t="s">
        <v>418</v>
      </c>
      <c r="C181" s="1064">
        <v>0.122</v>
      </c>
      <c r="D181" s="1064">
        <v>0.123</v>
      </c>
      <c r="E181" s="1064">
        <v>0.126</v>
      </c>
      <c r="F181" s="1065">
        <v>0.121</v>
      </c>
    </row>
    <row r="182" spans="1:6" ht="14.5" thickBot="1">
      <c r="A182" s="840" t="s">
        <v>526</v>
      </c>
      <c r="B182" s="834" t="s">
        <v>425</v>
      </c>
      <c r="C182" s="1064">
        <v>0.125</v>
      </c>
      <c r="D182" s="1064">
        <v>0.125</v>
      </c>
      <c r="E182" s="1064">
        <v>0.11700000000000001</v>
      </c>
      <c r="F182" s="1065">
        <v>0.13</v>
      </c>
    </row>
    <row r="183" spans="1:6" ht="14.5" thickBot="1">
      <c r="A183" s="840" t="s">
        <v>526</v>
      </c>
      <c r="B183" s="834" t="s">
        <v>432</v>
      </c>
      <c r="C183" s="1064">
        <v>0.127</v>
      </c>
      <c r="D183" s="1064">
        <v>0.127</v>
      </c>
      <c r="E183" s="1064">
        <v>0.128</v>
      </c>
      <c r="F183" s="1076"/>
    </row>
    <row r="184" spans="1:6" ht="14.5" thickBot="1">
      <c r="A184" s="840" t="s">
        <v>526</v>
      </c>
      <c r="B184" s="834" t="s">
        <v>439</v>
      </c>
      <c r="C184" s="1064">
        <v>0.125</v>
      </c>
      <c r="D184" s="1064">
        <v>0.125</v>
      </c>
      <c r="E184" s="1064">
        <v>0.127</v>
      </c>
      <c r="F184" s="1076"/>
    </row>
    <row r="185" spans="1:6" ht="14.5" thickBot="1">
      <c r="A185" s="840" t="s">
        <v>526</v>
      </c>
      <c r="B185" s="834" t="s">
        <v>919</v>
      </c>
      <c r="C185" s="1064">
        <v>0.127</v>
      </c>
      <c r="D185" s="1064">
        <v>0.127</v>
      </c>
      <c r="E185" s="1064">
        <v>0.128</v>
      </c>
      <c r="F185" s="1065">
        <v>0.13</v>
      </c>
    </row>
    <row r="186" spans="1:6" ht="26.5" thickBot="1">
      <c r="A186" s="840" t="s">
        <v>526</v>
      </c>
      <c r="B186" s="834" t="s">
        <v>920</v>
      </c>
      <c r="C186" s="1077"/>
      <c r="D186" s="1077"/>
      <c r="E186" s="1077"/>
      <c r="F186" s="1065">
        <v>0.05</v>
      </c>
    </row>
    <row r="187" spans="1:6" ht="14.5" thickBot="1">
      <c r="A187" s="840" t="s">
        <v>526</v>
      </c>
      <c r="B187" s="834" t="s">
        <v>921</v>
      </c>
      <c r="C187" s="1077"/>
      <c r="D187" s="1077"/>
      <c r="E187" s="1077"/>
      <c r="F187" s="1065">
        <v>0.05</v>
      </c>
    </row>
    <row r="188" spans="1:6" ht="26.5" thickBot="1">
      <c r="A188" s="840" t="s">
        <v>526</v>
      </c>
      <c r="B188" s="834" t="s">
        <v>922</v>
      </c>
      <c r="C188" s="1077"/>
      <c r="D188" s="1077"/>
      <c r="E188" s="1077"/>
      <c r="F188" s="1065">
        <v>0.05</v>
      </c>
    </row>
    <row r="189" spans="1:6" ht="26.5" thickBot="1">
      <c r="A189" s="840" t="s">
        <v>526</v>
      </c>
      <c r="B189" s="834" t="s">
        <v>923</v>
      </c>
      <c r="C189" s="1077"/>
      <c r="D189" s="1077"/>
      <c r="E189" s="1077"/>
      <c r="F189" s="1065">
        <v>0.05</v>
      </c>
    </row>
    <row r="190" spans="1:6" ht="26.5" thickBot="1">
      <c r="A190" s="840" t="s">
        <v>526</v>
      </c>
      <c r="B190" s="834" t="s">
        <v>924</v>
      </c>
      <c r="C190" s="1077"/>
      <c r="D190" s="1077"/>
      <c r="E190" s="1077"/>
      <c r="F190" s="1065">
        <v>0.05</v>
      </c>
    </row>
    <row r="191" spans="1:6" ht="26.5" thickBot="1">
      <c r="A191" s="840" t="s">
        <v>526</v>
      </c>
      <c r="B191" s="834" t="s">
        <v>925</v>
      </c>
      <c r="C191" s="1077"/>
      <c r="D191" s="1077"/>
      <c r="E191" s="1077"/>
      <c r="F191" s="1065">
        <v>0.05</v>
      </c>
    </row>
    <row r="192" spans="1:6" ht="26.5" thickBot="1">
      <c r="A192" s="840" t="s">
        <v>526</v>
      </c>
      <c r="B192" s="834" t="s">
        <v>926</v>
      </c>
      <c r="C192" s="1077"/>
      <c r="D192" s="1077"/>
      <c r="E192" s="1077"/>
      <c r="F192" s="1065">
        <v>0.05</v>
      </c>
    </row>
    <row r="193" spans="1:6" ht="26.5" thickBot="1">
      <c r="A193" s="840" t="s">
        <v>526</v>
      </c>
      <c r="B193" s="834" t="s">
        <v>927</v>
      </c>
      <c r="C193" s="1077"/>
      <c r="D193" s="1077"/>
      <c r="E193" s="1077"/>
      <c r="F193" s="1065">
        <v>0.05</v>
      </c>
    </row>
    <row r="194" spans="1:6" ht="26.5" thickBot="1">
      <c r="A194" s="840" t="s">
        <v>526</v>
      </c>
      <c r="B194" s="834" t="s">
        <v>928</v>
      </c>
      <c r="C194" s="1077"/>
      <c r="D194" s="1077"/>
      <c r="E194" s="1077"/>
      <c r="F194" s="1065">
        <v>0.05</v>
      </c>
    </row>
    <row r="195" spans="1:6" ht="14.5" thickBot="1">
      <c r="A195" s="840" t="s">
        <v>526</v>
      </c>
      <c r="B195" s="834" t="s">
        <v>929</v>
      </c>
      <c r="C195" s="1077"/>
      <c r="D195" s="1077"/>
      <c r="E195" s="1077"/>
      <c r="F195" s="1065">
        <v>0.05</v>
      </c>
    </row>
    <row r="196" spans="1:6" ht="26.5" thickBot="1">
      <c r="A196" s="840" t="s">
        <v>526</v>
      </c>
      <c r="B196" s="834" t="s">
        <v>930</v>
      </c>
      <c r="C196" s="1077"/>
      <c r="D196" s="1077"/>
      <c r="E196" s="1077"/>
      <c r="F196" s="1065">
        <v>0.05</v>
      </c>
    </row>
    <row r="197" spans="1:6" ht="26.5" thickBot="1">
      <c r="A197" s="840" t="s">
        <v>526</v>
      </c>
      <c r="B197" s="834" t="s">
        <v>931</v>
      </c>
      <c r="C197" s="1077"/>
      <c r="D197" s="1077"/>
      <c r="E197" s="1077"/>
      <c r="F197" s="1065">
        <v>0.05</v>
      </c>
    </row>
    <row r="198" spans="1:6" ht="26.5" thickBot="1">
      <c r="A198" s="840" t="s">
        <v>526</v>
      </c>
      <c r="B198" s="834" t="s">
        <v>932</v>
      </c>
      <c r="C198" s="1077"/>
      <c r="D198" s="1077"/>
      <c r="E198" s="1077"/>
      <c r="F198" s="1065">
        <v>0.05</v>
      </c>
    </row>
    <row r="199" spans="1:6" ht="26.5" thickBot="1">
      <c r="A199" s="840" t="s">
        <v>526</v>
      </c>
      <c r="B199" s="834" t="s">
        <v>933</v>
      </c>
      <c r="C199" s="1077"/>
      <c r="D199" s="1077"/>
      <c r="E199" s="1077"/>
      <c r="F199" s="1065">
        <v>0.05</v>
      </c>
    </row>
    <row r="200" spans="1:6" ht="26.5" thickBot="1">
      <c r="A200" s="840" t="s">
        <v>526</v>
      </c>
      <c r="B200" s="834" t="s">
        <v>934</v>
      </c>
      <c r="C200" s="1077"/>
      <c r="D200" s="1077"/>
      <c r="E200" s="1077"/>
      <c r="F200" s="1065">
        <v>0.05</v>
      </c>
    </row>
    <row r="201" spans="1:6" ht="26.5" thickBot="1">
      <c r="A201" s="840" t="s">
        <v>526</v>
      </c>
      <c r="B201" s="834" t="s">
        <v>935</v>
      </c>
      <c r="C201" s="1077"/>
      <c r="D201" s="1077"/>
      <c r="E201" s="1077"/>
      <c r="F201" s="1065">
        <v>0.05</v>
      </c>
    </row>
    <row r="202" spans="1:6" ht="26.5" thickBot="1">
      <c r="A202" s="840" t="s">
        <v>526</v>
      </c>
      <c r="B202" s="834" t="s">
        <v>936</v>
      </c>
      <c r="C202" s="1077"/>
      <c r="D202" s="1077"/>
      <c r="E202" s="1077"/>
      <c r="F202" s="1065">
        <v>0.05</v>
      </c>
    </row>
    <row r="203" spans="1:6" ht="26.5" thickBot="1">
      <c r="A203" s="840" t="s">
        <v>526</v>
      </c>
      <c r="B203" s="834" t="s">
        <v>937</v>
      </c>
      <c r="C203" s="1077"/>
      <c r="D203" s="1077"/>
      <c r="E203" s="1077"/>
      <c r="F203" s="1065">
        <v>0.05</v>
      </c>
    </row>
    <row r="204" spans="1:6" ht="14.5" thickBot="1">
      <c r="A204" s="840" t="s">
        <v>526</v>
      </c>
      <c r="B204" s="834" t="s">
        <v>938</v>
      </c>
      <c r="C204" s="1077"/>
      <c r="D204" s="1077"/>
      <c r="E204" s="1077"/>
      <c r="F204" s="1065">
        <v>0.05</v>
      </c>
    </row>
    <row r="205" spans="1:6" ht="14.5" thickBot="1">
      <c r="A205" s="850" t="s">
        <v>526</v>
      </c>
      <c r="B205" s="846" t="s">
        <v>939</v>
      </c>
      <c r="C205" s="1074"/>
      <c r="D205" s="1074"/>
      <c r="E205" s="1074"/>
      <c r="F205" s="1067">
        <v>0.05</v>
      </c>
    </row>
    <row r="206" spans="1:6" ht="14.5" thickBot="1">
      <c r="A206" s="840" t="s">
        <v>528</v>
      </c>
      <c r="B206" s="841" t="s">
        <v>940</v>
      </c>
      <c r="C206" s="1062">
        <v>0.15</v>
      </c>
      <c r="D206" s="1062">
        <v>0.15</v>
      </c>
      <c r="E206" s="1062">
        <v>0.15</v>
      </c>
      <c r="F206" s="1063">
        <v>0.15</v>
      </c>
    </row>
    <row r="207" spans="1:6" ht="14.5" thickBot="1">
      <c r="A207" s="840" t="s">
        <v>528</v>
      </c>
      <c r="B207" s="834" t="s">
        <v>194</v>
      </c>
      <c r="C207" s="1064">
        <v>0.15</v>
      </c>
      <c r="D207" s="1064">
        <v>0.15</v>
      </c>
      <c r="E207" s="1064">
        <v>0.15</v>
      </c>
      <c r="F207" s="1065">
        <v>0.14399999999999999</v>
      </c>
    </row>
    <row r="208" spans="1:6" ht="14.5" thickBot="1">
      <c r="A208" s="840" t="s">
        <v>528</v>
      </c>
      <c r="B208" s="834" t="s">
        <v>207</v>
      </c>
      <c r="C208" s="1064">
        <v>0.15</v>
      </c>
      <c r="D208" s="1064">
        <v>0.15</v>
      </c>
      <c r="E208" s="1064">
        <v>0.15</v>
      </c>
      <c r="F208" s="1065">
        <v>0.15</v>
      </c>
    </row>
    <row r="209" spans="1:6" ht="14.5" thickBot="1">
      <c r="A209" s="840" t="s">
        <v>528</v>
      </c>
      <c r="B209" s="834" t="s">
        <v>220</v>
      </c>
      <c r="C209" s="1064">
        <v>0.13700000000000001</v>
      </c>
      <c r="D209" s="1064">
        <v>0.13700000000000001</v>
      </c>
      <c r="E209" s="1064">
        <v>0.14000000000000001</v>
      </c>
      <c r="F209" s="1065">
        <v>0.11700000000000001</v>
      </c>
    </row>
    <row r="210" spans="1:6" ht="14.5" thickBot="1">
      <c r="A210" s="840" t="s">
        <v>528</v>
      </c>
      <c r="B210" s="834" t="s">
        <v>941</v>
      </c>
      <c r="C210" s="1064">
        <v>0.15</v>
      </c>
      <c r="D210" s="1064">
        <v>0.15</v>
      </c>
      <c r="E210" s="1064">
        <v>0.15</v>
      </c>
      <c r="F210" s="1065">
        <v>0.13800000000000001</v>
      </c>
    </row>
    <row r="211" spans="1:6" ht="14.5" thickBot="1">
      <c r="A211" s="840" t="s">
        <v>528</v>
      </c>
      <c r="B211" s="834" t="s">
        <v>942</v>
      </c>
      <c r="C211" s="1064">
        <v>0.13700000000000001</v>
      </c>
      <c r="D211" s="1064">
        <v>0.13500000000000001</v>
      </c>
      <c r="E211" s="1064">
        <v>0.13600000000000001</v>
      </c>
      <c r="F211" s="1065">
        <v>0.1</v>
      </c>
    </row>
    <row r="212" spans="1:6" ht="14.5" thickBot="1">
      <c r="A212" s="840" t="s">
        <v>528</v>
      </c>
      <c r="B212" s="834" t="s">
        <v>943</v>
      </c>
      <c r="C212" s="1064">
        <v>0.15</v>
      </c>
      <c r="D212" s="1064">
        <v>0.15</v>
      </c>
      <c r="E212" s="1064">
        <v>0.14799999999999999</v>
      </c>
      <c r="F212" s="1065">
        <v>0.13600000000000001</v>
      </c>
    </row>
    <row r="213" spans="1:6" ht="14.5" thickBot="1">
      <c r="A213" s="840" t="s">
        <v>528</v>
      </c>
      <c r="B213" s="834" t="s">
        <v>265</v>
      </c>
      <c r="C213" s="1064">
        <v>0.15</v>
      </c>
      <c r="D213" s="1064">
        <v>0.15</v>
      </c>
      <c r="E213" s="1064">
        <v>0.15</v>
      </c>
      <c r="F213" s="1065">
        <v>0.13800000000000001</v>
      </c>
    </row>
    <row r="214" spans="1:6" ht="14.5" thickBot="1">
      <c r="A214" s="840" t="s">
        <v>528</v>
      </c>
      <c r="B214" s="834" t="s">
        <v>277</v>
      </c>
      <c r="C214" s="1064">
        <v>9.0999999999999998E-2</v>
      </c>
      <c r="D214" s="1064">
        <v>0.09</v>
      </c>
      <c r="E214" s="1064">
        <v>9.1999999999999998E-2</v>
      </c>
      <c r="F214" s="1076"/>
    </row>
    <row r="215" spans="1:6" ht="14.5" thickBot="1">
      <c r="A215" s="840" t="s">
        <v>528</v>
      </c>
      <c r="B215" s="834" t="s">
        <v>944</v>
      </c>
      <c r="C215" s="1064">
        <v>0.15</v>
      </c>
      <c r="D215" s="1064">
        <v>0.15</v>
      </c>
      <c r="E215" s="1064">
        <v>0.15</v>
      </c>
      <c r="F215" s="1065">
        <v>0.15</v>
      </c>
    </row>
    <row r="216" spans="1:6" ht="14.5" thickBot="1">
      <c r="A216" s="840" t="s">
        <v>528</v>
      </c>
      <c r="B216" s="834" t="s">
        <v>297</v>
      </c>
      <c r="C216" s="1064">
        <v>0.14699999999999999</v>
      </c>
      <c r="D216" s="1064">
        <v>0.14699999999999999</v>
      </c>
      <c r="E216" s="1064">
        <v>0.15</v>
      </c>
      <c r="F216" s="1065">
        <v>0.14000000000000001</v>
      </c>
    </row>
    <row r="217" spans="1:6" ht="14.5" thickBot="1">
      <c r="A217" s="840" t="s">
        <v>528</v>
      </c>
      <c r="B217" s="834" t="s">
        <v>307</v>
      </c>
      <c r="C217" s="1064">
        <v>0.15</v>
      </c>
      <c r="D217" s="1064">
        <v>0.15</v>
      </c>
      <c r="E217" s="1064">
        <v>0.15</v>
      </c>
      <c r="F217" s="1065">
        <v>0.15</v>
      </c>
    </row>
    <row r="218" spans="1:6" ht="14.5" thickBot="1">
      <c r="A218" s="840" t="s">
        <v>528</v>
      </c>
      <c r="B218" s="834" t="s">
        <v>945</v>
      </c>
      <c r="C218" s="1064">
        <v>0.15</v>
      </c>
      <c r="D218" s="1064">
        <v>0.15</v>
      </c>
      <c r="E218" s="1064">
        <v>0.15</v>
      </c>
      <c r="F218" s="1065">
        <v>0.15</v>
      </c>
    </row>
    <row r="219" spans="1:6" ht="14.5" thickBot="1">
      <c r="A219" s="840" t="s">
        <v>528</v>
      </c>
      <c r="B219" s="834" t="s">
        <v>328</v>
      </c>
      <c r="C219" s="1064">
        <v>0.15</v>
      </c>
      <c r="D219" s="1064">
        <v>0.15</v>
      </c>
      <c r="E219" s="1064">
        <v>0.15</v>
      </c>
      <c r="F219" s="1065">
        <v>0.14799999999999999</v>
      </c>
    </row>
    <row r="220" spans="1:6" ht="14.5" thickBot="1">
      <c r="A220" s="840" t="s">
        <v>528</v>
      </c>
      <c r="B220" s="834" t="s">
        <v>946</v>
      </c>
      <c r="C220" s="1064">
        <v>0.15</v>
      </c>
      <c r="D220" s="1064">
        <v>0.15</v>
      </c>
      <c r="E220" s="1064">
        <v>0.15</v>
      </c>
      <c r="F220" s="1065">
        <v>0.15</v>
      </c>
    </row>
    <row r="221" spans="1:6" ht="14.5" thickBot="1">
      <c r="A221" s="840" t="s">
        <v>528</v>
      </c>
      <c r="B221" s="834" t="s">
        <v>349</v>
      </c>
      <c r="C221" s="1064"/>
      <c r="D221" s="1077"/>
      <c r="E221" s="1077"/>
      <c r="F221" s="1065">
        <v>0.14799999999999999</v>
      </c>
    </row>
    <row r="222" spans="1:6" ht="14.5" thickBot="1">
      <c r="A222" s="840" t="s">
        <v>528</v>
      </c>
      <c r="B222" s="834" t="s">
        <v>359</v>
      </c>
      <c r="C222" s="1064"/>
      <c r="D222" s="1077"/>
      <c r="E222" s="1077"/>
      <c r="F222" s="1065">
        <v>0.1</v>
      </c>
    </row>
    <row r="223" spans="1:6" ht="14.5" thickBot="1">
      <c r="A223" s="840" t="s">
        <v>528</v>
      </c>
      <c r="B223" s="834" t="s">
        <v>369</v>
      </c>
      <c r="C223" s="1064"/>
      <c r="D223" s="1077"/>
      <c r="E223" s="1077"/>
      <c r="F223" s="1065">
        <v>0.15</v>
      </c>
    </row>
    <row r="224" spans="1:6" ht="14.5" thickBot="1">
      <c r="A224" s="840" t="s">
        <v>528</v>
      </c>
      <c r="B224" s="834" t="s">
        <v>379</v>
      </c>
      <c r="C224" s="1064"/>
      <c r="D224" s="1077"/>
      <c r="E224" s="1077"/>
      <c r="F224" s="1065">
        <v>0.15</v>
      </c>
    </row>
    <row r="225" spans="1:6" ht="14.5" thickBot="1">
      <c r="A225" s="840" t="s">
        <v>528</v>
      </c>
      <c r="B225" s="834" t="s">
        <v>947</v>
      </c>
      <c r="C225" s="1064">
        <v>0.15</v>
      </c>
      <c r="D225" s="1064">
        <v>0.15</v>
      </c>
      <c r="E225" s="1064">
        <v>0.15</v>
      </c>
      <c r="F225" s="1065">
        <v>0.15</v>
      </c>
    </row>
    <row r="226" spans="1:6" ht="14.5" thickBot="1">
      <c r="A226" s="840" t="s">
        <v>528</v>
      </c>
      <c r="B226" s="834" t="s">
        <v>397</v>
      </c>
      <c r="C226" s="1064">
        <v>0.15</v>
      </c>
      <c r="D226" s="1064">
        <v>0.15</v>
      </c>
      <c r="E226" s="1064">
        <v>0.15</v>
      </c>
      <c r="F226" s="1065">
        <v>0.14799999999999999</v>
      </c>
    </row>
    <row r="227" spans="1:6" ht="14.5" thickBot="1">
      <c r="A227" s="840" t="s">
        <v>528</v>
      </c>
      <c r="B227" s="834" t="s">
        <v>948</v>
      </c>
      <c r="C227" s="1064">
        <v>0.15</v>
      </c>
      <c r="D227" s="1064">
        <v>0.15</v>
      </c>
      <c r="E227" s="1064">
        <v>0.15</v>
      </c>
      <c r="F227" s="1065">
        <v>0.15</v>
      </c>
    </row>
    <row r="228" spans="1:6" ht="14.5" thickBot="1">
      <c r="A228" s="840" t="s">
        <v>528</v>
      </c>
      <c r="B228" s="834" t="s">
        <v>412</v>
      </c>
      <c r="C228" s="1064">
        <v>0.15</v>
      </c>
      <c r="D228" s="1064">
        <v>0.15</v>
      </c>
      <c r="E228" s="1064">
        <v>0.15</v>
      </c>
      <c r="F228" s="1065">
        <v>0.15</v>
      </c>
    </row>
    <row r="229" spans="1:6" ht="14.5" thickBot="1">
      <c r="A229" s="840" t="s">
        <v>528</v>
      </c>
      <c r="B229" s="834" t="s">
        <v>419</v>
      </c>
      <c r="C229" s="1064">
        <v>0.15</v>
      </c>
      <c r="D229" s="1064">
        <v>0.15</v>
      </c>
      <c r="E229" s="1064">
        <v>0.15</v>
      </c>
      <c r="F229" s="1076"/>
    </row>
    <row r="230" spans="1:6" ht="14.5" thickBot="1">
      <c r="A230" s="840" t="s">
        <v>528</v>
      </c>
      <c r="B230" s="834" t="s">
        <v>426</v>
      </c>
      <c r="C230" s="1064">
        <v>0.14499999999999999</v>
      </c>
      <c r="D230" s="1064">
        <v>0.14499999999999999</v>
      </c>
      <c r="E230" s="1064">
        <v>0.14399999999999999</v>
      </c>
      <c r="F230" s="1076"/>
    </row>
    <row r="231" spans="1:6" ht="14.5" thickBot="1">
      <c r="A231" s="840" t="s">
        <v>528</v>
      </c>
      <c r="B231" s="834" t="s">
        <v>949</v>
      </c>
      <c r="C231" s="1064">
        <v>0.128</v>
      </c>
      <c r="D231" s="1064">
        <v>0.125</v>
      </c>
      <c r="E231" s="1064">
        <v>0.13200000000000001</v>
      </c>
      <c r="F231" s="1076"/>
    </row>
    <row r="232" spans="1:6" ht="14.5" thickBot="1">
      <c r="A232" s="840" t="s">
        <v>528</v>
      </c>
      <c r="B232" s="834" t="s">
        <v>950</v>
      </c>
      <c r="C232" s="1064">
        <v>0.14499999999999999</v>
      </c>
      <c r="D232" s="1064">
        <v>0.14399999999999999</v>
      </c>
      <c r="E232" s="1064">
        <v>0.14599999999999999</v>
      </c>
      <c r="F232" s="1065">
        <v>0.13800000000000001</v>
      </c>
    </row>
    <row r="233" spans="1:6" ht="14.5" thickBot="1">
      <c r="A233" s="840" t="s">
        <v>528</v>
      </c>
      <c r="B233" s="834" t="s">
        <v>951</v>
      </c>
      <c r="C233" s="1064">
        <v>0.14499999999999999</v>
      </c>
      <c r="D233" s="1064">
        <v>0.14299999999999999</v>
      </c>
      <c r="E233" s="1064">
        <v>0.14199999999999999</v>
      </c>
      <c r="F233" s="1076"/>
    </row>
    <row r="234" spans="1:6" ht="14.5" thickBot="1">
      <c r="A234" s="840" t="s">
        <v>528</v>
      </c>
      <c r="B234" s="834" t="s">
        <v>952</v>
      </c>
      <c r="C234" s="1064">
        <v>0.14000000000000001</v>
      </c>
      <c r="D234" s="1064">
        <v>0.14000000000000001</v>
      </c>
      <c r="E234" s="1064">
        <v>0.14399999999999999</v>
      </c>
      <c r="F234" s="1076"/>
    </row>
    <row r="235" spans="1:6" ht="14.5" thickBot="1">
      <c r="A235" s="840" t="s">
        <v>528</v>
      </c>
      <c r="B235" s="834" t="s">
        <v>953</v>
      </c>
      <c r="C235" s="1064">
        <v>0.14099999999999999</v>
      </c>
      <c r="D235" s="1064">
        <v>0.14199999999999999</v>
      </c>
      <c r="E235" s="1064">
        <v>0.14499999999999999</v>
      </c>
      <c r="F235" s="1065">
        <v>0.15</v>
      </c>
    </row>
    <row r="236" spans="1:6" ht="14.5" thickBot="1">
      <c r="A236" s="840" t="s">
        <v>528</v>
      </c>
      <c r="B236" s="834" t="s">
        <v>461</v>
      </c>
      <c r="C236" s="1077"/>
      <c r="D236" s="1077"/>
      <c r="E236" s="1077"/>
      <c r="F236" s="1065">
        <v>0.14299999999999999</v>
      </c>
    </row>
    <row r="237" spans="1:6" ht="26.5" thickBot="1">
      <c r="A237" s="840" t="s">
        <v>528</v>
      </c>
      <c r="B237" s="834" t="s">
        <v>954</v>
      </c>
      <c r="C237" s="1077"/>
      <c r="D237" s="1077"/>
      <c r="E237" s="1077"/>
      <c r="F237" s="1065">
        <v>0.05</v>
      </c>
    </row>
    <row r="238" spans="1:6" ht="26.5" thickBot="1">
      <c r="A238" s="840" t="s">
        <v>528</v>
      </c>
      <c r="B238" s="834" t="s">
        <v>955</v>
      </c>
      <c r="C238" s="1077"/>
      <c r="D238" s="1077"/>
      <c r="E238" s="1077"/>
      <c r="F238" s="1065">
        <v>0.05</v>
      </c>
    </row>
    <row r="239" spans="1:6" ht="26.5" thickBot="1">
      <c r="A239" s="840" t="s">
        <v>528</v>
      </c>
      <c r="B239" s="834" t="s">
        <v>956</v>
      </c>
      <c r="C239" s="1077"/>
      <c r="D239" s="1077"/>
      <c r="E239" s="1077"/>
      <c r="F239" s="1065">
        <v>0.05</v>
      </c>
    </row>
    <row r="240" spans="1:6" ht="26.5" thickBot="1">
      <c r="A240" s="840" t="s">
        <v>528</v>
      </c>
      <c r="B240" s="834" t="s">
        <v>957</v>
      </c>
      <c r="C240" s="1077"/>
      <c r="D240" s="1077"/>
      <c r="E240" s="1077"/>
      <c r="F240" s="1065">
        <v>0.05</v>
      </c>
    </row>
    <row r="241" spans="1:6" ht="26.5" thickBot="1">
      <c r="A241" s="840" t="s">
        <v>528</v>
      </c>
      <c r="B241" s="834" t="s">
        <v>958</v>
      </c>
      <c r="C241" s="1077"/>
      <c r="D241" s="1077"/>
      <c r="E241" s="1077"/>
      <c r="F241" s="1065">
        <v>0.05</v>
      </c>
    </row>
    <row r="242" spans="1:6" ht="26.5" thickBot="1">
      <c r="A242" s="840" t="s">
        <v>528</v>
      </c>
      <c r="B242" s="834" t="s">
        <v>959</v>
      </c>
      <c r="C242" s="1077"/>
      <c r="D242" s="1077"/>
      <c r="E242" s="1077"/>
      <c r="F242" s="1065">
        <v>0.05</v>
      </c>
    </row>
    <row r="243" spans="1:6" ht="26.5" thickBot="1">
      <c r="A243" s="840" t="s">
        <v>528</v>
      </c>
      <c r="B243" s="834" t="s">
        <v>960</v>
      </c>
      <c r="C243" s="1077"/>
      <c r="D243" s="1077"/>
      <c r="E243" s="1077"/>
      <c r="F243" s="1065">
        <v>0.05</v>
      </c>
    </row>
    <row r="244" spans="1:6" ht="26.5" thickBot="1">
      <c r="A244" s="850" t="s">
        <v>528</v>
      </c>
      <c r="B244" s="846" t="s">
        <v>961</v>
      </c>
      <c r="C244" s="1074"/>
      <c r="D244" s="1074"/>
      <c r="E244" s="1074"/>
      <c r="F244" s="1067">
        <v>0.05</v>
      </c>
    </row>
    <row r="245" spans="1:6" ht="14.5" thickBot="1">
      <c r="A245" s="840" t="s">
        <v>530</v>
      </c>
      <c r="B245" s="841" t="s">
        <v>962</v>
      </c>
      <c r="C245" s="1062">
        <v>0.15</v>
      </c>
      <c r="D245" s="1062">
        <v>0.15</v>
      </c>
      <c r="E245" s="1062">
        <v>0.15</v>
      </c>
      <c r="F245" s="1063">
        <v>0.14299999999999999</v>
      </c>
    </row>
    <row r="246" spans="1:6" ht="14.5" thickBot="1">
      <c r="A246" s="840" t="s">
        <v>530</v>
      </c>
      <c r="B246" s="834" t="s">
        <v>195</v>
      </c>
      <c r="C246" s="1064">
        <v>0.15</v>
      </c>
      <c r="D246" s="1064">
        <v>0.15</v>
      </c>
      <c r="E246" s="1064">
        <v>0.15</v>
      </c>
      <c r="F246" s="1065">
        <v>0.114</v>
      </c>
    </row>
    <row r="247" spans="1:6" ht="14.5" thickBot="1">
      <c r="A247" s="840" t="s">
        <v>530</v>
      </c>
      <c r="B247" s="834" t="s">
        <v>963</v>
      </c>
      <c r="C247" s="1064">
        <v>0.15</v>
      </c>
      <c r="D247" s="1064">
        <v>0.15</v>
      </c>
      <c r="E247" s="1064">
        <v>0.15</v>
      </c>
      <c r="F247" s="1065">
        <v>0.15</v>
      </c>
    </row>
    <row r="248" spans="1:6" ht="14.5" thickBot="1">
      <c r="A248" s="840" t="s">
        <v>530</v>
      </c>
      <c r="B248" s="834" t="s">
        <v>964</v>
      </c>
      <c r="C248" s="1064">
        <v>0.15</v>
      </c>
      <c r="D248" s="1064">
        <v>0.15</v>
      </c>
      <c r="E248" s="1064">
        <v>0.15</v>
      </c>
      <c r="F248" s="1065">
        <v>0.14000000000000001</v>
      </c>
    </row>
    <row r="249" spans="1:6" ht="14.5" thickBot="1">
      <c r="A249" s="840" t="s">
        <v>530</v>
      </c>
      <c r="B249" s="834" t="s">
        <v>965</v>
      </c>
      <c r="C249" s="1064">
        <v>0.15</v>
      </c>
      <c r="D249" s="1064">
        <v>0.14899999999999999</v>
      </c>
      <c r="E249" s="1064">
        <v>0.15</v>
      </c>
      <c r="F249" s="1065">
        <v>0.1</v>
      </c>
    </row>
    <row r="250" spans="1:6" ht="14.5" thickBot="1">
      <c r="A250" s="840" t="s">
        <v>530</v>
      </c>
      <c r="B250" s="834" t="s">
        <v>966</v>
      </c>
      <c r="C250" s="1064">
        <v>0.15</v>
      </c>
      <c r="D250" s="1064">
        <v>0.15</v>
      </c>
      <c r="E250" s="1064">
        <v>0.15</v>
      </c>
      <c r="F250" s="1065">
        <v>0.14399999999999999</v>
      </c>
    </row>
    <row r="251" spans="1:6" ht="14.5" thickBot="1">
      <c r="A251" s="840" t="s">
        <v>530</v>
      </c>
      <c r="B251" s="834" t="s">
        <v>255</v>
      </c>
      <c r="C251" s="1064">
        <v>0.15</v>
      </c>
      <c r="D251" s="1064">
        <v>0.15</v>
      </c>
      <c r="E251" s="1064">
        <v>0.15</v>
      </c>
      <c r="F251" s="1065">
        <v>0.14299999999999999</v>
      </c>
    </row>
    <row r="252" spans="1:6" ht="14.5" thickBot="1">
      <c r="A252" s="840" t="s">
        <v>530</v>
      </c>
      <c r="B252" s="834" t="s">
        <v>266</v>
      </c>
      <c r="C252" s="1064">
        <v>0.15</v>
      </c>
      <c r="D252" s="1064">
        <v>0.15</v>
      </c>
      <c r="E252" s="1064">
        <v>0.15</v>
      </c>
      <c r="F252" s="1065">
        <v>0.1</v>
      </c>
    </row>
    <row r="253" spans="1:6" ht="14.5" thickBot="1">
      <c r="A253" s="840" t="s">
        <v>530</v>
      </c>
      <c r="B253" s="834" t="s">
        <v>278</v>
      </c>
      <c r="C253" s="1064">
        <v>0.15</v>
      </c>
      <c r="D253" s="1064">
        <v>0.15</v>
      </c>
      <c r="E253" s="1064">
        <v>0.15</v>
      </c>
      <c r="F253" s="1065">
        <v>0.1</v>
      </c>
    </row>
    <row r="254" spans="1:6" ht="14.5" thickBot="1">
      <c r="A254" s="840" t="s">
        <v>530</v>
      </c>
      <c r="B254" s="834" t="s">
        <v>288</v>
      </c>
      <c r="C254" s="1077"/>
      <c r="D254" s="1077"/>
      <c r="E254" s="1077"/>
      <c r="F254" s="1065">
        <v>0.15</v>
      </c>
    </row>
    <row r="255" spans="1:6" ht="14.5" thickBot="1">
      <c r="A255" s="840" t="s">
        <v>530</v>
      </c>
      <c r="B255" s="834" t="s">
        <v>298</v>
      </c>
      <c r="C255" s="1077"/>
      <c r="D255" s="1077"/>
      <c r="E255" s="1077"/>
      <c r="F255" s="1065">
        <v>0.14299999999999999</v>
      </c>
    </row>
    <row r="256" spans="1:6" ht="14.5" thickBot="1">
      <c r="A256" s="840" t="s">
        <v>530</v>
      </c>
      <c r="B256" s="834" t="s">
        <v>967</v>
      </c>
      <c r="C256" s="1064">
        <v>0.14599999999999999</v>
      </c>
      <c r="D256" s="1064">
        <v>0.14699999999999999</v>
      </c>
      <c r="E256" s="1064">
        <v>0.15</v>
      </c>
      <c r="F256" s="1065">
        <v>0.13200000000000001</v>
      </c>
    </row>
    <row r="257" spans="1:6" ht="14.5" thickBot="1">
      <c r="A257" s="840" t="s">
        <v>530</v>
      </c>
      <c r="B257" s="834" t="s">
        <v>318</v>
      </c>
      <c r="C257" s="1064">
        <v>0.15</v>
      </c>
      <c r="D257" s="1064">
        <v>0.15</v>
      </c>
      <c r="E257" s="1064">
        <v>0.15</v>
      </c>
      <c r="F257" s="1065">
        <v>0.13900000000000001</v>
      </c>
    </row>
    <row r="258" spans="1:6" ht="14.5" thickBot="1">
      <c r="A258" s="840" t="s">
        <v>530</v>
      </c>
      <c r="B258" s="834" t="s">
        <v>329</v>
      </c>
      <c r="C258" s="1064">
        <v>0.15</v>
      </c>
      <c r="D258" s="1064">
        <v>0.15</v>
      </c>
      <c r="E258" s="1064">
        <v>0.15</v>
      </c>
      <c r="F258" s="1065">
        <v>0.13</v>
      </c>
    </row>
    <row r="259" spans="1:6" ht="14.5" thickBot="1">
      <c r="A259" s="840" t="s">
        <v>530</v>
      </c>
      <c r="B259" s="834" t="s">
        <v>968</v>
      </c>
      <c r="C259" s="1064">
        <v>0.14799999999999999</v>
      </c>
      <c r="D259" s="1064">
        <v>0.14899999999999999</v>
      </c>
      <c r="E259" s="1064">
        <v>0.15</v>
      </c>
      <c r="F259" s="1065">
        <v>0.13700000000000001</v>
      </c>
    </row>
    <row r="260" spans="1:6" ht="14.5" thickBot="1">
      <c r="A260" s="840" t="s">
        <v>530</v>
      </c>
      <c r="B260" s="834" t="s">
        <v>350</v>
      </c>
      <c r="C260" s="1064">
        <v>0.15</v>
      </c>
      <c r="D260" s="1064">
        <v>0.15</v>
      </c>
      <c r="E260" s="1064">
        <v>0.15</v>
      </c>
      <c r="F260" s="1065">
        <v>0.14199999999999999</v>
      </c>
    </row>
    <row r="261" spans="1:6" ht="14.5" thickBot="1">
      <c r="A261" s="840" t="s">
        <v>530</v>
      </c>
      <c r="B261" s="834" t="s">
        <v>360</v>
      </c>
      <c r="C261" s="1064">
        <v>0.15</v>
      </c>
      <c r="D261" s="1064">
        <v>0.15</v>
      </c>
      <c r="E261" s="1064">
        <v>0.14899999999999999</v>
      </c>
      <c r="F261" s="1065">
        <v>0.14799999999999999</v>
      </c>
    </row>
    <row r="262" spans="1:6" ht="14.5" thickBot="1">
      <c r="A262" s="840" t="s">
        <v>530</v>
      </c>
      <c r="B262" s="834" t="s">
        <v>370</v>
      </c>
      <c r="C262" s="1064">
        <v>0.15</v>
      </c>
      <c r="D262" s="1064">
        <v>0.15</v>
      </c>
      <c r="E262" s="1064">
        <v>0.15</v>
      </c>
      <c r="F262" s="1076"/>
    </row>
    <row r="263" spans="1:6" ht="14.5" thickBot="1">
      <c r="A263" s="840" t="s">
        <v>530</v>
      </c>
      <c r="B263" s="834" t="s">
        <v>969</v>
      </c>
      <c r="C263" s="1064">
        <v>0.14899999999999999</v>
      </c>
      <c r="D263" s="1064">
        <v>0.14899999999999999</v>
      </c>
      <c r="E263" s="1064">
        <v>0.15</v>
      </c>
      <c r="F263" s="1065">
        <v>0.13</v>
      </c>
    </row>
    <row r="264" spans="1:6" ht="14.5" thickBot="1">
      <c r="A264" s="840" t="s">
        <v>530</v>
      </c>
      <c r="B264" s="834" t="s">
        <v>389</v>
      </c>
      <c r="C264" s="1064">
        <v>0.14799999999999999</v>
      </c>
      <c r="D264" s="1064">
        <v>0.14699999999999999</v>
      </c>
      <c r="E264" s="1064">
        <v>0.15</v>
      </c>
      <c r="F264" s="1065">
        <v>7.8E-2</v>
      </c>
    </row>
    <row r="265" spans="1:6" ht="14.5" thickBot="1">
      <c r="A265" s="840" t="s">
        <v>530</v>
      </c>
      <c r="B265" s="834" t="s">
        <v>398</v>
      </c>
      <c r="C265" s="1064">
        <v>0.15</v>
      </c>
      <c r="D265" s="1064">
        <v>0.15</v>
      </c>
      <c r="E265" s="1064">
        <v>0.15</v>
      </c>
      <c r="F265" s="1065">
        <v>7.3999999999999996E-2</v>
      </c>
    </row>
    <row r="266" spans="1:6" ht="14.5" thickBot="1">
      <c r="A266" s="840" t="s">
        <v>530</v>
      </c>
      <c r="B266" s="834" t="s">
        <v>406</v>
      </c>
      <c r="C266" s="1064">
        <v>0.14699999999999999</v>
      </c>
      <c r="D266" s="1064">
        <v>0.14699999999999999</v>
      </c>
      <c r="E266" s="1064">
        <v>0.15</v>
      </c>
      <c r="F266" s="1065">
        <v>0.14299999999999999</v>
      </c>
    </row>
    <row r="267" spans="1:6" ht="14.5" thickBot="1">
      <c r="A267" s="840" t="s">
        <v>530</v>
      </c>
      <c r="B267" s="834" t="s">
        <v>413</v>
      </c>
      <c r="C267" s="1064">
        <v>0.14199999999999999</v>
      </c>
      <c r="D267" s="1064">
        <v>0.14299999999999999</v>
      </c>
      <c r="E267" s="1064">
        <v>0.15</v>
      </c>
      <c r="F267" s="1076"/>
    </row>
    <row r="268" spans="1:6" ht="14.5" thickBot="1">
      <c r="A268" s="840" t="s">
        <v>530</v>
      </c>
      <c r="B268" s="834" t="s">
        <v>970</v>
      </c>
      <c r="C268" s="1064">
        <v>0.15</v>
      </c>
      <c r="D268" s="1064">
        <v>0.15</v>
      </c>
      <c r="E268" s="1064">
        <v>0.15</v>
      </c>
      <c r="F268" s="1065">
        <v>0.13</v>
      </c>
    </row>
    <row r="269" spans="1:6" ht="14.5" thickBot="1">
      <c r="A269" s="840" t="s">
        <v>530</v>
      </c>
      <c r="B269" s="834" t="s">
        <v>427</v>
      </c>
      <c r="C269" s="1064">
        <v>0.15</v>
      </c>
      <c r="D269" s="1064">
        <v>0.15</v>
      </c>
      <c r="E269" s="1064">
        <v>0.15</v>
      </c>
      <c r="F269" s="1065">
        <v>0.14299999999999999</v>
      </c>
    </row>
    <row r="270" spans="1:6" ht="14.5" thickBot="1">
      <c r="A270" s="840" t="s">
        <v>530</v>
      </c>
      <c r="B270" s="834" t="s">
        <v>434</v>
      </c>
      <c r="C270" s="1064">
        <v>0.14499999999999999</v>
      </c>
      <c r="D270" s="1064">
        <v>0.14499999999999999</v>
      </c>
      <c r="E270" s="1064">
        <v>0.15</v>
      </c>
      <c r="F270" s="1065">
        <v>0.14699999999999999</v>
      </c>
    </row>
    <row r="271" spans="1:6" ht="14.5" thickBot="1">
      <c r="A271" s="840" t="s">
        <v>530</v>
      </c>
      <c r="B271" s="834" t="s">
        <v>441</v>
      </c>
      <c r="C271" s="1064">
        <v>0.15</v>
      </c>
      <c r="D271" s="1064">
        <v>0.15</v>
      </c>
      <c r="E271" s="1064">
        <v>0.15</v>
      </c>
      <c r="F271" s="1065">
        <v>0.13800000000000001</v>
      </c>
    </row>
    <row r="272" spans="1:6" ht="14.5" thickBot="1">
      <c r="A272" s="840" t="s">
        <v>530</v>
      </c>
      <c r="B272" s="834" t="s">
        <v>448</v>
      </c>
      <c r="C272" s="1077"/>
      <c r="D272" s="1077"/>
      <c r="E272" s="1077"/>
      <c r="F272" s="1065">
        <v>0.14000000000000001</v>
      </c>
    </row>
    <row r="273" spans="1:6" ht="14.5" thickBot="1">
      <c r="A273" s="840" t="s">
        <v>530</v>
      </c>
      <c r="B273" s="834" t="s">
        <v>971</v>
      </c>
      <c r="C273" s="1064">
        <v>0.14199999999999999</v>
      </c>
      <c r="D273" s="1064">
        <v>0.14299999999999999</v>
      </c>
      <c r="E273" s="1064">
        <v>0.15</v>
      </c>
      <c r="F273" s="1065">
        <v>0.1</v>
      </c>
    </row>
    <row r="274" spans="1:6" ht="14.5" thickBot="1">
      <c r="A274" s="840" t="s">
        <v>530</v>
      </c>
      <c r="B274" s="834" t="s">
        <v>972</v>
      </c>
      <c r="C274" s="1064">
        <v>0.14799999999999999</v>
      </c>
      <c r="D274" s="1064">
        <v>0.14799999999999999</v>
      </c>
      <c r="E274" s="1064">
        <v>0.15</v>
      </c>
      <c r="F274" s="1065">
        <v>6.7000000000000004E-2</v>
      </c>
    </row>
    <row r="275" spans="1:6" ht="14.5" thickBot="1">
      <c r="A275" s="840" t="s">
        <v>530</v>
      </c>
      <c r="B275" s="834" t="s">
        <v>973</v>
      </c>
      <c r="C275" s="1064">
        <v>0.15</v>
      </c>
      <c r="D275" s="1064">
        <v>0.15</v>
      </c>
      <c r="E275" s="1064">
        <v>0.15</v>
      </c>
      <c r="F275" s="1065">
        <v>0.15</v>
      </c>
    </row>
    <row r="276" spans="1:6" ht="14.5" thickBot="1">
      <c r="A276" s="840" t="s">
        <v>530</v>
      </c>
      <c r="B276" s="834" t="s">
        <v>974</v>
      </c>
      <c r="C276" s="1064">
        <v>0.14499999999999999</v>
      </c>
      <c r="D276" s="1064">
        <v>0.14299999999999999</v>
      </c>
      <c r="E276" s="1064">
        <v>0.15</v>
      </c>
      <c r="F276" s="1065">
        <v>5.8999999999999997E-2</v>
      </c>
    </row>
    <row r="277" spans="1:6" ht="14.5" thickBot="1">
      <c r="A277" s="840" t="s">
        <v>530</v>
      </c>
      <c r="B277" s="834" t="s">
        <v>975</v>
      </c>
      <c r="C277" s="1064">
        <v>0.15</v>
      </c>
      <c r="D277" s="1064">
        <v>0.15</v>
      </c>
      <c r="E277" s="1064">
        <v>0.15</v>
      </c>
      <c r="F277" s="1065">
        <v>0.121</v>
      </c>
    </row>
    <row r="278" spans="1:6" ht="14.5" thickBot="1">
      <c r="A278" s="840" t="s">
        <v>530</v>
      </c>
      <c r="B278" s="834" t="s">
        <v>976</v>
      </c>
      <c r="C278" s="1064">
        <v>0.15</v>
      </c>
      <c r="D278" s="1064">
        <v>0.15</v>
      </c>
      <c r="E278" s="1064">
        <v>0.15</v>
      </c>
      <c r="F278" s="1065">
        <v>0.13800000000000001</v>
      </c>
    </row>
    <row r="279" spans="1:6" ht="26.5" thickBot="1">
      <c r="A279" s="840" t="s">
        <v>530</v>
      </c>
      <c r="B279" s="834" t="s">
        <v>977</v>
      </c>
      <c r="C279" s="1077"/>
      <c r="D279" s="1077"/>
      <c r="E279" s="1077"/>
      <c r="F279" s="1065">
        <v>0.05</v>
      </c>
    </row>
    <row r="280" spans="1:6" ht="26.5" thickBot="1">
      <c r="A280" s="840" t="s">
        <v>530</v>
      </c>
      <c r="B280" s="834" t="s">
        <v>978</v>
      </c>
      <c r="C280" s="1077"/>
      <c r="D280" s="1077"/>
      <c r="E280" s="1077"/>
      <c r="F280" s="1065">
        <v>0.05</v>
      </c>
    </row>
    <row r="281" spans="1:6" ht="26.5" thickBot="1">
      <c r="A281" s="840" t="s">
        <v>530</v>
      </c>
      <c r="B281" s="834" t="s">
        <v>979</v>
      </c>
      <c r="C281" s="1077"/>
      <c r="D281" s="1077"/>
      <c r="E281" s="1077"/>
      <c r="F281" s="1065">
        <v>0.05</v>
      </c>
    </row>
    <row r="282" spans="1:6" ht="26.5" thickBot="1">
      <c r="A282" s="840" t="s">
        <v>530</v>
      </c>
      <c r="B282" s="834" t="s">
        <v>980</v>
      </c>
      <c r="C282" s="1077"/>
      <c r="D282" s="1077"/>
      <c r="E282" s="1077"/>
      <c r="F282" s="1065">
        <v>0.05</v>
      </c>
    </row>
    <row r="283" spans="1:6" ht="26.5" thickBot="1">
      <c r="A283" s="840" t="s">
        <v>530</v>
      </c>
      <c r="B283" s="834" t="s">
        <v>981</v>
      </c>
      <c r="C283" s="1077"/>
      <c r="D283" s="1077"/>
      <c r="E283" s="1077"/>
      <c r="F283" s="1065">
        <v>0.05</v>
      </c>
    </row>
    <row r="284" spans="1:6" ht="26.5" thickBot="1">
      <c r="A284" s="840" t="s">
        <v>530</v>
      </c>
      <c r="B284" s="834" t="s">
        <v>982</v>
      </c>
      <c r="C284" s="1077"/>
      <c r="D284" s="1077"/>
      <c r="E284" s="1077"/>
      <c r="F284" s="1065">
        <v>0.05</v>
      </c>
    </row>
    <row r="285" spans="1:6" ht="26.5" thickBot="1">
      <c r="A285" s="840" t="s">
        <v>530</v>
      </c>
      <c r="B285" s="834" t="s">
        <v>983</v>
      </c>
      <c r="C285" s="1077"/>
      <c r="D285" s="1077"/>
      <c r="E285" s="1077"/>
      <c r="F285" s="1065">
        <v>0.05</v>
      </c>
    </row>
    <row r="286" spans="1:6" ht="26.5" thickBot="1">
      <c r="A286" s="840" t="s">
        <v>530</v>
      </c>
      <c r="B286" s="834" t="s">
        <v>984</v>
      </c>
      <c r="C286" s="1077"/>
      <c r="D286" s="1077"/>
      <c r="E286" s="1077"/>
      <c r="F286" s="1065">
        <v>0.05</v>
      </c>
    </row>
    <row r="287" spans="1:6" ht="26.5" thickBot="1">
      <c r="A287" s="840" t="s">
        <v>530</v>
      </c>
      <c r="B287" s="834" t="s">
        <v>985</v>
      </c>
      <c r="C287" s="1077"/>
      <c r="D287" s="1077"/>
      <c r="E287" s="1077"/>
      <c r="F287" s="1065">
        <v>0.05</v>
      </c>
    </row>
    <row r="288" spans="1:6" ht="26.5" thickBot="1">
      <c r="A288" s="840" t="s">
        <v>530</v>
      </c>
      <c r="B288" s="834" t="s">
        <v>986</v>
      </c>
      <c r="C288" s="1077"/>
      <c r="D288" s="1077"/>
      <c r="E288" s="1077"/>
      <c r="F288" s="1065">
        <v>0.05</v>
      </c>
    </row>
    <row r="289" spans="1:6" ht="26.5" thickBot="1">
      <c r="A289" s="850" t="s">
        <v>530</v>
      </c>
      <c r="B289" s="846" t="s">
        <v>987</v>
      </c>
      <c r="C289" s="1074"/>
      <c r="D289" s="1074"/>
      <c r="E289" s="1074"/>
      <c r="F289" s="1067">
        <v>0.05</v>
      </c>
    </row>
    <row r="290" spans="1:6" ht="14.5" thickBot="1">
      <c r="A290" s="840" t="s">
        <v>534</v>
      </c>
      <c r="B290" s="841" t="s">
        <v>988</v>
      </c>
      <c r="C290" s="1062">
        <v>0.15</v>
      </c>
      <c r="D290" s="1062">
        <v>0.15</v>
      </c>
      <c r="E290" s="1062">
        <v>0.15</v>
      </c>
      <c r="F290" s="1079"/>
    </row>
    <row r="291" spans="1:6" ht="14.5" thickBot="1">
      <c r="A291" s="840" t="s">
        <v>534</v>
      </c>
      <c r="B291" s="834" t="s">
        <v>196</v>
      </c>
      <c r="C291" s="1064">
        <v>0.15</v>
      </c>
      <c r="D291" s="1064">
        <v>0.15</v>
      </c>
      <c r="E291" s="1064">
        <v>0.15</v>
      </c>
      <c r="F291" s="1076"/>
    </row>
    <row r="292" spans="1:6" ht="14.5" thickBot="1">
      <c r="A292" s="840" t="s">
        <v>534</v>
      </c>
      <c r="B292" s="834" t="s">
        <v>989</v>
      </c>
      <c r="C292" s="1064">
        <v>0.15</v>
      </c>
      <c r="D292" s="1064">
        <v>0.15</v>
      </c>
      <c r="E292" s="1064">
        <v>0.15</v>
      </c>
      <c r="F292" s="1065">
        <v>0.14699999999999999</v>
      </c>
    </row>
    <row r="293" spans="1:6" ht="14.5" thickBot="1">
      <c r="A293" s="840" t="s">
        <v>534</v>
      </c>
      <c r="B293" s="834" t="s">
        <v>990</v>
      </c>
      <c r="C293" s="1077"/>
      <c r="D293" s="1077"/>
      <c r="E293" s="1077"/>
      <c r="F293" s="1065">
        <v>0.1</v>
      </c>
    </row>
    <row r="294" spans="1:6" ht="14.5" thickBot="1">
      <c r="A294" s="840" t="s">
        <v>534</v>
      </c>
      <c r="B294" s="834" t="s">
        <v>991</v>
      </c>
      <c r="C294" s="1064">
        <v>0.15</v>
      </c>
      <c r="D294" s="1064">
        <v>0.15</v>
      </c>
      <c r="E294" s="1064">
        <v>0.15</v>
      </c>
      <c r="F294" s="1065">
        <v>0.15</v>
      </c>
    </row>
    <row r="295" spans="1:6" ht="14.5" thickBot="1">
      <c r="A295" s="840" t="s">
        <v>534</v>
      </c>
      <c r="B295" s="834" t="s">
        <v>234</v>
      </c>
      <c r="C295" s="1064">
        <v>0.15</v>
      </c>
      <c r="D295" s="1064">
        <v>0.15</v>
      </c>
      <c r="E295" s="1064">
        <v>0.15</v>
      </c>
      <c r="F295" s="1065">
        <v>0.15</v>
      </c>
    </row>
    <row r="296" spans="1:6" ht="14.5" thickBot="1">
      <c r="A296" s="840" t="s">
        <v>534</v>
      </c>
      <c r="B296" s="834" t="s">
        <v>992</v>
      </c>
      <c r="C296" s="1064">
        <v>0.15</v>
      </c>
      <c r="D296" s="1064">
        <v>0.15</v>
      </c>
      <c r="E296" s="1064">
        <v>0.15</v>
      </c>
      <c r="F296" s="1065">
        <v>0.15</v>
      </c>
    </row>
    <row r="297" spans="1:6" ht="14.5" thickBot="1">
      <c r="A297" s="840" t="s">
        <v>534</v>
      </c>
      <c r="B297" s="834" t="s">
        <v>993</v>
      </c>
      <c r="C297" s="1064">
        <v>0.14799999999999999</v>
      </c>
      <c r="D297" s="1064">
        <v>0.14899999999999999</v>
      </c>
      <c r="E297" s="1064">
        <v>0.15</v>
      </c>
      <c r="F297" s="1065">
        <v>0.13700000000000001</v>
      </c>
    </row>
    <row r="298" spans="1:6" ht="14.5" thickBot="1">
      <c r="A298" s="840" t="s">
        <v>534</v>
      </c>
      <c r="B298" s="834" t="s">
        <v>267</v>
      </c>
      <c r="C298" s="1064">
        <v>0.13400000000000001</v>
      </c>
      <c r="D298" s="1064">
        <v>0.13400000000000001</v>
      </c>
      <c r="E298" s="1064">
        <v>0.14499999999999999</v>
      </c>
      <c r="F298" s="1065">
        <v>0.14799999999999999</v>
      </c>
    </row>
    <row r="299" spans="1:6" ht="14.5" thickBot="1">
      <c r="A299" s="840" t="s">
        <v>534</v>
      </c>
      <c r="B299" s="834" t="s">
        <v>279</v>
      </c>
      <c r="C299" s="1064">
        <v>0.15</v>
      </c>
      <c r="D299" s="1064">
        <v>0.15</v>
      </c>
      <c r="E299" s="1064">
        <v>0.15</v>
      </c>
      <c r="F299" s="1076"/>
    </row>
    <row r="300" spans="1:6" ht="14.5" thickBot="1">
      <c r="A300" s="840" t="s">
        <v>534</v>
      </c>
      <c r="B300" s="834" t="s">
        <v>994</v>
      </c>
      <c r="C300" s="1064">
        <v>0.15</v>
      </c>
      <c r="D300" s="1064">
        <v>0.15</v>
      </c>
      <c r="E300" s="1064">
        <v>0.15</v>
      </c>
      <c r="F300" s="1065">
        <v>0.15</v>
      </c>
    </row>
    <row r="301" spans="1:6" ht="14.5" thickBot="1">
      <c r="A301" s="840" t="s">
        <v>534</v>
      </c>
      <c r="B301" s="834" t="s">
        <v>299</v>
      </c>
      <c r="C301" s="1064">
        <v>0.15</v>
      </c>
      <c r="D301" s="1064">
        <v>0.15</v>
      </c>
      <c r="E301" s="1064">
        <v>0.15</v>
      </c>
      <c r="F301" s="1076"/>
    </row>
    <row r="302" spans="1:6" ht="14.5" thickBot="1">
      <c r="A302" s="840" t="s">
        <v>534</v>
      </c>
      <c r="B302" s="834" t="s">
        <v>995</v>
      </c>
      <c r="C302" s="1064">
        <v>0.15</v>
      </c>
      <c r="D302" s="1064">
        <v>0.15</v>
      </c>
      <c r="E302" s="1064">
        <v>0.15</v>
      </c>
      <c r="F302" s="1065">
        <v>0.15</v>
      </c>
    </row>
    <row r="303" spans="1:6" ht="14.5" thickBot="1">
      <c r="A303" s="840" t="s">
        <v>534</v>
      </c>
      <c r="B303" s="834" t="s">
        <v>319</v>
      </c>
      <c r="C303" s="1064">
        <v>0.15</v>
      </c>
      <c r="D303" s="1064">
        <v>0.15</v>
      </c>
      <c r="E303" s="1064">
        <v>0.15</v>
      </c>
      <c r="F303" s="1065">
        <v>0.15</v>
      </c>
    </row>
    <row r="304" spans="1:6" ht="14.5" thickBot="1">
      <c r="A304" s="840" t="s">
        <v>534</v>
      </c>
      <c r="B304" s="834" t="s">
        <v>330</v>
      </c>
      <c r="C304" s="1064">
        <v>0.15</v>
      </c>
      <c r="D304" s="1064">
        <v>0.15</v>
      </c>
      <c r="E304" s="1064">
        <v>0.15</v>
      </c>
      <c r="F304" s="1076"/>
    </row>
    <row r="305" spans="1:6" ht="14.5" thickBot="1">
      <c r="A305" s="840" t="s">
        <v>534</v>
      </c>
      <c r="B305" s="834" t="s">
        <v>996</v>
      </c>
      <c r="C305" s="1064">
        <v>0.15</v>
      </c>
      <c r="D305" s="1064">
        <v>0.15</v>
      </c>
      <c r="E305" s="1064">
        <v>0.15</v>
      </c>
      <c r="F305" s="1065">
        <v>0.14000000000000001</v>
      </c>
    </row>
    <row r="306" spans="1:6" ht="14.5" thickBot="1">
      <c r="A306" s="840" t="s">
        <v>534</v>
      </c>
      <c r="B306" s="834" t="s">
        <v>351</v>
      </c>
      <c r="C306" s="1064">
        <v>0.15</v>
      </c>
      <c r="D306" s="1064">
        <v>0.15</v>
      </c>
      <c r="E306" s="1064">
        <v>0.15</v>
      </c>
      <c r="F306" s="1076"/>
    </row>
    <row r="307" spans="1:6" ht="14.5" thickBot="1">
      <c r="A307" s="840" t="s">
        <v>534</v>
      </c>
      <c r="B307" s="834" t="s">
        <v>997</v>
      </c>
      <c r="C307" s="1064">
        <v>0.15</v>
      </c>
      <c r="D307" s="1064">
        <v>0.15</v>
      </c>
      <c r="E307" s="1064">
        <v>0.15</v>
      </c>
      <c r="F307" s="1065">
        <v>0.14299999999999999</v>
      </c>
    </row>
    <row r="308" spans="1:6" ht="14.5" thickBot="1">
      <c r="A308" s="840" t="s">
        <v>534</v>
      </c>
      <c r="B308" s="834" t="s">
        <v>371</v>
      </c>
      <c r="C308" s="1064">
        <v>0.15</v>
      </c>
      <c r="D308" s="1064">
        <v>0.15</v>
      </c>
      <c r="E308" s="1064">
        <v>0.15</v>
      </c>
      <c r="F308" s="1065">
        <v>0.15</v>
      </c>
    </row>
    <row r="309" spans="1:6" ht="14.5" thickBot="1">
      <c r="A309" s="840" t="s">
        <v>534</v>
      </c>
      <c r="B309" s="834" t="s">
        <v>381</v>
      </c>
      <c r="C309" s="1064">
        <v>0.15</v>
      </c>
      <c r="D309" s="1064">
        <v>0.15</v>
      </c>
      <c r="E309" s="1064">
        <v>0.15</v>
      </c>
      <c r="F309" s="1076"/>
    </row>
    <row r="310" spans="1:6" ht="14.5" thickBot="1">
      <c r="A310" s="840" t="s">
        <v>534</v>
      </c>
      <c r="B310" s="834" t="s">
        <v>998</v>
      </c>
      <c r="C310" s="1064">
        <v>0.15</v>
      </c>
      <c r="D310" s="1064">
        <v>0.15</v>
      </c>
      <c r="E310" s="1064">
        <v>0.15</v>
      </c>
      <c r="F310" s="1065">
        <v>0.13700000000000001</v>
      </c>
    </row>
    <row r="311" spans="1:6" ht="14.5" thickBot="1">
      <c r="A311" s="840" t="s">
        <v>534</v>
      </c>
      <c r="B311" s="834" t="s">
        <v>999</v>
      </c>
      <c r="C311" s="1064">
        <v>0.15</v>
      </c>
      <c r="D311" s="1064">
        <v>0.15</v>
      </c>
      <c r="E311" s="1064">
        <v>0.15</v>
      </c>
      <c r="F311" s="1065">
        <v>0.15</v>
      </c>
    </row>
    <row r="312" spans="1:6" ht="14.5" thickBot="1">
      <c r="A312" s="840" t="s">
        <v>534</v>
      </c>
      <c r="B312" s="834" t="s">
        <v>407</v>
      </c>
      <c r="C312" s="1064">
        <v>0.15</v>
      </c>
      <c r="D312" s="1064">
        <v>0.15</v>
      </c>
      <c r="E312" s="1064">
        <v>0.15</v>
      </c>
      <c r="F312" s="1065">
        <v>0.1</v>
      </c>
    </row>
    <row r="313" spans="1:6" ht="14.5" thickBot="1">
      <c r="A313" s="840" t="s">
        <v>534</v>
      </c>
      <c r="B313" s="834" t="s">
        <v>1000</v>
      </c>
      <c r="C313" s="1064">
        <v>0.15</v>
      </c>
      <c r="D313" s="1064">
        <v>0.15</v>
      </c>
      <c r="E313" s="1064">
        <v>0.15</v>
      </c>
      <c r="F313" s="1065">
        <v>0.15</v>
      </c>
    </row>
    <row r="314" spans="1:6" ht="26.5" thickBot="1">
      <c r="A314" s="840" t="s">
        <v>534</v>
      </c>
      <c r="B314" s="834" t="s">
        <v>1001</v>
      </c>
      <c r="C314" s="1077"/>
      <c r="D314" s="1077"/>
      <c r="E314" s="1077"/>
      <c r="F314" s="1065">
        <v>0.05</v>
      </c>
    </row>
    <row r="315" spans="1:6" ht="26.5" thickBot="1">
      <c r="A315" s="840" t="s">
        <v>534</v>
      </c>
      <c r="B315" s="834" t="s">
        <v>1002</v>
      </c>
      <c r="C315" s="1077"/>
      <c r="D315" s="1077"/>
      <c r="E315" s="1077"/>
      <c r="F315" s="1065">
        <v>0.05</v>
      </c>
    </row>
    <row r="316" spans="1:6" ht="26.5" thickBot="1">
      <c r="A316" s="850" t="s">
        <v>534</v>
      </c>
      <c r="B316" s="846" t="s">
        <v>1003</v>
      </c>
      <c r="C316" s="1074"/>
      <c r="D316" s="1074"/>
      <c r="E316" s="1074"/>
      <c r="F316" s="1067">
        <v>0.05</v>
      </c>
    </row>
    <row r="317" spans="1:6" ht="14.5" thickBot="1">
      <c r="A317" s="840" t="s">
        <v>1004</v>
      </c>
      <c r="B317" s="841" t="s">
        <v>1005</v>
      </c>
      <c r="C317" s="1062">
        <v>0.15</v>
      </c>
      <c r="D317" s="1062">
        <v>0.15</v>
      </c>
      <c r="E317" s="1062">
        <v>0.15</v>
      </c>
      <c r="F317" s="1063">
        <v>0.15</v>
      </c>
    </row>
    <row r="318" spans="1:6" ht="14.5" thickBot="1">
      <c r="A318" s="840" t="s">
        <v>1004</v>
      </c>
      <c r="B318" s="834" t="s">
        <v>1006</v>
      </c>
      <c r="C318" s="1064">
        <v>0.107</v>
      </c>
      <c r="D318" s="1064">
        <v>0.11</v>
      </c>
      <c r="E318" s="1064">
        <v>0.112</v>
      </c>
      <c r="F318" s="1076"/>
    </row>
    <row r="319" spans="1:6" ht="14.5" thickBot="1">
      <c r="A319" s="840" t="s">
        <v>1004</v>
      </c>
      <c r="B319" s="834" t="s">
        <v>1007</v>
      </c>
      <c r="C319" s="1064">
        <v>0.15</v>
      </c>
      <c r="D319" s="1064">
        <v>0.15</v>
      </c>
      <c r="E319" s="1064">
        <v>0.15</v>
      </c>
      <c r="F319" s="1065">
        <v>0.15</v>
      </c>
    </row>
    <row r="320" spans="1:6" ht="14.5" thickBot="1">
      <c r="A320" s="840" t="s">
        <v>1004</v>
      </c>
      <c r="B320" s="834" t="s">
        <v>223</v>
      </c>
      <c r="C320" s="1064">
        <v>0.15</v>
      </c>
      <c r="D320" s="1064">
        <v>0.15</v>
      </c>
      <c r="E320" s="1064">
        <v>0.15</v>
      </c>
      <c r="F320" s="1076"/>
    </row>
    <row r="321" spans="1:6" ht="14.5" thickBot="1">
      <c r="A321" s="840" t="s">
        <v>1004</v>
      </c>
      <c r="B321" s="834" t="s">
        <v>1008</v>
      </c>
      <c r="C321" s="1064">
        <v>0.15</v>
      </c>
      <c r="D321" s="1064">
        <v>0.15</v>
      </c>
      <c r="E321" s="1064">
        <v>0.15</v>
      </c>
      <c r="F321" s="1076"/>
    </row>
    <row r="322" spans="1:6" ht="14.5" thickBot="1">
      <c r="A322" s="840" t="s">
        <v>1004</v>
      </c>
      <c r="B322" s="834" t="s">
        <v>1009</v>
      </c>
      <c r="C322" s="1064">
        <v>0.15</v>
      </c>
      <c r="D322" s="1064">
        <v>0.15</v>
      </c>
      <c r="E322" s="1064">
        <v>0.15</v>
      </c>
      <c r="F322" s="1065">
        <v>0.15</v>
      </c>
    </row>
    <row r="323" spans="1:6" ht="14.5" thickBot="1">
      <c r="A323" s="840" t="s">
        <v>1004</v>
      </c>
      <c r="B323" s="834" t="s">
        <v>1010</v>
      </c>
      <c r="C323" s="1064">
        <v>0.15</v>
      </c>
      <c r="D323" s="1064">
        <v>0.15</v>
      </c>
      <c r="E323" s="1064">
        <v>0.15</v>
      </c>
      <c r="F323" s="1076"/>
    </row>
    <row r="324" spans="1:6" ht="14.5" thickBot="1">
      <c r="A324" s="840" t="s">
        <v>1004</v>
      </c>
      <c r="B324" s="834" t="s">
        <v>1011</v>
      </c>
      <c r="C324" s="1064">
        <v>0.15</v>
      </c>
      <c r="D324" s="1064">
        <v>0.15</v>
      </c>
      <c r="E324" s="1064">
        <v>0.15</v>
      </c>
      <c r="F324" s="1076"/>
    </row>
    <row r="325" spans="1:6" ht="14.5" thickBot="1">
      <c r="A325" s="840" t="s">
        <v>1004</v>
      </c>
      <c r="B325" s="834" t="s">
        <v>1012</v>
      </c>
      <c r="C325" s="1064">
        <v>0.15</v>
      </c>
      <c r="D325" s="1064">
        <v>0.15</v>
      </c>
      <c r="E325" s="1064">
        <v>0.15</v>
      </c>
      <c r="F325" s="1065">
        <v>0.14699999999999999</v>
      </c>
    </row>
    <row r="326" spans="1:6" ht="14.5" thickBot="1">
      <c r="A326" s="840" t="s">
        <v>1004</v>
      </c>
      <c r="B326" s="834" t="s">
        <v>290</v>
      </c>
      <c r="C326" s="1064">
        <v>0.15</v>
      </c>
      <c r="D326" s="1064">
        <v>0.15</v>
      </c>
      <c r="E326" s="1064">
        <v>0.15</v>
      </c>
      <c r="F326" s="1076"/>
    </row>
    <row r="327" spans="1:6" ht="14.5" thickBot="1">
      <c r="A327" s="840" t="s">
        <v>1004</v>
      </c>
      <c r="B327" s="834" t="s">
        <v>1013</v>
      </c>
      <c r="C327" s="1064">
        <v>0.15</v>
      </c>
      <c r="D327" s="1064">
        <v>0.15</v>
      </c>
      <c r="E327" s="1064">
        <v>0.15</v>
      </c>
      <c r="F327" s="1065">
        <v>0.15</v>
      </c>
    </row>
    <row r="328" spans="1:6" ht="14.5" thickBot="1">
      <c r="A328" s="840" t="s">
        <v>1004</v>
      </c>
      <c r="B328" s="834" t="s">
        <v>310</v>
      </c>
      <c r="C328" s="1064">
        <v>0.15</v>
      </c>
      <c r="D328" s="1064">
        <v>0.15</v>
      </c>
      <c r="E328" s="1064">
        <v>0.15</v>
      </c>
      <c r="F328" s="1065">
        <v>0.14099999999999999</v>
      </c>
    </row>
    <row r="329" spans="1:6" ht="14.5" thickBot="1">
      <c r="A329" s="840" t="s">
        <v>1004</v>
      </c>
      <c r="B329" s="834" t="s">
        <v>320</v>
      </c>
      <c r="C329" s="1064">
        <v>0.15</v>
      </c>
      <c r="D329" s="1064">
        <v>0.15</v>
      </c>
      <c r="E329" s="1064">
        <v>0.15</v>
      </c>
      <c r="F329" s="1065">
        <v>0.15</v>
      </c>
    </row>
    <row r="330" spans="1:6" ht="14.5" thickBot="1">
      <c r="A330" s="840" t="s">
        <v>1004</v>
      </c>
      <c r="B330" s="834" t="s">
        <v>331</v>
      </c>
      <c r="C330" s="1064">
        <v>0.15</v>
      </c>
      <c r="D330" s="1064">
        <v>0.15</v>
      </c>
      <c r="E330" s="1064">
        <v>0.15</v>
      </c>
      <c r="F330" s="1076"/>
    </row>
    <row r="331" spans="1:6" ht="14.5" thickBot="1">
      <c r="A331" s="840" t="s">
        <v>1004</v>
      </c>
      <c r="B331" s="834" t="s">
        <v>1014</v>
      </c>
      <c r="C331" s="1064">
        <v>0.15</v>
      </c>
      <c r="D331" s="1064">
        <v>0.15</v>
      </c>
      <c r="E331" s="1064">
        <v>0.15</v>
      </c>
      <c r="F331" s="1065">
        <v>0.15</v>
      </c>
    </row>
    <row r="332" spans="1:6" ht="14.5" thickBot="1">
      <c r="A332" s="840" t="s">
        <v>1004</v>
      </c>
      <c r="B332" s="834" t="s">
        <v>352</v>
      </c>
      <c r="C332" s="1064">
        <v>0.15</v>
      </c>
      <c r="D332" s="1064">
        <v>0.15</v>
      </c>
      <c r="E332" s="1064">
        <v>0.15</v>
      </c>
      <c r="F332" s="1065">
        <v>0.15</v>
      </c>
    </row>
    <row r="333" spans="1:6" ht="14.5" thickBot="1">
      <c r="A333" s="840" t="s">
        <v>1004</v>
      </c>
      <c r="B333" s="834" t="s">
        <v>1015</v>
      </c>
      <c r="C333" s="1064">
        <v>0.15</v>
      </c>
      <c r="D333" s="1064">
        <v>0.15</v>
      </c>
      <c r="E333" s="1064">
        <v>0.15</v>
      </c>
      <c r="F333" s="1065">
        <v>0.14099999999999999</v>
      </c>
    </row>
    <row r="334" spans="1:6" ht="14.5" thickBot="1">
      <c r="A334" s="840" t="s">
        <v>1004</v>
      </c>
      <c r="B334" s="834" t="s">
        <v>372</v>
      </c>
      <c r="C334" s="1064">
        <v>0.15</v>
      </c>
      <c r="D334" s="1064">
        <v>0.15</v>
      </c>
      <c r="E334" s="1064">
        <v>0.15</v>
      </c>
      <c r="F334" s="1065">
        <v>0.15</v>
      </c>
    </row>
    <row r="335" spans="1:6" ht="14.5" thickBot="1">
      <c r="A335" s="840" t="s">
        <v>1004</v>
      </c>
      <c r="B335" s="834" t="s">
        <v>382</v>
      </c>
      <c r="C335" s="1064">
        <v>0.15</v>
      </c>
      <c r="D335" s="1064">
        <v>0.15</v>
      </c>
      <c r="E335" s="1064">
        <v>0.15</v>
      </c>
      <c r="F335" s="1076"/>
    </row>
    <row r="336" spans="1:6" ht="14.5" thickBot="1">
      <c r="A336" s="840" t="s">
        <v>1004</v>
      </c>
      <c r="B336" s="834" t="s">
        <v>1016</v>
      </c>
      <c r="C336" s="1064">
        <v>0.15</v>
      </c>
      <c r="D336" s="1064">
        <v>0.15</v>
      </c>
      <c r="E336" s="1064">
        <v>0.15</v>
      </c>
      <c r="F336" s="1065">
        <v>0.11799999999999999</v>
      </c>
    </row>
    <row r="337" spans="1:6" ht="14.5" thickBot="1">
      <c r="A337" s="850" t="s">
        <v>1004</v>
      </c>
      <c r="B337" s="846" t="s">
        <v>400</v>
      </c>
      <c r="C337" s="1074"/>
      <c r="D337" s="1074"/>
      <c r="E337" s="1074"/>
      <c r="F337" s="1067">
        <v>0.14299999999999999</v>
      </c>
    </row>
    <row r="338" spans="1:6" ht="14.5" thickBot="1">
      <c r="A338" s="840" t="s">
        <v>1017</v>
      </c>
      <c r="B338" s="841" t="s">
        <v>1018</v>
      </c>
      <c r="C338" s="1062">
        <v>0.15</v>
      </c>
      <c r="D338" s="1062">
        <v>0.15</v>
      </c>
      <c r="E338" s="1062">
        <v>0.15</v>
      </c>
      <c r="F338" s="1079"/>
    </row>
    <row r="339" spans="1:6" ht="14.5" thickBot="1">
      <c r="A339" s="840" t="s">
        <v>1017</v>
      </c>
      <c r="B339" s="834" t="s">
        <v>1019</v>
      </c>
      <c r="C339" s="1064">
        <v>0.15</v>
      </c>
      <c r="D339" s="1064">
        <v>0.15</v>
      </c>
      <c r="E339" s="1064">
        <v>0.15</v>
      </c>
      <c r="F339" s="1076"/>
    </row>
    <row r="340" spans="1:6" ht="14.5" thickBot="1">
      <c r="A340" s="840" t="s">
        <v>1017</v>
      </c>
      <c r="B340" s="834" t="s">
        <v>1020</v>
      </c>
      <c r="C340" s="1064">
        <v>0.15</v>
      </c>
      <c r="D340" s="1064">
        <v>0.15</v>
      </c>
      <c r="E340" s="1064">
        <v>0.15</v>
      </c>
      <c r="F340" s="1076"/>
    </row>
    <row r="341" spans="1:6" ht="14.5" thickBot="1">
      <c r="A341" s="840" t="s">
        <v>1017</v>
      </c>
      <c r="B341" s="834" t="s">
        <v>1021</v>
      </c>
      <c r="C341" s="1064">
        <v>0.15</v>
      </c>
      <c r="D341" s="1064">
        <v>0.15</v>
      </c>
      <c r="E341" s="1064">
        <v>0.15</v>
      </c>
      <c r="F341" s="1065">
        <v>0.15</v>
      </c>
    </row>
    <row r="342" spans="1:6" ht="14.5" thickBot="1">
      <c r="A342" s="840" t="s">
        <v>1017</v>
      </c>
      <c r="B342" s="834" t="s">
        <v>1022</v>
      </c>
      <c r="C342" s="1064">
        <v>0.15</v>
      </c>
      <c r="D342" s="1064">
        <v>0.15</v>
      </c>
      <c r="E342" s="1064">
        <v>0.15</v>
      </c>
      <c r="F342" s="1065">
        <v>0.15</v>
      </c>
    </row>
    <row r="343" spans="1:6" ht="14.5" thickBot="1">
      <c r="A343" s="840" t="s">
        <v>1017</v>
      </c>
      <c r="B343" s="834" t="s">
        <v>1023</v>
      </c>
      <c r="C343" s="1064">
        <v>0.15</v>
      </c>
      <c r="D343" s="1064">
        <v>0.15</v>
      </c>
      <c r="E343" s="1064">
        <v>0.15</v>
      </c>
      <c r="F343" s="1065">
        <v>0.15</v>
      </c>
    </row>
    <row r="344" spans="1:6" ht="14.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4"/>
  <cols>
    <col min="1" max="1" width="4.90625" style="1638" customWidth="1"/>
    <col min="2" max="2" width="13.1796875" style="1644" customWidth="1"/>
    <col min="3" max="3" width="15.6328125" style="1644" customWidth="1"/>
    <col min="4" max="4" width="9.36328125" style="1644" bestFit="1" customWidth="1"/>
    <col min="5" max="5" width="13.453125" style="1644" customWidth="1"/>
    <col min="6" max="6" width="9" style="1644"/>
    <col min="7" max="7" width="9.36328125" style="1644" bestFit="1" customWidth="1"/>
    <col min="8" max="8" width="12.1796875" style="1644" customWidth="1"/>
    <col min="9" max="9" width="9" style="1644"/>
    <col min="10" max="10" width="9.36328125" style="1644" bestFit="1" customWidth="1"/>
    <col min="11" max="11" width="4" style="1638" customWidth="1"/>
    <col min="12" max="12" width="5.08984375" style="1644" customWidth="1"/>
    <col min="13" max="13" width="13.81640625" style="1644" customWidth="1"/>
    <col min="14" max="256" width="9" style="1644"/>
    <col min="257" max="257" width="4.90625" style="1635" customWidth="1"/>
    <col min="258" max="258" width="13.1796875" style="1635" customWidth="1"/>
    <col min="259" max="259" width="15.6328125" style="1635" customWidth="1"/>
    <col min="260" max="260" width="9.36328125" style="1635" bestFit="1" customWidth="1"/>
    <col min="261" max="261" width="13.453125" style="1635" customWidth="1"/>
    <col min="262" max="262" width="9" style="1635"/>
    <col min="263" max="263" width="9.36328125" style="1635" bestFit="1" customWidth="1"/>
    <col min="264" max="265" width="9" style="1635"/>
    <col min="266" max="266" width="9.36328125" style="1635" bestFit="1" customWidth="1"/>
    <col min="267" max="267" width="4" style="1635" customWidth="1"/>
    <col min="268" max="268" width="5.08984375" style="1635" customWidth="1"/>
    <col min="269" max="269" width="13.81640625" style="1635" customWidth="1"/>
    <col min="270" max="512" width="9" style="1635"/>
    <col min="513" max="513" width="4.90625" style="1635" customWidth="1"/>
    <col min="514" max="514" width="13.1796875" style="1635" customWidth="1"/>
    <col min="515" max="515" width="15.6328125" style="1635" customWidth="1"/>
    <col min="516" max="516" width="9.36328125" style="1635" bestFit="1" customWidth="1"/>
    <col min="517" max="517" width="13.453125" style="1635" customWidth="1"/>
    <col min="518" max="518" width="9" style="1635"/>
    <col min="519" max="519" width="9.36328125" style="1635" bestFit="1" customWidth="1"/>
    <col min="520" max="521" width="9" style="1635"/>
    <col min="522" max="522" width="9.36328125" style="1635" bestFit="1" customWidth="1"/>
    <col min="523" max="523" width="4" style="1635" customWidth="1"/>
    <col min="524" max="524" width="5.08984375" style="1635" customWidth="1"/>
    <col min="525" max="525" width="13.81640625" style="1635" customWidth="1"/>
    <col min="526" max="768" width="9" style="1635"/>
    <col min="769" max="769" width="4.90625" style="1635" customWidth="1"/>
    <col min="770" max="770" width="13.1796875" style="1635" customWidth="1"/>
    <col min="771" max="771" width="15.6328125" style="1635" customWidth="1"/>
    <col min="772" max="772" width="9.36328125" style="1635" bestFit="1" customWidth="1"/>
    <col min="773" max="773" width="13.453125" style="1635" customWidth="1"/>
    <col min="774" max="774" width="9" style="1635"/>
    <col min="775" max="775" width="9.36328125" style="1635" bestFit="1" customWidth="1"/>
    <col min="776" max="777" width="9" style="1635"/>
    <col min="778" max="778" width="9.36328125" style="1635" bestFit="1" customWidth="1"/>
    <col min="779" max="779" width="4" style="1635" customWidth="1"/>
    <col min="780" max="780" width="5.08984375" style="1635" customWidth="1"/>
    <col min="781" max="781" width="13.81640625" style="1635" customWidth="1"/>
    <col min="782" max="1024" width="9" style="1635"/>
    <col min="1025" max="1025" width="4.90625" style="1635" customWidth="1"/>
    <col min="1026" max="1026" width="13.1796875" style="1635" customWidth="1"/>
    <col min="1027" max="1027" width="15.6328125" style="1635" customWidth="1"/>
    <col min="1028" max="1028" width="9.36328125" style="1635" bestFit="1" customWidth="1"/>
    <col min="1029" max="1029" width="13.453125" style="1635" customWidth="1"/>
    <col min="1030" max="1030" width="9" style="1635"/>
    <col min="1031" max="1031" width="9.36328125" style="1635" bestFit="1" customWidth="1"/>
    <col min="1032" max="1033" width="9" style="1635"/>
    <col min="1034" max="1034" width="9.36328125" style="1635" bestFit="1" customWidth="1"/>
    <col min="1035" max="1035" width="4" style="1635" customWidth="1"/>
    <col min="1036" max="1036" width="5.08984375" style="1635" customWidth="1"/>
    <col min="1037" max="1037" width="13.81640625" style="1635" customWidth="1"/>
    <col min="1038" max="1280" width="9" style="1635"/>
    <col min="1281" max="1281" width="4.90625" style="1635" customWidth="1"/>
    <col min="1282" max="1282" width="13.1796875" style="1635" customWidth="1"/>
    <col min="1283" max="1283" width="15.6328125" style="1635" customWidth="1"/>
    <col min="1284" max="1284" width="9.36328125" style="1635" bestFit="1" customWidth="1"/>
    <col min="1285" max="1285" width="13.453125" style="1635" customWidth="1"/>
    <col min="1286" max="1286" width="9" style="1635"/>
    <col min="1287" max="1287" width="9.36328125" style="1635" bestFit="1" customWidth="1"/>
    <col min="1288" max="1289" width="9" style="1635"/>
    <col min="1290" max="1290" width="9.36328125" style="1635" bestFit="1" customWidth="1"/>
    <col min="1291" max="1291" width="4" style="1635" customWidth="1"/>
    <col min="1292" max="1292" width="5.08984375" style="1635" customWidth="1"/>
    <col min="1293" max="1293" width="13.81640625" style="1635" customWidth="1"/>
    <col min="1294" max="1536" width="9" style="1635"/>
    <col min="1537" max="1537" width="4.90625" style="1635" customWidth="1"/>
    <col min="1538" max="1538" width="13.1796875" style="1635" customWidth="1"/>
    <col min="1539" max="1539" width="15.6328125" style="1635" customWidth="1"/>
    <col min="1540" max="1540" width="9.36328125" style="1635" bestFit="1" customWidth="1"/>
    <col min="1541" max="1541" width="13.453125" style="1635" customWidth="1"/>
    <col min="1542" max="1542" width="9" style="1635"/>
    <col min="1543" max="1543" width="9.36328125" style="1635" bestFit="1" customWidth="1"/>
    <col min="1544" max="1545" width="9" style="1635"/>
    <col min="1546" max="1546" width="9.36328125" style="1635" bestFit="1" customWidth="1"/>
    <col min="1547" max="1547" width="4" style="1635" customWidth="1"/>
    <col min="1548" max="1548" width="5.08984375" style="1635" customWidth="1"/>
    <col min="1549" max="1549" width="13.81640625" style="1635" customWidth="1"/>
    <col min="1550" max="1792" width="9" style="1635"/>
    <col min="1793" max="1793" width="4.90625" style="1635" customWidth="1"/>
    <col min="1794" max="1794" width="13.1796875" style="1635" customWidth="1"/>
    <col min="1795" max="1795" width="15.6328125" style="1635" customWidth="1"/>
    <col min="1796" max="1796" width="9.36328125" style="1635" bestFit="1" customWidth="1"/>
    <col min="1797" max="1797" width="13.453125" style="1635" customWidth="1"/>
    <col min="1798" max="1798" width="9" style="1635"/>
    <col min="1799" max="1799" width="9.36328125" style="1635" bestFit="1" customWidth="1"/>
    <col min="1800" max="1801" width="9" style="1635"/>
    <col min="1802" max="1802" width="9.36328125" style="1635" bestFit="1" customWidth="1"/>
    <col min="1803" max="1803" width="4" style="1635" customWidth="1"/>
    <col min="1804" max="1804" width="5.08984375" style="1635" customWidth="1"/>
    <col min="1805" max="1805" width="13.81640625" style="1635" customWidth="1"/>
    <col min="1806" max="2048" width="9" style="1635"/>
    <col min="2049" max="2049" width="4.90625" style="1635" customWidth="1"/>
    <col min="2050" max="2050" width="13.1796875" style="1635" customWidth="1"/>
    <col min="2051" max="2051" width="15.6328125" style="1635" customWidth="1"/>
    <col min="2052" max="2052" width="9.36328125" style="1635" bestFit="1" customWidth="1"/>
    <col min="2053" max="2053" width="13.453125" style="1635" customWidth="1"/>
    <col min="2054" max="2054" width="9" style="1635"/>
    <col min="2055" max="2055" width="9.36328125" style="1635" bestFit="1" customWidth="1"/>
    <col min="2056" max="2057" width="9" style="1635"/>
    <col min="2058" max="2058" width="9.36328125" style="1635" bestFit="1" customWidth="1"/>
    <col min="2059" max="2059" width="4" style="1635" customWidth="1"/>
    <col min="2060" max="2060" width="5.08984375" style="1635" customWidth="1"/>
    <col min="2061" max="2061" width="13.81640625" style="1635" customWidth="1"/>
    <col min="2062" max="2304" width="9" style="1635"/>
    <col min="2305" max="2305" width="4.90625" style="1635" customWidth="1"/>
    <col min="2306" max="2306" width="13.1796875" style="1635" customWidth="1"/>
    <col min="2307" max="2307" width="15.6328125" style="1635" customWidth="1"/>
    <col min="2308" max="2308" width="9.36328125" style="1635" bestFit="1" customWidth="1"/>
    <col min="2309" max="2309" width="13.453125" style="1635" customWidth="1"/>
    <col min="2310" max="2310" width="9" style="1635"/>
    <col min="2311" max="2311" width="9.36328125" style="1635" bestFit="1" customWidth="1"/>
    <col min="2312" max="2313" width="9" style="1635"/>
    <col min="2314" max="2314" width="9.36328125" style="1635" bestFit="1" customWidth="1"/>
    <col min="2315" max="2315" width="4" style="1635" customWidth="1"/>
    <col min="2316" max="2316" width="5.08984375" style="1635" customWidth="1"/>
    <col min="2317" max="2317" width="13.81640625" style="1635" customWidth="1"/>
    <col min="2318" max="2560" width="9" style="1635"/>
    <col min="2561" max="2561" width="4.90625" style="1635" customWidth="1"/>
    <col min="2562" max="2562" width="13.1796875" style="1635" customWidth="1"/>
    <col min="2563" max="2563" width="15.6328125" style="1635" customWidth="1"/>
    <col min="2564" max="2564" width="9.36328125" style="1635" bestFit="1" customWidth="1"/>
    <col min="2565" max="2565" width="13.453125" style="1635" customWidth="1"/>
    <col min="2566" max="2566" width="9" style="1635"/>
    <col min="2567" max="2567" width="9.36328125" style="1635" bestFit="1" customWidth="1"/>
    <col min="2568" max="2569" width="9" style="1635"/>
    <col min="2570" max="2570" width="9.36328125" style="1635" bestFit="1" customWidth="1"/>
    <col min="2571" max="2571" width="4" style="1635" customWidth="1"/>
    <col min="2572" max="2572" width="5.08984375" style="1635" customWidth="1"/>
    <col min="2573" max="2573" width="13.81640625" style="1635" customWidth="1"/>
    <col min="2574" max="2816" width="9" style="1635"/>
    <col min="2817" max="2817" width="4.90625" style="1635" customWidth="1"/>
    <col min="2818" max="2818" width="13.1796875" style="1635" customWidth="1"/>
    <col min="2819" max="2819" width="15.6328125" style="1635" customWidth="1"/>
    <col min="2820" max="2820" width="9.36328125" style="1635" bestFit="1" customWidth="1"/>
    <col min="2821" max="2821" width="13.453125" style="1635" customWidth="1"/>
    <col min="2822" max="2822" width="9" style="1635"/>
    <col min="2823" max="2823" width="9.36328125" style="1635" bestFit="1" customWidth="1"/>
    <col min="2824" max="2825" width="9" style="1635"/>
    <col min="2826" max="2826" width="9.36328125" style="1635" bestFit="1" customWidth="1"/>
    <col min="2827" max="2827" width="4" style="1635" customWidth="1"/>
    <col min="2828" max="2828" width="5.08984375" style="1635" customWidth="1"/>
    <col min="2829" max="2829" width="13.81640625" style="1635" customWidth="1"/>
    <col min="2830" max="3072" width="9" style="1635"/>
    <col min="3073" max="3073" width="4.90625" style="1635" customWidth="1"/>
    <col min="3074" max="3074" width="13.1796875" style="1635" customWidth="1"/>
    <col min="3075" max="3075" width="15.6328125" style="1635" customWidth="1"/>
    <col min="3076" max="3076" width="9.36328125" style="1635" bestFit="1" customWidth="1"/>
    <col min="3077" max="3077" width="13.453125" style="1635" customWidth="1"/>
    <col min="3078" max="3078" width="9" style="1635"/>
    <col min="3079" max="3079" width="9.36328125" style="1635" bestFit="1" customWidth="1"/>
    <col min="3080" max="3081" width="9" style="1635"/>
    <col min="3082" max="3082" width="9.36328125" style="1635" bestFit="1" customWidth="1"/>
    <col min="3083" max="3083" width="4" style="1635" customWidth="1"/>
    <col min="3084" max="3084" width="5.08984375" style="1635" customWidth="1"/>
    <col min="3085" max="3085" width="13.81640625" style="1635" customWidth="1"/>
    <col min="3086" max="3328" width="9" style="1635"/>
    <col min="3329" max="3329" width="4.90625" style="1635" customWidth="1"/>
    <col min="3330" max="3330" width="13.1796875" style="1635" customWidth="1"/>
    <col min="3331" max="3331" width="15.6328125" style="1635" customWidth="1"/>
    <col min="3332" max="3332" width="9.36328125" style="1635" bestFit="1" customWidth="1"/>
    <col min="3333" max="3333" width="13.453125" style="1635" customWidth="1"/>
    <col min="3334" max="3334" width="9" style="1635"/>
    <col min="3335" max="3335" width="9.36328125" style="1635" bestFit="1" customWidth="1"/>
    <col min="3336" max="3337" width="9" style="1635"/>
    <col min="3338" max="3338" width="9.36328125" style="1635" bestFit="1" customWidth="1"/>
    <col min="3339" max="3339" width="4" style="1635" customWidth="1"/>
    <col min="3340" max="3340" width="5.08984375" style="1635" customWidth="1"/>
    <col min="3341" max="3341" width="13.81640625" style="1635" customWidth="1"/>
    <col min="3342" max="3584" width="9" style="1635"/>
    <col min="3585" max="3585" width="4.90625" style="1635" customWidth="1"/>
    <col min="3586" max="3586" width="13.1796875" style="1635" customWidth="1"/>
    <col min="3587" max="3587" width="15.6328125" style="1635" customWidth="1"/>
    <col min="3588" max="3588" width="9.36328125" style="1635" bestFit="1" customWidth="1"/>
    <col min="3589" max="3589" width="13.453125" style="1635" customWidth="1"/>
    <col min="3590" max="3590" width="9" style="1635"/>
    <col min="3591" max="3591" width="9.36328125" style="1635" bestFit="1" customWidth="1"/>
    <col min="3592" max="3593" width="9" style="1635"/>
    <col min="3594" max="3594" width="9.36328125" style="1635" bestFit="1" customWidth="1"/>
    <col min="3595" max="3595" width="4" style="1635" customWidth="1"/>
    <col min="3596" max="3596" width="5.08984375" style="1635" customWidth="1"/>
    <col min="3597" max="3597" width="13.81640625" style="1635" customWidth="1"/>
    <col min="3598" max="3840" width="9" style="1635"/>
    <col min="3841" max="3841" width="4.90625" style="1635" customWidth="1"/>
    <col min="3842" max="3842" width="13.1796875" style="1635" customWidth="1"/>
    <col min="3843" max="3843" width="15.6328125" style="1635" customWidth="1"/>
    <col min="3844" max="3844" width="9.36328125" style="1635" bestFit="1" customWidth="1"/>
    <col min="3845" max="3845" width="13.453125" style="1635" customWidth="1"/>
    <col min="3846" max="3846" width="9" style="1635"/>
    <col min="3847" max="3847" width="9.36328125" style="1635" bestFit="1" customWidth="1"/>
    <col min="3848" max="3849" width="9" style="1635"/>
    <col min="3850" max="3850" width="9.36328125" style="1635" bestFit="1" customWidth="1"/>
    <col min="3851" max="3851" width="4" style="1635" customWidth="1"/>
    <col min="3852" max="3852" width="5.08984375" style="1635" customWidth="1"/>
    <col min="3853" max="3853" width="13.81640625" style="1635" customWidth="1"/>
    <col min="3854" max="4096" width="9" style="1635"/>
    <col min="4097" max="4097" width="4.90625" style="1635" customWidth="1"/>
    <col min="4098" max="4098" width="13.1796875" style="1635" customWidth="1"/>
    <col min="4099" max="4099" width="15.6328125" style="1635" customWidth="1"/>
    <col min="4100" max="4100" width="9.36328125" style="1635" bestFit="1" customWidth="1"/>
    <col min="4101" max="4101" width="13.453125" style="1635" customWidth="1"/>
    <col min="4102" max="4102" width="9" style="1635"/>
    <col min="4103" max="4103" width="9.36328125" style="1635" bestFit="1" customWidth="1"/>
    <col min="4104" max="4105" width="9" style="1635"/>
    <col min="4106" max="4106" width="9.36328125" style="1635" bestFit="1" customWidth="1"/>
    <col min="4107" max="4107" width="4" style="1635" customWidth="1"/>
    <col min="4108" max="4108" width="5.08984375" style="1635" customWidth="1"/>
    <col min="4109" max="4109" width="13.81640625" style="1635" customWidth="1"/>
    <col min="4110" max="4352" width="9" style="1635"/>
    <col min="4353" max="4353" width="4.90625" style="1635" customWidth="1"/>
    <col min="4354" max="4354" width="13.1796875" style="1635" customWidth="1"/>
    <col min="4355" max="4355" width="15.6328125" style="1635" customWidth="1"/>
    <col min="4356" max="4356" width="9.36328125" style="1635" bestFit="1" customWidth="1"/>
    <col min="4357" max="4357" width="13.453125" style="1635" customWidth="1"/>
    <col min="4358" max="4358" width="9" style="1635"/>
    <col min="4359" max="4359" width="9.36328125" style="1635" bestFit="1" customWidth="1"/>
    <col min="4360" max="4361" width="9" style="1635"/>
    <col min="4362" max="4362" width="9.36328125" style="1635" bestFit="1" customWidth="1"/>
    <col min="4363" max="4363" width="4" style="1635" customWidth="1"/>
    <col min="4364" max="4364" width="5.08984375" style="1635" customWidth="1"/>
    <col min="4365" max="4365" width="13.81640625" style="1635" customWidth="1"/>
    <col min="4366" max="4608" width="9" style="1635"/>
    <col min="4609" max="4609" width="4.90625" style="1635" customWidth="1"/>
    <col min="4610" max="4610" width="13.1796875" style="1635" customWidth="1"/>
    <col min="4611" max="4611" width="15.6328125" style="1635" customWidth="1"/>
    <col min="4612" max="4612" width="9.36328125" style="1635" bestFit="1" customWidth="1"/>
    <col min="4613" max="4613" width="13.453125" style="1635" customWidth="1"/>
    <col min="4614" max="4614" width="9" style="1635"/>
    <col min="4615" max="4615" width="9.36328125" style="1635" bestFit="1" customWidth="1"/>
    <col min="4616" max="4617" width="9" style="1635"/>
    <col min="4618" max="4618" width="9.36328125" style="1635" bestFit="1" customWidth="1"/>
    <col min="4619" max="4619" width="4" style="1635" customWidth="1"/>
    <col min="4620" max="4620" width="5.08984375" style="1635" customWidth="1"/>
    <col min="4621" max="4621" width="13.81640625" style="1635" customWidth="1"/>
    <col min="4622" max="4864" width="9" style="1635"/>
    <col min="4865" max="4865" width="4.90625" style="1635" customWidth="1"/>
    <col min="4866" max="4866" width="13.1796875" style="1635" customWidth="1"/>
    <col min="4867" max="4867" width="15.6328125" style="1635" customWidth="1"/>
    <col min="4868" max="4868" width="9.36328125" style="1635" bestFit="1" customWidth="1"/>
    <col min="4869" max="4869" width="13.453125" style="1635" customWidth="1"/>
    <col min="4870" max="4870" width="9" style="1635"/>
    <col min="4871" max="4871" width="9.36328125" style="1635" bestFit="1" customWidth="1"/>
    <col min="4872" max="4873" width="9" style="1635"/>
    <col min="4874" max="4874" width="9.36328125" style="1635" bestFit="1" customWidth="1"/>
    <col min="4875" max="4875" width="4" style="1635" customWidth="1"/>
    <col min="4876" max="4876" width="5.08984375" style="1635" customWidth="1"/>
    <col min="4877" max="4877" width="13.81640625" style="1635" customWidth="1"/>
    <col min="4878" max="5120" width="9" style="1635"/>
    <col min="5121" max="5121" width="4.90625" style="1635" customWidth="1"/>
    <col min="5122" max="5122" width="13.1796875" style="1635" customWidth="1"/>
    <col min="5123" max="5123" width="15.6328125" style="1635" customWidth="1"/>
    <col min="5124" max="5124" width="9.36328125" style="1635" bestFit="1" customWidth="1"/>
    <col min="5125" max="5125" width="13.453125" style="1635" customWidth="1"/>
    <col min="5126" max="5126" width="9" style="1635"/>
    <col min="5127" max="5127" width="9.36328125" style="1635" bestFit="1" customWidth="1"/>
    <col min="5128" max="5129" width="9" style="1635"/>
    <col min="5130" max="5130" width="9.36328125" style="1635" bestFit="1" customWidth="1"/>
    <col min="5131" max="5131" width="4" style="1635" customWidth="1"/>
    <col min="5132" max="5132" width="5.08984375" style="1635" customWidth="1"/>
    <col min="5133" max="5133" width="13.81640625" style="1635" customWidth="1"/>
    <col min="5134" max="5376" width="9" style="1635"/>
    <col min="5377" max="5377" width="4.90625" style="1635" customWidth="1"/>
    <col min="5378" max="5378" width="13.1796875" style="1635" customWidth="1"/>
    <col min="5379" max="5379" width="15.6328125" style="1635" customWidth="1"/>
    <col min="5380" max="5380" width="9.36328125" style="1635" bestFit="1" customWidth="1"/>
    <col min="5381" max="5381" width="13.453125" style="1635" customWidth="1"/>
    <col min="5382" max="5382" width="9" style="1635"/>
    <col min="5383" max="5383" width="9.36328125" style="1635" bestFit="1" customWidth="1"/>
    <col min="5384" max="5385" width="9" style="1635"/>
    <col min="5386" max="5386" width="9.36328125" style="1635" bestFit="1" customWidth="1"/>
    <col min="5387" max="5387" width="4" style="1635" customWidth="1"/>
    <col min="5388" max="5388" width="5.08984375" style="1635" customWidth="1"/>
    <col min="5389" max="5389" width="13.81640625" style="1635" customWidth="1"/>
    <col min="5390" max="5632" width="9" style="1635"/>
    <col min="5633" max="5633" width="4.90625" style="1635" customWidth="1"/>
    <col min="5634" max="5634" width="13.1796875" style="1635" customWidth="1"/>
    <col min="5635" max="5635" width="15.6328125" style="1635" customWidth="1"/>
    <col min="5636" max="5636" width="9.36328125" style="1635" bestFit="1" customWidth="1"/>
    <col min="5637" max="5637" width="13.453125" style="1635" customWidth="1"/>
    <col min="5638" max="5638" width="9" style="1635"/>
    <col min="5639" max="5639" width="9.36328125" style="1635" bestFit="1" customWidth="1"/>
    <col min="5640" max="5641" width="9" style="1635"/>
    <col min="5642" max="5642" width="9.36328125" style="1635" bestFit="1" customWidth="1"/>
    <col min="5643" max="5643" width="4" style="1635" customWidth="1"/>
    <col min="5644" max="5644" width="5.08984375" style="1635" customWidth="1"/>
    <col min="5645" max="5645" width="13.81640625" style="1635" customWidth="1"/>
    <col min="5646" max="5888" width="9" style="1635"/>
    <col min="5889" max="5889" width="4.90625" style="1635" customWidth="1"/>
    <col min="5890" max="5890" width="13.1796875" style="1635" customWidth="1"/>
    <col min="5891" max="5891" width="15.6328125" style="1635" customWidth="1"/>
    <col min="5892" max="5892" width="9.36328125" style="1635" bestFit="1" customWidth="1"/>
    <col min="5893" max="5893" width="13.453125" style="1635" customWidth="1"/>
    <col min="5894" max="5894" width="9" style="1635"/>
    <col min="5895" max="5895" width="9.36328125" style="1635" bestFit="1" customWidth="1"/>
    <col min="5896" max="5897" width="9" style="1635"/>
    <col min="5898" max="5898" width="9.36328125" style="1635" bestFit="1" customWidth="1"/>
    <col min="5899" max="5899" width="4" style="1635" customWidth="1"/>
    <col min="5900" max="5900" width="5.08984375" style="1635" customWidth="1"/>
    <col min="5901" max="5901" width="13.81640625" style="1635" customWidth="1"/>
    <col min="5902" max="6144" width="9" style="1635"/>
    <col min="6145" max="6145" width="4.90625" style="1635" customWidth="1"/>
    <col min="6146" max="6146" width="13.1796875" style="1635" customWidth="1"/>
    <col min="6147" max="6147" width="15.6328125" style="1635" customWidth="1"/>
    <col min="6148" max="6148" width="9.36328125" style="1635" bestFit="1" customWidth="1"/>
    <col min="6149" max="6149" width="13.453125" style="1635" customWidth="1"/>
    <col min="6150" max="6150" width="9" style="1635"/>
    <col min="6151" max="6151" width="9.36328125" style="1635" bestFit="1" customWidth="1"/>
    <col min="6152" max="6153" width="9" style="1635"/>
    <col min="6154" max="6154" width="9.36328125" style="1635" bestFit="1" customWidth="1"/>
    <col min="6155" max="6155" width="4" style="1635" customWidth="1"/>
    <col min="6156" max="6156" width="5.08984375" style="1635" customWidth="1"/>
    <col min="6157" max="6157" width="13.81640625" style="1635" customWidth="1"/>
    <col min="6158" max="6400" width="9" style="1635"/>
    <col min="6401" max="6401" width="4.90625" style="1635" customWidth="1"/>
    <col min="6402" max="6402" width="13.1796875" style="1635" customWidth="1"/>
    <col min="6403" max="6403" width="15.6328125" style="1635" customWidth="1"/>
    <col min="6404" max="6404" width="9.36328125" style="1635" bestFit="1" customWidth="1"/>
    <col min="6405" max="6405" width="13.453125" style="1635" customWidth="1"/>
    <col min="6406" max="6406" width="9" style="1635"/>
    <col min="6407" max="6407" width="9.36328125" style="1635" bestFit="1" customWidth="1"/>
    <col min="6408" max="6409" width="9" style="1635"/>
    <col min="6410" max="6410" width="9.36328125" style="1635" bestFit="1" customWidth="1"/>
    <col min="6411" max="6411" width="4" style="1635" customWidth="1"/>
    <col min="6412" max="6412" width="5.08984375" style="1635" customWidth="1"/>
    <col min="6413" max="6413" width="13.81640625" style="1635" customWidth="1"/>
    <col min="6414" max="6656" width="9" style="1635"/>
    <col min="6657" max="6657" width="4.90625" style="1635" customWidth="1"/>
    <col min="6658" max="6658" width="13.1796875" style="1635" customWidth="1"/>
    <col min="6659" max="6659" width="15.6328125" style="1635" customWidth="1"/>
    <col min="6660" max="6660" width="9.36328125" style="1635" bestFit="1" customWidth="1"/>
    <col min="6661" max="6661" width="13.453125" style="1635" customWidth="1"/>
    <col min="6662" max="6662" width="9" style="1635"/>
    <col min="6663" max="6663" width="9.36328125" style="1635" bestFit="1" customWidth="1"/>
    <col min="6664" max="6665" width="9" style="1635"/>
    <col min="6666" max="6666" width="9.36328125" style="1635" bestFit="1" customWidth="1"/>
    <col min="6667" max="6667" width="4" style="1635" customWidth="1"/>
    <col min="6668" max="6668" width="5.08984375" style="1635" customWidth="1"/>
    <col min="6669" max="6669" width="13.81640625" style="1635" customWidth="1"/>
    <col min="6670" max="6912" width="9" style="1635"/>
    <col min="6913" max="6913" width="4.90625" style="1635" customWidth="1"/>
    <col min="6914" max="6914" width="13.1796875" style="1635" customWidth="1"/>
    <col min="6915" max="6915" width="15.6328125" style="1635" customWidth="1"/>
    <col min="6916" max="6916" width="9.36328125" style="1635" bestFit="1" customWidth="1"/>
    <col min="6917" max="6917" width="13.453125" style="1635" customWidth="1"/>
    <col min="6918" max="6918" width="9" style="1635"/>
    <col min="6919" max="6919" width="9.36328125" style="1635" bestFit="1" customWidth="1"/>
    <col min="6920" max="6921" width="9" style="1635"/>
    <col min="6922" max="6922" width="9.36328125" style="1635" bestFit="1" customWidth="1"/>
    <col min="6923" max="6923" width="4" style="1635" customWidth="1"/>
    <col min="6924" max="6924" width="5.08984375" style="1635" customWidth="1"/>
    <col min="6925" max="6925" width="13.81640625" style="1635" customWidth="1"/>
    <col min="6926" max="7168" width="9" style="1635"/>
    <col min="7169" max="7169" width="4.90625" style="1635" customWidth="1"/>
    <col min="7170" max="7170" width="13.1796875" style="1635" customWidth="1"/>
    <col min="7171" max="7171" width="15.6328125" style="1635" customWidth="1"/>
    <col min="7172" max="7172" width="9.36328125" style="1635" bestFit="1" customWidth="1"/>
    <col min="7173" max="7173" width="13.453125" style="1635" customWidth="1"/>
    <col min="7174" max="7174" width="9" style="1635"/>
    <col min="7175" max="7175" width="9.36328125" style="1635" bestFit="1" customWidth="1"/>
    <col min="7176" max="7177" width="9" style="1635"/>
    <col min="7178" max="7178" width="9.36328125" style="1635" bestFit="1" customWidth="1"/>
    <col min="7179" max="7179" width="4" style="1635" customWidth="1"/>
    <col min="7180" max="7180" width="5.08984375" style="1635" customWidth="1"/>
    <col min="7181" max="7181" width="13.81640625" style="1635" customWidth="1"/>
    <col min="7182" max="7424" width="9" style="1635"/>
    <col min="7425" max="7425" width="4.90625" style="1635" customWidth="1"/>
    <col min="7426" max="7426" width="13.1796875" style="1635" customWidth="1"/>
    <col min="7427" max="7427" width="15.6328125" style="1635" customWidth="1"/>
    <col min="7428" max="7428" width="9.36328125" style="1635" bestFit="1" customWidth="1"/>
    <col min="7429" max="7429" width="13.453125" style="1635" customWidth="1"/>
    <col min="7430" max="7430" width="9" style="1635"/>
    <col min="7431" max="7431" width="9.36328125" style="1635" bestFit="1" customWidth="1"/>
    <col min="7432" max="7433" width="9" style="1635"/>
    <col min="7434" max="7434" width="9.36328125" style="1635" bestFit="1" customWidth="1"/>
    <col min="7435" max="7435" width="4" style="1635" customWidth="1"/>
    <col min="7436" max="7436" width="5.08984375" style="1635" customWidth="1"/>
    <col min="7437" max="7437" width="13.81640625" style="1635" customWidth="1"/>
    <col min="7438" max="7680" width="9" style="1635"/>
    <col min="7681" max="7681" width="4.90625" style="1635" customWidth="1"/>
    <col min="7682" max="7682" width="13.1796875" style="1635" customWidth="1"/>
    <col min="7683" max="7683" width="15.6328125" style="1635" customWidth="1"/>
    <col min="7684" max="7684" width="9.36328125" style="1635" bestFit="1" customWidth="1"/>
    <col min="7685" max="7685" width="13.453125" style="1635" customWidth="1"/>
    <col min="7686" max="7686" width="9" style="1635"/>
    <col min="7687" max="7687" width="9.36328125" style="1635" bestFit="1" customWidth="1"/>
    <col min="7688" max="7689" width="9" style="1635"/>
    <col min="7690" max="7690" width="9.36328125" style="1635" bestFit="1" customWidth="1"/>
    <col min="7691" max="7691" width="4" style="1635" customWidth="1"/>
    <col min="7692" max="7692" width="5.08984375" style="1635" customWidth="1"/>
    <col min="7693" max="7693" width="13.81640625" style="1635" customWidth="1"/>
    <col min="7694" max="7936" width="9" style="1635"/>
    <col min="7937" max="7937" width="4.90625" style="1635" customWidth="1"/>
    <col min="7938" max="7938" width="13.1796875" style="1635" customWidth="1"/>
    <col min="7939" max="7939" width="15.6328125" style="1635" customWidth="1"/>
    <col min="7940" max="7940" width="9.36328125" style="1635" bestFit="1" customWidth="1"/>
    <col min="7941" max="7941" width="13.453125" style="1635" customWidth="1"/>
    <col min="7942" max="7942" width="9" style="1635"/>
    <col min="7943" max="7943" width="9.36328125" style="1635" bestFit="1" customWidth="1"/>
    <col min="7944" max="7945" width="9" style="1635"/>
    <col min="7946" max="7946" width="9.36328125" style="1635" bestFit="1" customWidth="1"/>
    <col min="7947" max="7947" width="4" style="1635" customWidth="1"/>
    <col min="7948" max="7948" width="5.08984375" style="1635" customWidth="1"/>
    <col min="7949" max="7949" width="13.81640625" style="1635" customWidth="1"/>
    <col min="7950" max="8192" width="9" style="1635"/>
    <col min="8193" max="8193" width="4.90625" style="1635" customWidth="1"/>
    <col min="8194" max="8194" width="13.1796875" style="1635" customWidth="1"/>
    <col min="8195" max="8195" width="15.6328125" style="1635" customWidth="1"/>
    <col min="8196" max="8196" width="9.36328125" style="1635" bestFit="1" customWidth="1"/>
    <col min="8197" max="8197" width="13.453125" style="1635" customWidth="1"/>
    <col min="8198" max="8198" width="9" style="1635"/>
    <col min="8199" max="8199" width="9.36328125" style="1635" bestFit="1" customWidth="1"/>
    <col min="8200" max="8201" width="9" style="1635"/>
    <col min="8202" max="8202" width="9.36328125" style="1635" bestFit="1" customWidth="1"/>
    <col min="8203" max="8203" width="4" style="1635" customWidth="1"/>
    <col min="8204" max="8204" width="5.08984375" style="1635" customWidth="1"/>
    <col min="8205" max="8205" width="13.81640625" style="1635" customWidth="1"/>
    <col min="8206" max="8448" width="9" style="1635"/>
    <col min="8449" max="8449" width="4.90625" style="1635" customWidth="1"/>
    <col min="8450" max="8450" width="13.1796875" style="1635" customWidth="1"/>
    <col min="8451" max="8451" width="15.6328125" style="1635" customWidth="1"/>
    <col min="8452" max="8452" width="9.36328125" style="1635" bestFit="1" customWidth="1"/>
    <col min="8453" max="8453" width="13.453125" style="1635" customWidth="1"/>
    <col min="8454" max="8454" width="9" style="1635"/>
    <col min="8455" max="8455" width="9.36328125" style="1635" bestFit="1" customWidth="1"/>
    <col min="8456" max="8457" width="9" style="1635"/>
    <col min="8458" max="8458" width="9.36328125" style="1635" bestFit="1" customWidth="1"/>
    <col min="8459" max="8459" width="4" style="1635" customWidth="1"/>
    <col min="8460" max="8460" width="5.08984375" style="1635" customWidth="1"/>
    <col min="8461" max="8461" width="13.81640625" style="1635" customWidth="1"/>
    <col min="8462" max="8704" width="9" style="1635"/>
    <col min="8705" max="8705" width="4.90625" style="1635" customWidth="1"/>
    <col min="8706" max="8706" width="13.1796875" style="1635" customWidth="1"/>
    <col min="8707" max="8707" width="15.6328125" style="1635" customWidth="1"/>
    <col min="8708" max="8708" width="9.36328125" style="1635" bestFit="1" customWidth="1"/>
    <col min="8709" max="8709" width="13.453125" style="1635" customWidth="1"/>
    <col min="8710" max="8710" width="9" style="1635"/>
    <col min="8711" max="8711" width="9.36328125" style="1635" bestFit="1" customWidth="1"/>
    <col min="8712" max="8713" width="9" style="1635"/>
    <col min="8714" max="8714" width="9.36328125" style="1635" bestFit="1" customWidth="1"/>
    <col min="8715" max="8715" width="4" style="1635" customWidth="1"/>
    <col min="8716" max="8716" width="5.08984375" style="1635" customWidth="1"/>
    <col min="8717" max="8717" width="13.81640625" style="1635" customWidth="1"/>
    <col min="8718" max="8960" width="9" style="1635"/>
    <col min="8961" max="8961" width="4.90625" style="1635" customWidth="1"/>
    <col min="8962" max="8962" width="13.1796875" style="1635" customWidth="1"/>
    <col min="8963" max="8963" width="15.6328125" style="1635" customWidth="1"/>
    <col min="8964" max="8964" width="9.36328125" style="1635" bestFit="1" customWidth="1"/>
    <col min="8965" max="8965" width="13.453125" style="1635" customWidth="1"/>
    <col min="8966" max="8966" width="9" style="1635"/>
    <col min="8967" max="8967" width="9.36328125" style="1635" bestFit="1" customWidth="1"/>
    <col min="8968" max="8969" width="9" style="1635"/>
    <col min="8970" max="8970" width="9.36328125" style="1635" bestFit="1" customWidth="1"/>
    <col min="8971" max="8971" width="4" style="1635" customWidth="1"/>
    <col min="8972" max="8972" width="5.08984375" style="1635" customWidth="1"/>
    <col min="8973" max="8973" width="13.81640625" style="1635" customWidth="1"/>
    <col min="8974" max="9216" width="9" style="1635"/>
    <col min="9217" max="9217" width="4.90625" style="1635" customWidth="1"/>
    <col min="9218" max="9218" width="13.1796875" style="1635" customWidth="1"/>
    <col min="9219" max="9219" width="15.6328125" style="1635" customWidth="1"/>
    <col min="9220" max="9220" width="9.36328125" style="1635" bestFit="1" customWidth="1"/>
    <col min="9221" max="9221" width="13.453125" style="1635" customWidth="1"/>
    <col min="9222" max="9222" width="9" style="1635"/>
    <col min="9223" max="9223" width="9.36328125" style="1635" bestFit="1" customWidth="1"/>
    <col min="9224" max="9225" width="9" style="1635"/>
    <col min="9226" max="9226" width="9.36328125" style="1635" bestFit="1" customWidth="1"/>
    <col min="9227" max="9227" width="4" style="1635" customWidth="1"/>
    <col min="9228" max="9228" width="5.08984375" style="1635" customWidth="1"/>
    <col min="9229" max="9229" width="13.81640625" style="1635" customWidth="1"/>
    <col min="9230" max="9472" width="9" style="1635"/>
    <col min="9473" max="9473" width="4.90625" style="1635" customWidth="1"/>
    <col min="9474" max="9474" width="13.1796875" style="1635" customWidth="1"/>
    <col min="9475" max="9475" width="15.6328125" style="1635" customWidth="1"/>
    <col min="9476" max="9476" width="9.36328125" style="1635" bestFit="1" customWidth="1"/>
    <col min="9477" max="9477" width="13.453125" style="1635" customWidth="1"/>
    <col min="9478" max="9478" width="9" style="1635"/>
    <col min="9479" max="9479" width="9.36328125" style="1635" bestFit="1" customWidth="1"/>
    <col min="9480" max="9481" width="9" style="1635"/>
    <col min="9482" max="9482" width="9.36328125" style="1635" bestFit="1" customWidth="1"/>
    <col min="9483" max="9483" width="4" style="1635" customWidth="1"/>
    <col min="9484" max="9484" width="5.08984375" style="1635" customWidth="1"/>
    <col min="9485" max="9485" width="13.81640625" style="1635" customWidth="1"/>
    <col min="9486" max="9728" width="9" style="1635"/>
    <col min="9729" max="9729" width="4.90625" style="1635" customWidth="1"/>
    <col min="9730" max="9730" width="13.1796875" style="1635" customWidth="1"/>
    <col min="9731" max="9731" width="15.6328125" style="1635" customWidth="1"/>
    <col min="9732" max="9732" width="9.36328125" style="1635" bestFit="1" customWidth="1"/>
    <col min="9733" max="9733" width="13.453125" style="1635" customWidth="1"/>
    <col min="9734" max="9734" width="9" style="1635"/>
    <col min="9735" max="9735" width="9.36328125" style="1635" bestFit="1" customWidth="1"/>
    <col min="9736" max="9737" width="9" style="1635"/>
    <col min="9738" max="9738" width="9.36328125" style="1635" bestFit="1" customWidth="1"/>
    <col min="9739" max="9739" width="4" style="1635" customWidth="1"/>
    <col min="9740" max="9740" width="5.08984375" style="1635" customWidth="1"/>
    <col min="9741" max="9741" width="13.81640625" style="1635" customWidth="1"/>
    <col min="9742" max="9984" width="9" style="1635"/>
    <col min="9985" max="9985" width="4.90625" style="1635" customWidth="1"/>
    <col min="9986" max="9986" width="13.1796875" style="1635" customWidth="1"/>
    <col min="9987" max="9987" width="15.6328125" style="1635" customWidth="1"/>
    <col min="9988" max="9988" width="9.36328125" style="1635" bestFit="1" customWidth="1"/>
    <col min="9989" max="9989" width="13.453125" style="1635" customWidth="1"/>
    <col min="9990" max="9990" width="9" style="1635"/>
    <col min="9991" max="9991" width="9.36328125" style="1635" bestFit="1" customWidth="1"/>
    <col min="9992" max="9993" width="9" style="1635"/>
    <col min="9994" max="9994" width="9.36328125" style="1635" bestFit="1" customWidth="1"/>
    <col min="9995" max="9995" width="4" style="1635" customWidth="1"/>
    <col min="9996" max="9996" width="5.08984375" style="1635" customWidth="1"/>
    <col min="9997" max="9997" width="13.81640625" style="1635" customWidth="1"/>
    <col min="9998" max="10240" width="9" style="1635"/>
    <col min="10241" max="10241" width="4.90625" style="1635" customWidth="1"/>
    <col min="10242" max="10242" width="13.1796875" style="1635" customWidth="1"/>
    <col min="10243" max="10243" width="15.6328125" style="1635" customWidth="1"/>
    <col min="10244" max="10244" width="9.36328125" style="1635" bestFit="1" customWidth="1"/>
    <col min="10245" max="10245" width="13.453125" style="1635" customWidth="1"/>
    <col min="10246" max="10246" width="9" style="1635"/>
    <col min="10247" max="10247" width="9.36328125" style="1635" bestFit="1" customWidth="1"/>
    <col min="10248" max="10249" width="9" style="1635"/>
    <col min="10250" max="10250" width="9.36328125" style="1635" bestFit="1" customWidth="1"/>
    <col min="10251" max="10251" width="4" style="1635" customWidth="1"/>
    <col min="10252" max="10252" width="5.08984375" style="1635" customWidth="1"/>
    <col min="10253" max="10253" width="13.81640625" style="1635" customWidth="1"/>
    <col min="10254" max="10496" width="9" style="1635"/>
    <col min="10497" max="10497" width="4.90625" style="1635" customWidth="1"/>
    <col min="10498" max="10498" width="13.1796875" style="1635" customWidth="1"/>
    <col min="10499" max="10499" width="15.6328125" style="1635" customWidth="1"/>
    <col min="10500" max="10500" width="9.36328125" style="1635" bestFit="1" customWidth="1"/>
    <col min="10501" max="10501" width="13.453125" style="1635" customWidth="1"/>
    <col min="10502" max="10502" width="9" style="1635"/>
    <col min="10503" max="10503" width="9.36328125" style="1635" bestFit="1" customWidth="1"/>
    <col min="10504" max="10505" width="9" style="1635"/>
    <col min="10506" max="10506" width="9.36328125" style="1635" bestFit="1" customWidth="1"/>
    <col min="10507" max="10507" width="4" style="1635" customWidth="1"/>
    <col min="10508" max="10508" width="5.08984375" style="1635" customWidth="1"/>
    <col min="10509" max="10509" width="13.81640625" style="1635" customWidth="1"/>
    <col min="10510" max="10752" width="9" style="1635"/>
    <col min="10753" max="10753" width="4.90625" style="1635" customWidth="1"/>
    <col min="10754" max="10754" width="13.1796875" style="1635" customWidth="1"/>
    <col min="10755" max="10755" width="15.6328125" style="1635" customWidth="1"/>
    <col min="10756" max="10756" width="9.36328125" style="1635" bestFit="1" customWidth="1"/>
    <col min="10757" max="10757" width="13.453125" style="1635" customWidth="1"/>
    <col min="10758" max="10758" width="9" style="1635"/>
    <col min="10759" max="10759" width="9.36328125" style="1635" bestFit="1" customWidth="1"/>
    <col min="10760" max="10761" width="9" style="1635"/>
    <col min="10762" max="10762" width="9.36328125" style="1635" bestFit="1" customWidth="1"/>
    <col min="10763" max="10763" width="4" style="1635" customWidth="1"/>
    <col min="10764" max="10764" width="5.08984375" style="1635" customWidth="1"/>
    <col min="10765" max="10765" width="13.81640625" style="1635" customWidth="1"/>
    <col min="10766" max="11008" width="9" style="1635"/>
    <col min="11009" max="11009" width="4.90625" style="1635" customWidth="1"/>
    <col min="11010" max="11010" width="13.1796875" style="1635" customWidth="1"/>
    <col min="11011" max="11011" width="15.6328125" style="1635" customWidth="1"/>
    <col min="11012" max="11012" width="9.36328125" style="1635" bestFit="1" customWidth="1"/>
    <col min="11013" max="11013" width="13.453125" style="1635" customWidth="1"/>
    <col min="11014" max="11014" width="9" style="1635"/>
    <col min="11015" max="11015" width="9.36328125" style="1635" bestFit="1" customWidth="1"/>
    <col min="11016" max="11017" width="9" style="1635"/>
    <col min="11018" max="11018" width="9.36328125" style="1635" bestFit="1" customWidth="1"/>
    <col min="11019" max="11019" width="4" style="1635" customWidth="1"/>
    <col min="11020" max="11020" width="5.08984375" style="1635" customWidth="1"/>
    <col min="11021" max="11021" width="13.81640625" style="1635" customWidth="1"/>
    <col min="11022" max="11264" width="9" style="1635"/>
    <col min="11265" max="11265" width="4.90625" style="1635" customWidth="1"/>
    <col min="11266" max="11266" width="13.1796875" style="1635" customWidth="1"/>
    <col min="11267" max="11267" width="15.6328125" style="1635" customWidth="1"/>
    <col min="11268" max="11268" width="9.36328125" style="1635" bestFit="1" customWidth="1"/>
    <col min="11269" max="11269" width="13.453125" style="1635" customWidth="1"/>
    <col min="11270" max="11270" width="9" style="1635"/>
    <col min="11271" max="11271" width="9.36328125" style="1635" bestFit="1" customWidth="1"/>
    <col min="11272" max="11273" width="9" style="1635"/>
    <col min="11274" max="11274" width="9.36328125" style="1635" bestFit="1" customWidth="1"/>
    <col min="11275" max="11275" width="4" style="1635" customWidth="1"/>
    <col min="11276" max="11276" width="5.08984375" style="1635" customWidth="1"/>
    <col min="11277" max="11277" width="13.81640625" style="1635" customWidth="1"/>
    <col min="11278" max="11520" width="9" style="1635"/>
    <col min="11521" max="11521" width="4.90625" style="1635" customWidth="1"/>
    <col min="11522" max="11522" width="13.1796875" style="1635" customWidth="1"/>
    <col min="11523" max="11523" width="15.6328125" style="1635" customWidth="1"/>
    <col min="11524" max="11524" width="9.36328125" style="1635" bestFit="1" customWidth="1"/>
    <col min="11525" max="11525" width="13.453125" style="1635" customWidth="1"/>
    <col min="11526" max="11526" width="9" style="1635"/>
    <col min="11527" max="11527" width="9.36328125" style="1635" bestFit="1" customWidth="1"/>
    <col min="11528" max="11529" width="9" style="1635"/>
    <col min="11530" max="11530" width="9.36328125" style="1635" bestFit="1" customWidth="1"/>
    <col min="11531" max="11531" width="4" style="1635" customWidth="1"/>
    <col min="11532" max="11532" width="5.08984375" style="1635" customWidth="1"/>
    <col min="11533" max="11533" width="13.81640625" style="1635" customWidth="1"/>
    <col min="11534" max="11776" width="9" style="1635"/>
    <col min="11777" max="11777" width="4.90625" style="1635" customWidth="1"/>
    <col min="11778" max="11778" width="13.1796875" style="1635" customWidth="1"/>
    <col min="11779" max="11779" width="15.6328125" style="1635" customWidth="1"/>
    <col min="11780" max="11780" width="9.36328125" style="1635" bestFit="1" customWidth="1"/>
    <col min="11781" max="11781" width="13.453125" style="1635" customWidth="1"/>
    <col min="11782" max="11782" width="9" style="1635"/>
    <col min="11783" max="11783" width="9.36328125" style="1635" bestFit="1" customWidth="1"/>
    <col min="11784" max="11785" width="9" style="1635"/>
    <col min="11786" max="11786" width="9.36328125" style="1635" bestFit="1" customWidth="1"/>
    <col min="11787" max="11787" width="4" style="1635" customWidth="1"/>
    <col min="11788" max="11788" width="5.08984375" style="1635" customWidth="1"/>
    <col min="11789" max="11789" width="13.81640625" style="1635" customWidth="1"/>
    <col min="11790" max="12032" width="9" style="1635"/>
    <col min="12033" max="12033" width="4.90625" style="1635" customWidth="1"/>
    <col min="12034" max="12034" width="13.1796875" style="1635" customWidth="1"/>
    <col min="12035" max="12035" width="15.6328125" style="1635" customWidth="1"/>
    <col min="12036" max="12036" width="9.36328125" style="1635" bestFit="1" customWidth="1"/>
    <col min="12037" max="12037" width="13.453125" style="1635" customWidth="1"/>
    <col min="12038" max="12038" width="9" style="1635"/>
    <col min="12039" max="12039" width="9.36328125" style="1635" bestFit="1" customWidth="1"/>
    <col min="12040" max="12041" width="9" style="1635"/>
    <col min="12042" max="12042" width="9.36328125" style="1635" bestFit="1" customWidth="1"/>
    <col min="12043" max="12043" width="4" style="1635" customWidth="1"/>
    <col min="12044" max="12044" width="5.08984375" style="1635" customWidth="1"/>
    <col min="12045" max="12045" width="13.81640625" style="1635" customWidth="1"/>
    <col min="12046" max="12288" width="9" style="1635"/>
    <col min="12289" max="12289" width="4.90625" style="1635" customWidth="1"/>
    <col min="12290" max="12290" width="13.1796875" style="1635" customWidth="1"/>
    <col min="12291" max="12291" width="15.6328125" style="1635" customWidth="1"/>
    <col min="12292" max="12292" width="9.36328125" style="1635" bestFit="1" customWidth="1"/>
    <col min="12293" max="12293" width="13.453125" style="1635" customWidth="1"/>
    <col min="12294" max="12294" width="9" style="1635"/>
    <col min="12295" max="12295" width="9.36328125" style="1635" bestFit="1" customWidth="1"/>
    <col min="12296" max="12297" width="9" style="1635"/>
    <col min="12298" max="12298" width="9.36328125" style="1635" bestFit="1" customWidth="1"/>
    <col min="12299" max="12299" width="4" style="1635" customWidth="1"/>
    <col min="12300" max="12300" width="5.08984375" style="1635" customWidth="1"/>
    <col min="12301" max="12301" width="13.81640625" style="1635" customWidth="1"/>
    <col min="12302" max="12544" width="9" style="1635"/>
    <col min="12545" max="12545" width="4.90625" style="1635" customWidth="1"/>
    <col min="12546" max="12546" width="13.1796875" style="1635" customWidth="1"/>
    <col min="12547" max="12547" width="15.6328125" style="1635" customWidth="1"/>
    <col min="12548" max="12548" width="9.36328125" style="1635" bestFit="1" customWidth="1"/>
    <col min="12549" max="12549" width="13.453125" style="1635" customWidth="1"/>
    <col min="12550" max="12550" width="9" style="1635"/>
    <col min="12551" max="12551" width="9.36328125" style="1635" bestFit="1" customWidth="1"/>
    <col min="12552" max="12553" width="9" style="1635"/>
    <col min="12554" max="12554" width="9.36328125" style="1635" bestFit="1" customWidth="1"/>
    <col min="12555" max="12555" width="4" style="1635" customWidth="1"/>
    <col min="12556" max="12556" width="5.08984375" style="1635" customWidth="1"/>
    <col min="12557" max="12557" width="13.81640625" style="1635" customWidth="1"/>
    <col min="12558" max="12800" width="9" style="1635"/>
    <col min="12801" max="12801" width="4.90625" style="1635" customWidth="1"/>
    <col min="12802" max="12802" width="13.1796875" style="1635" customWidth="1"/>
    <col min="12803" max="12803" width="15.6328125" style="1635" customWidth="1"/>
    <col min="12804" max="12804" width="9.36328125" style="1635" bestFit="1" customWidth="1"/>
    <col min="12805" max="12805" width="13.453125" style="1635" customWidth="1"/>
    <col min="12806" max="12806" width="9" style="1635"/>
    <col min="12807" max="12807" width="9.36328125" style="1635" bestFit="1" customWidth="1"/>
    <col min="12808" max="12809" width="9" style="1635"/>
    <col min="12810" max="12810" width="9.36328125" style="1635" bestFit="1" customWidth="1"/>
    <col min="12811" max="12811" width="4" style="1635" customWidth="1"/>
    <col min="12812" max="12812" width="5.08984375" style="1635" customWidth="1"/>
    <col min="12813" max="12813" width="13.81640625" style="1635" customWidth="1"/>
    <col min="12814" max="13056" width="9" style="1635"/>
    <col min="13057" max="13057" width="4.90625" style="1635" customWidth="1"/>
    <col min="13058" max="13058" width="13.1796875" style="1635" customWidth="1"/>
    <col min="13059" max="13059" width="15.6328125" style="1635" customWidth="1"/>
    <col min="13060" max="13060" width="9.36328125" style="1635" bestFit="1" customWidth="1"/>
    <col min="13061" max="13061" width="13.453125" style="1635" customWidth="1"/>
    <col min="13062" max="13062" width="9" style="1635"/>
    <col min="13063" max="13063" width="9.36328125" style="1635" bestFit="1" customWidth="1"/>
    <col min="13064" max="13065" width="9" style="1635"/>
    <col min="13066" max="13066" width="9.36328125" style="1635" bestFit="1" customWidth="1"/>
    <col min="13067" max="13067" width="4" style="1635" customWidth="1"/>
    <col min="13068" max="13068" width="5.08984375" style="1635" customWidth="1"/>
    <col min="13069" max="13069" width="13.81640625" style="1635" customWidth="1"/>
    <col min="13070" max="13312" width="9" style="1635"/>
    <col min="13313" max="13313" width="4.90625" style="1635" customWidth="1"/>
    <col min="13314" max="13314" width="13.1796875" style="1635" customWidth="1"/>
    <col min="13315" max="13315" width="15.6328125" style="1635" customWidth="1"/>
    <col min="13316" max="13316" width="9.36328125" style="1635" bestFit="1" customWidth="1"/>
    <col min="13317" max="13317" width="13.453125" style="1635" customWidth="1"/>
    <col min="13318" max="13318" width="9" style="1635"/>
    <col min="13319" max="13319" width="9.36328125" style="1635" bestFit="1" customWidth="1"/>
    <col min="13320" max="13321" width="9" style="1635"/>
    <col min="13322" max="13322" width="9.36328125" style="1635" bestFit="1" customWidth="1"/>
    <col min="13323" max="13323" width="4" style="1635" customWidth="1"/>
    <col min="13324" max="13324" width="5.08984375" style="1635" customWidth="1"/>
    <col min="13325" max="13325" width="13.81640625" style="1635" customWidth="1"/>
    <col min="13326" max="13568" width="9" style="1635"/>
    <col min="13569" max="13569" width="4.90625" style="1635" customWidth="1"/>
    <col min="13570" max="13570" width="13.1796875" style="1635" customWidth="1"/>
    <col min="13571" max="13571" width="15.6328125" style="1635" customWidth="1"/>
    <col min="13572" max="13572" width="9.36328125" style="1635" bestFit="1" customWidth="1"/>
    <col min="13573" max="13573" width="13.453125" style="1635" customWidth="1"/>
    <col min="13574" max="13574" width="9" style="1635"/>
    <col min="13575" max="13575" width="9.36328125" style="1635" bestFit="1" customWidth="1"/>
    <col min="13576" max="13577" width="9" style="1635"/>
    <col min="13578" max="13578" width="9.36328125" style="1635" bestFit="1" customWidth="1"/>
    <col min="13579" max="13579" width="4" style="1635" customWidth="1"/>
    <col min="13580" max="13580" width="5.08984375" style="1635" customWidth="1"/>
    <col min="13581" max="13581" width="13.81640625" style="1635" customWidth="1"/>
    <col min="13582" max="13824" width="9" style="1635"/>
    <col min="13825" max="13825" width="4.90625" style="1635" customWidth="1"/>
    <col min="13826" max="13826" width="13.1796875" style="1635" customWidth="1"/>
    <col min="13827" max="13827" width="15.6328125" style="1635" customWidth="1"/>
    <col min="13828" max="13828" width="9.36328125" style="1635" bestFit="1" customWidth="1"/>
    <col min="13829" max="13829" width="13.453125" style="1635" customWidth="1"/>
    <col min="13830" max="13830" width="9" style="1635"/>
    <col min="13831" max="13831" width="9.36328125" style="1635" bestFit="1" customWidth="1"/>
    <col min="13832" max="13833" width="9" style="1635"/>
    <col min="13834" max="13834" width="9.36328125" style="1635" bestFit="1" customWidth="1"/>
    <col min="13835" max="13835" width="4" style="1635" customWidth="1"/>
    <col min="13836" max="13836" width="5.08984375" style="1635" customWidth="1"/>
    <col min="13837" max="13837" width="13.81640625" style="1635" customWidth="1"/>
    <col min="13838" max="14080" width="9" style="1635"/>
    <col min="14081" max="14081" width="4.90625" style="1635" customWidth="1"/>
    <col min="14082" max="14082" width="13.1796875" style="1635" customWidth="1"/>
    <col min="14083" max="14083" width="15.6328125" style="1635" customWidth="1"/>
    <col min="14084" max="14084" width="9.36328125" style="1635" bestFit="1" customWidth="1"/>
    <col min="14085" max="14085" width="13.453125" style="1635" customWidth="1"/>
    <col min="14086" max="14086" width="9" style="1635"/>
    <col min="14087" max="14087" width="9.36328125" style="1635" bestFit="1" customWidth="1"/>
    <col min="14088" max="14089" width="9" style="1635"/>
    <col min="14090" max="14090" width="9.36328125" style="1635" bestFit="1" customWidth="1"/>
    <col min="14091" max="14091" width="4" style="1635" customWidth="1"/>
    <col min="14092" max="14092" width="5.08984375" style="1635" customWidth="1"/>
    <col min="14093" max="14093" width="13.81640625" style="1635" customWidth="1"/>
    <col min="14094" max="14336" width="9" style="1635"/>
    <col min="14337" max="14337" width="4.90625" style="1635" customWidth="1"/>
    <col min="14338" max="14338" width="13.1796875" style="1635" customWidth="1"/>
    <col min="14339" max="14339" width="15.6328125" style="1635" customWidth="1"/>
    <col min="14340" max="14340" width="9.36328125" style="1635" bestFit="1" customWidth="1"/>
    <col min="14341" max="14341" width="13.453125" style="1635" customWidth="1"/>
    <col min="14342" max="14342" width="9" style="1635"/>
    <col min="14343" max="14343" width="9.36328125" style="1635" bestFit="1" customWidth="1"/>
    <col min="14344" max="14345" width="9" style="1635"/>
    <col min="14346" max="14346" width="9.36328125" style="1635" bestFit="1" customWidth="1"/>
    <col min="14347" max="14347" width="4" style="1635" customWidth="1"/>
    <col min="14348" max="14348" width="5.08984375" style="1635" customWidth="1"/>
    <col min="14349" max="14349" width="13.81640625" style="1635" customWidth="1"/>
    <col min="14350" max="14592" width="9" style="1635"/>
    <col min="14593" max="14593" width="4.90625" style="1635" customWidth="1"/>
    <col min="14594" max="14594" width="13.1796875" style="1635" customWidth="1"/>
    <col min="14595" max="14595" width="15.6328125" style="1635" customWidth="1"/>
    <col min="14596" max="14596" width="9.36328125" style="1635" bestFit="1" customWidth="1"/>
    <col min="14597" max="14597" width="13.453125" style="1635" customWidth="1"/>
    <col min="14598" max="14598" width="9" style="1635"/>
    <col min="14599" max="14599" width="9.36328125" style="1635" bestFit="1" customWidth="1"/>
    <col min="14600" max="14601" width="9" style="1635"/>
    <col min="14602" max="14602" width="9.36328125" style="1635" bestFit="1" customWidth="1"/>
    <col min="14603" max="14603" width="4" style="1635" customWidth="1"/>
    <col min="14604" max="14604" width="5.08984375" style="1635" customWidth="1"/>
    <col min="14605" max="14605" width="13.81640625" style="1635" customWidth="1"/>
    <col min="14606" max="14848" width="9" style="1635"/>
    <col min="14849" max="14849" width="4.90625" style="1635" customWidth="1"/>
    <col min="14850" max="14850" width="13.1796875" style="1635" customWidth="1"/>
    <col min="14851" max="14851" width="15.6328125" style="1635" customWidth="1"/>
    <col min="14852" max="14852" width="9.36328125" style="1635" bestFit="1" customWidth="1"/>
    <col min="14853" max="14853" width="13.453125" style="1635" customWidth="1"/>
    <col min="14854" max="14854" width="9" style="1635"/>
    <col min="14855" max="14855" width="9.36328125" style="1635" bestFit="1" customWidth="1"/>
    <col min="14856" max="14857" width="9" style="1635"/>
    <col min="14858" max="14858" width="9.36328125" style="1635" bestFit="1" customWidth="1"/>
    <col min="14859" max="14859" width="4" style="1635" customWidth="1"/>
    <col min="14860" max="14860" width="5.08984375" style="1635" customWidth="1"/>
    <col min="14861" max="14861" width="13.81640625" style="1635" customWidth="1"/>
    <col min="14862" max="15104" width="9" style="1635"/>
    <col min="15105" max="15105" width="4.90625" style="1635" customWidth="1"/>
    <col min="15106" max="15106" width="13.1796875" style="1635" customWidth="1"/>
    <col min="15107" max="15107" width="15.6328125" style="1635" customWidth="1"/>
    <col min="15108" max="15108" width="9.36328125" style="1635" bestFit="1" customWidth="1"/>
    <col min="15109" max="15109" width="13.453125" style="1635" customWidth="1"/>
    <col min="15110" max="15110" width="9" style="1635"/>
    <col min="15111" max="15111" width="9.36328125" style="1635" bestFit="1" customWidth="1"/>
    <col min="15112" max="15113" width="9" style="1635"/>
    <col min="15114" max="15114" width="9.36328125" style="1635" bestFit="1" customWidth="1"/>
    <col min="15115" max="15115" width="4" style="1635" customWidth="1"/>
    <col min="15116" max="15116" width="5.08984375" style="1635" customWidth="1"/>
    <col min="15117" max="15117" width="13.81640625" style="1635" customWidth="1"/>
    <col min="15118" max="15360" width="9" style="1635"/>
    <col min="15361" max="15361" width="4.90625" style="1635" customWidth="1"/>
    <col min="15362" max="15362" width="13.1796875" style="1635" customWidth="1"/>
    <col min="15363" max="15363" width="15.6328125" style="1635" customWidth="1"/>
    <col min="15364" max="15364" width="9.36328125" style="1635" bestFit="1" customWidth="1"/>
    <col min="15365" max="15365" width="13.453125" style="1635" customWidth="1"/>
    <col min="15366" max="15366" width="9" style="1635"/>
    <col min="15367" max="15367" width="9.36328125" style="1635" bestFit="1" customWidth="1"/>
    <col min="15368" max="15369" width="9" style="1635"/>
    <col min="15370" max="15370" width="9.36328125" style="1635" bestFit="1" customWidth="1"/>
    <col min="15371" max="15371" width="4" style="1635" customWidth="1"/>
    <col min="15372" max="15372" width="5.08984375" style="1635" customWidth="1"/>
    <col min="15373" max="15373" width="13.81640625" style="1635" customWidth="1"/>
    <col min="15374" max="15616" width="9" style="1635"/>
    <col min="15617" max="15617" width="4.90625" style="1635" customWidth="1"/>
    <col min="15618" max="15618" width="13.1796875" style="1635" customWidth="1"/>
    <col min="15619" max="15619" width="15.6328125" style="1635" customWidth="1"/>
    <col min="15620" max="15620" width="9.36328125" style="1635" bestFit="1" customWidth="1"/>
    <col min="15621" max="15621" width="13.453125" style="1635" customWidth="1"/>
    <col min="15622" max="15622" width="9" style="1635"/>
    <col min="15623" max="15623" width="9.36328125" style="1635" bestFit="1" customWidth="1"/>
    <col min="15624" max="15625" width="9" style="1635"/>
    <col min="15626" max="15626" width="9.36328125" style="1635" bestFit="1" customWidth="1"/>
    <col min="15627" max="15627" width="4" style="1635" customWidth="1"/>
    <col min="15628" max="15628" width="5.08984375" style="1635" customWidth="1"/>
    <col min="15629" max="15629" width="13.81640625" style="1635" customWidth="1"/>
    <col min="15630" max="15872" width="9" style="1635"/>
    <col min="15873" max="15873" width="4.90625" style="1635" customWidth="1"/>
    <col min="15874" max="15874" width="13.1796875" style="1635" customWidth="1"/>
    <col min="15875" max="15875" width="15.6328125" style="1635" customWidth="1"/>
    <col min="15876" max="15876" width="9.36328125" style="1635" bestFit="1" customWidth="1"/>
    <col min="15877" max="15877" width="13.453125" style="1635" customWidth="1"/>
    <col min="15878" max="15878" width="9" style="1635"/>
    <col min="15879" max="15879" width="9.36328125" style="1635" bestFit="1" customWidth="1"/>
    <col min="15880" max="15881" width="9" style="1635"/>
    <col min="15882" max="15882" width="9.36328125" style="1635" bestFit="1" customWidth="1"/>
    <col min="15883" max="15883" width="4" style="1635" customWidth="1"/>
    <col min="15884" max="15884" width="5.08984375" style="1635" customWidth="1"/>
    <col min="15885" max="15885" width="13.81640625" style="1635" customWidth="1"/>
    <col min="15886" max="16128" width="9" style="1635"/>
    <col min="16129" max="16129" width="4.90625" style="1635" customWidth="1"/>
    <col min="16130" max="16130" width="13.1796875" style="1635" customWidth="1"/>
    <col min="16131" max="16131" width="15.6328125" style="1635" customWidth="1"/>
    <col min="16132" max="16132" width="9.36328125" style="1635" bestFit="1" customWidth="1"/>
    <col min="16133" max="16133" width="13.453125" style="1635" customWidth="1"/>
    <col min="16134" max="16134" width="9" style="1635"/>
    <col min="16135" max="16135" width="9.36328125" style="1635" bestFit="1" customWidth="1"/>
    <col min="16136" max="16137" width="9" style="1635"/>
    <col min="16138" max="16138" width="9.36328125" style="1635" bestFit="1" customWidth="1"/>
    <col min="16139" max="16139" width="4" style="1635" customWidth="1"/>
    <col min="16140" max="16140" width="5.08984375" style="1635" customWidth="1"/>
    <col min="16141" max="16141" width="13.81640625" style="1635" customWidth="1"/>
    <col min="16142" max="16384" width="9" style="1635"/>
  </cols>
  <sheetData>
    <row r="1" spans="1:257" s="1699" customFormat="1" ht="14.5" thickBot="1">
      <c r="A1" s="1693"/>
      <c r="B1" s="1700" t="s">
        <v>1295</v>
      </c>
      <c r="C1" s="1694">
        <f>项目基本情况!D3</f>
        <v>43868</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1">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3">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0">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782" t="s">
        <v>1367</v>
      </c>
      <c r="E1" s="1776" t="s">
        <v>1371</v>
      </c>
      <c r="F1" s="1777" t="s">
        <v>1375</v>
      </c>
    </row>
    <row r="2" spans="1:13" ht="20">
      <c r="A2" s="1783" t="s">
        <v>1368</v>
      </c>
    </row>
    <row r="3" spans="1:13" ht="16.5">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4" customWidth="1"/>
    <col min="2" max="9" width="12.08984375" style="1944" customWidth="1"/>
    <col min="10" max="16384" width="9" style="1944"/>
  </cols>
  <sheetData>
    <row r="1" spans="1:9" ht="18.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1635</v>
      </c>
      <c r="B2" s="2977" t="s">
        <v>1636</v>
      </c>
      <c r="C2" s="2977" t="s">
        <v>1637</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6">
      <c r="A3" s="2978"/>
      <c r="B3" s="2978"/>
      <c r="C3" s="2978"/>
      <c r="D3" s="1044" t="s">
        <v>1632</v>
      </c>
      <c r="E3" s="1044" t="s">
        <v>1638</v>
      </c>
      <c r="F3" s="1044" t="s">
        <v>1632</v>
      </c>
      <c r="G3" s="1044" t="s">
        <v>1633</v>
      </c>
      <c r="H3" s="1044" t="s">
        <v>1632</v>
      </c>
      <c r="I3" s="1044" t="s">
        <v>1633</v>
      </c>
    </row>
    <row r="4" spans="1:9" ht="31">
      <c r="A4" s="1972" t="str">
        <f>项目基本情况!S2</f>
        <v>出让国有建设用地使用权及在建建筑物房地产</v>
      </c>
      <c r="B4" s="1044">
        <f>项目基本情况!C17</f>
        <v>70116</v>
      </c>
      <c r="C4" s="1044">
        <f>项目基本情况!C18</f>
        <v>62695.5</v>
      </c>
      <c r="D4" s="1044" t="e">
        <f ca="1">结果表!D118</f>
        <v>#REF!</v>
      </c>
      <c r="E4" s="1044" t="e">
        <f ca="1">结果表!E118</f>
        <v>#REF!</v>
      </c>
      <c r="F4" s="1044" t="e">
        <f ca="1">结果表!F118</f>
        <v>#REF!</v>
      </c>
      <c r="G4" s="1044" t="e">
        <f ca="1">结果表!G118</f>
        <v>#REF!</v>
      </c>
      <c r="H4" s="1044">
        <f ca="1">结果表!H118</f>
        <v>23438</v>
      </c>
      <c r="I4" s="1044">
        <f ca="1">结果表!I118</f>
        <v>3343</v>
      </c>
    </row>
    <row r="5" spans="1:9" ht="30" customHeight="1">
      <c r="A5" s="2978" t="s">
        <v>1634</v>
      </c>
      <c r="B5" s="2978"/>
      <c r="C5" s="2978"/>
      <c r="D5" s="2979" t="e">
        <f ca="1">结果表!D119</f>
        <v>#REF!</v>
      </c>
      <c r="E5" s="2979"/>
      <c r="F5" s="2979" t="e">
        <f ca="1">结果表!F119</f>
        <v>#REF!</v>
      </c>
      <c r="G5" s="2979"/>
      <c r="H5" s="2979" t="str">
        <f ca="1">结果表!H119</f>
        <v>贰亿叁仟肆佰叁拾捌万元整</v>
      </c>
      <c r="I5" s="2979"/>
    </row>
    <row r="6" spans="1:9" ht="15.5">
      <c r="A6" s="2980" t="str">
        <f>结果表!A120</f>
        <v>估价师知悉的法定优先受偿款</v>
      </c>
      <c r="B6" s="2980"/>
      <c r="C6" s="2980"/>
      <c r="D6" s="2980">
        <f>结果表!D120</f>
        <v>0</v>
      </c>
      <c r="E6" s="2980"/>
      <c r="F6" s="2980"/>
      <c r="G6" s="2980"/>
      <c r="H6" s="2980"/>
      <c r="I6" s="2980"/>
    </row>
    <row r="7" spans="1:9" ht="15.5">
      <c r="A7" s="2978" t="s">
        <v>1634</v>
      </c>
      <c r="B7" s="2978"/>
      <c r="C7" s="2978"/>
      <c r="D7" s="2981" t="str">
        <f>结果表!D121</f>
        <v>零元整</v>
      </c>
      <c r="E7" s="2982"/>
      <c r="F7" s="2982"/>
      <c r="G7" s="2982"/>
      <c r="H7" s="2982"/>
      <c r="I7" s="2983"/>
    </row>
    <row r="8" spans="1:9" ht="15.5">
      <c r="A8" s="2980" t="str">
        <f>结果表!A122</f>
        <v>房地产抵押价值</v>
      </c>
      <c r="B8" s="2980"/>
      <c r="C8" s="2980"/>
      <c r="D8" s="2980">
        <f ca="1">结果表!D122</f>
        <v>23438</v>
      </c>
      <c r="E8" s="2980"/>
      <c r="F8" s="2980"/>
      <c r="G8" s="2980"/>
      <c r="H8" s="2980"/>
      <c r="I8" s="2980"/>
    </row>
    <row r="9" spans="1:9" ht="15.5">
      <c r="A9" s="2978" t="s">
        <v>1634</v>
      </c>
      <c r="B9" s="2978"/>
      <c r="C9" s="2978"/>
      <c r="D9" s="2979" t="str">
        <f ca="1">结果表!D123</f>
        <v>贰亿叁仟肆佰叁拾捌万元整</v>
      </c>
      <c r="E9" s="2979"/>
      <c r="F9" s="2979"/>
      <c r="G9" s="2979"/>
      <c r="H9" s="2979"/>
      <c r="I9" s="2979"/>
    </row>
    <row r="10" spans="1:9" ht="15.5">
      <c r="A10" s="2980" t="str">
        <f>结果表!A124</f>
        <v/>
      </c>
      <c r="B10" s="2980"/>
      <c r="C10" s="2980"/>
      <c r="D10" s="2980" t="str">
        <f>结果表!D124</f>
        <v>——</v>
      </c>
      <c r="E10" s="2980"/>
      <c r="F10" s="2980"/>
      <c r="G10" s="2980"/>
      <c r="H10" s="2980"/>
      <c r="I10" s="2980"/>
    </row>
    <row r="11" spans="1:9" ht="15.5">
      <c r="A11" s="2978" t="s">
        <v>1634</v>
      </c>
      <c r="B11" s="2978"/>
      <c r="C11" s="2978"/>
      <c r="D11" s="2979" t="e">
        <f>结果表!D125</f>
        <v>#VALUE!</v>
      </c>
      <c r="E11" s="2979"/>
      <c r="F11" s="2979"/>
      <c r="G11" s="2979"/>
      <c r="H11" s="2979"/>
      <c r="I11" s="2979"/>
    </row>
    <row r="12" spans="1:9" ht="15.5">
      <c r="A12" s="2980" t="str">
        <f>结果表!A126</f>
        <v/>
      </c>
      <c r="B12" s="2980"/>
      <c r="C12" s="2980"/>
      <c r="D12" s="2980" t="str">
        <f>结果表!D126</f>
        <v>——</v>
      </c>
      <c r="E12" s="2980"/>
      <c r="F12" s="2980"/>
      <c r="G12" s="2980"/>
      <c r="H12" s="2980"/>
      <c r="I12" s="2980"/>
    </row>
    <row r="13" spans="1:9" ht="16" thickBot="1">
      <c r="A13" s="2984" t="s">
        <v>1634</v>
      </c>
      <c r="B13" s="2984"/>
      <c r="C13" s="2984"/>
      <c r="D13" s="2985" t="e">
        <f>结果表!D127</f>
        <v>#VALUE!</v>
      </c>
      <c r="E13" s="2985"/>
      <c r="F13" s="2985"/>
      <c r="G13" s="2985"/>
      <c r="H13" s="2985"/>
      <c r="I13" s="2985"/>
    </row>
    <row r="14" spans="1:9" ht="14.5" thickTop="1">
      <c r="A14" s="2986" t="s">
        <v>1639</v>
      </c>
      <c r="B14" s="2986"/>
      <c r="C14" s="2986"/>
      <c r="D14" s="2986"/>
      <c r="E14" s="2986"/>
      <c r="F14" s="2986"/>
      <c r="G14" s="2986"/>
      <c r="H14" s="2986"/>
      <c r="I14" s="2986"/>
    </row>
    <row r="16" spans="1:9" ht="1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4" customWidth="1"/>
    <col min="2" max="3" width="22.36328125" style="1944" customWidth="1"/>
    <col min="4" max="4" width="23" style="1944" customWidth="1"/>
    <col min="5" max="16384" width="9" style="1944"/>
  </cols>
  <sheetData>
    <row r="1" spans="1:4" ht="18">
      <c r="A1" s="2987" t="s">
        <v>1656</v>
      </c>
      <c r="B1" s="2987"/>
      <c r="C1" s="2987"/>
      <c r="D1" s="2987"/>
    </row>
    <row r="2" spans="1:4" ht="18">
      <c r="A2" s="2988" t="s">
        <v>1640</v>
      </c>
      <c r="B2" s="2988"/>
      <c r="C2" s="2988"/>
      <c r="D2" s="2988"/>
    </row>
    <row r="3" spans="1:4" ht="1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88" t="s">
        <v>1646</v>
      </c>
      <c r="B6" s="2988"/>
      <c r="C6" s="2988"/>
      <c r="D6" s="2988"/>
    </row>
    <row r="7" spans="1:4" ht="1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
      <c r="A10" s="1983" t="s">
        <v>1648</v>
      </c>
      <c r="B10" s="728"/>
      <c r="C10" s="728"/>
      <c r="D10" s="728"/>
    </row>
    <row r="11" spans="1:4" ht="30" customHeight="1">
      <c r="A11" s="2989" t="s">
        <v>1649</v>
      </c>
      <c r="B11" s="2990"/>
      <c r="C11" s="2990"/>
      <c r="D11" s="2990"/>
    </row>
    <row r="12" spans="1:4" ht="15.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3" t="s">
        <v>1650</v>
      </c>
      <c r="B16" s="2993"/>
      <c r="C16" s="2993"/>
      <c r="D16" s="2993"/>
    </row>
    <row r="17" spans="1:4" ht="144" customHeight="1">
      <c r="A17" s="2993" t="s">
        <v>1651</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1652</v>
      </c>
      <c r="B22" s="2995"/>
      <c r="C22" s="2995"/>
      <c r="D22" s="2995"/>
    </row>
    <row r="23" spans="1:4">
      <c r="A23" s="1984"/>
      <c r="B23" s="1956"/>
      <c r="C23" s="1956"/>
      <c r="D23" s="1956"/>
    </row>
    <row r="24" spans="1:4">
      <c r="A24" s="1984"/>
      <c r="B24" s="1956"/>
      <c r="C24" s="1956"/>
      <c r="D24" s="1956"/>
    </row>
    <row r="25" spans="1:4" ht="17.5">
      <c r="A25" s="1985" t="s">
        <v>1653</v>
      </c>
    </row>
    <row r="26" spans="1:4" ht="17.5">
      <c r="A26" s="1954"/>
    </row>
    <row r="27" spans="1:4" ht="17.5">
      <c r="A27" s="1954" t="s">
        <v>1654</v>
      </c>
    </row>
    <row r="30" spans="1:4" ht="17.5">
      <c r="D30" s="1985" t="s">
        <v>1655</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42" customWidth="1"/>
    <col min="3" max="10" width="12.453125" style="1942" customWidth="1"/>
    <col min="11" max="16384" width="9" style="1942"/>
  </cols>
  <sheetData>
    <row r="1" spans="1:10" ht="17.5">
      <c r="A1" s="1975" t="s">
        <v>866</v>
      </c>
      <c r="B1" s="1986"/>
      <c r="C1" s="1986"/>
      <c r="D1" s="1986"/>
      <c r="E1" s="1986"/>
      <c r="F1" s="1986"/>
      <c r="G1" s="1986"/>
      <c r="H1" s="1986"/>
      <c r="I1" s="1986"/>
      <c r="J1" s="1986"/>
    </row>
    <row r="2" spans="1:10" ht="1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92" customWidth="1"/>
    <col min="2" max="16384" width="14.453125" style="1974"/>
  </cols>
  <sheetData>
    <row r="1" spans="1:7" s="1989" customFormat="1" ht="1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
      <c r="A15" s="3001" t="s">
        <v>1663</v>
      </c>
      <c r="B15" s="2996" t="s">
        <v>136</v>
      </c>
      <c r="C15" s="2997"/>
    </row>
    <row r="16" spans="1:7" ht="14">
      <c r="A16" s="3002"/>
      <c r="B16" s="2996" t="s">
        <v>69</v>
      </c>
      <c r="C16" s="2997"/>
    </row>
    <row r="17" spans="1:3" ht="14">
      <c r="A17" s="3002"/>
      <c r="B17" s="2999" t="s">
        <v>1664</v>
      </c>
      <c r="C17" s="1999" t="s">
        <v>1663</v>
      </c>
    </row>
    <row r="18" spans="1:3" ht="14">
      <c r="A18" s="3002"/>
      <c r="B18" s="2999"/>
      <c r="C18" s="1999" t="s">
        <v>1665</v>
      </c>
    </row>
    <row r="19" spans="1:3" ht="14">
      <c r="A19" s="3002"/>
      <c r="B19" s="2999"/>
      <c r="C19" s="1999" t="s">
        <v>1666</v>
      </c>
    </row>
    <row r="20" spans="1:3" ht="14">
      <c r="A20" s="3003"/>
      <c r="B20" s="2998" t="s">
        <v>1667</v>
      </c>
      <c r="C20" s="2997"/>
    </row>
    <row r="21" spans="1:3" ht="14">
      <c r="A21" s="2000" t="s">
        <v>1668</v>
      </c>
      <c r="B21" s="2001"/>
      <c r="C21" s="2002"/>
    </row>
    <row r="22" spans="1:3" ht="14">
      <c r="A22" s="3000" t="s">
        <v>1669</v>
      </c>
      <c r="B22" s="2998" t="s">
        <v>1670</v>
      </c>
      <c r="C22" s="2997"/>
    </row>
    <row r="23" spans="1:3" ht="14">
      <c r="A23" s="3000"/>
      <c r="B23" s="2998" t="s">
        <v>1671</v>
      </c>
      <c r="C23" s="2997"/>
    </row>
    <row r="24" spans="1:3" ht="14">
      <c r="A24" s="3000"/>
      <c r="B24" s="2998" t="s">
        <v>1672</v>
      </c>
      <c r="C24" s="2997"/>
    </row>
    <row r="25" spans="1:3" ht="14">
      <c r="A25" s="3000"/>
      <c r="B25" s="2999" t="s">
        <v>1673</v>
      </c>
      <c r="C25" s="1999" t="s">
        <v>1674</v>
      </c>
    </row>
    <row r="26" spans="1:3" ht="14">
      <c r="A26" s="3000"/>
      <c r="B26" s="2999"/>
      <c r="C26" s="1999" t="s">
        <v>1675</v>
      </c>
    </row>
    <row r="27" spans="1:3" ht="14">
      <c r="A27" s="3000"/>
      <c r="B27" s="2999"/>
      <c r="C27" s="1999" t="s">
        <v>1676</v>
      </c>
    </row>
    <row r="28" spans="1:3" ht="14">
      <c r="A28" s="3000"/>
      <c r="B28" s="2999"/>
      <c r="C28" s="1999" t="s">
        <v>1677</v>
      </c>
    </row>
    <row r="29" spans="1:3" ht="14">
      <c r="A29" s="3000"/>
      <c r="B29" s="2999"/>
      <c r="C29" s="1999" t="s">
        <v>1678</v>
      </c>
    </row>
    <row r="30" spans="1:3" ht="14">
      <c r="A30" s="3000"/>
      <c r="B30" s="2999"/>
      <c r="C30" s="1999" t="s">
        <v>1679</v>
      </c>
    </row>
    <row r="31" spans="1:3" ht="14">
      <c r="A31" s="3000"/>
      <c r="B31" s="2999"/>
      <c r="C31" s="1999" t="s">
        <v>1680</v>
      </c>
    </row>
    <row r="32" spans="1:3" ht="14">
      <c r="A32" s="3000"/>
      <c r="B32" s="2999"/>
      <c r="C32" s="1999" t="s">
        <v>1681</v>
      </c>
    </row>
    <row r="33" spans="1:3" ht="14">
      <c r="A33" s="3000"/>
      <c r="B33" s="2999"/>
      <c r="C33" s="1999" t="s">
        <v>1682</v>
      </c>
    </row>
    <row r="34" spans="1:3">
      <c r="A34" s="2003" t="s">
        <v>76</v>
      </c>
    </row>
    <row r="37" spans="1:3">
      <c r="A37" s="2003" t="s">
        <v>1683</v>
      </c>
    </row>
    <row r="38" spans="1:3" ht="14">
      <c r="A38" s="2004" t="s">
        <v>77</v>
      </c>
    </row>
    <row r="39" spans="1:3" ht="14">
      <c r="A39" s="2004" t="s">
        <v>78</v>
      </c>
    </row>
    <row r="40" spans="1:3" ht="14">
      <c r="A40" s="2004" t="s">
        <v>79</v>
      </c>
    </row>
    <row r="41" spans="1:3" ht="14">
      <c r="A41" s="2005" t="s">
        <v>80</v>
      </c>
    </row>
    <row r="42" spans="1:3" ht="1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328125" defaultRowHeight="24" customHeight="1"/>
  <cols>
    <col min="1" max="2" width="22.6328125" style="1015"/>
    <col min="3" max="3" width="32.1796875" style="1015" customWidth="1"/>
    <col min="4" max="5" width="22.6328125" style="1015"/>
    <col min="6" max="6" width="25.6328125" style="1015" customWidth="1"/>
    <col min="7" max="16384" width="22.6328125" style="1015"/>
  </cols>
  <sheetData>
    <row r="2" spans="1:6" ht="24" customHeight="1">
      <c r="A2" s="1017" t="s">
        <v>825</v>
      </c>
      <c r="B2" s="1018">
        <f ca="1">TODAY()</f>
        <v>43871</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t="str">
        <f ca="1">IF(C4&lt;B2,"已过期",1119970066)</f>
        <v>已过期</v>
      </c>
      <c r="C4" s="2348">
        <v>43849</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t="str">
        <f ca="1">IF(C8&lt;B2,"已过期",1120000080)</f>
        <v>已过期</v>
      </c>
      <c r="C8" s="2348">
        <v>43849</v>
      </c>
      <c r="D8" s="2351" t="s">
        <v>835</v>
      </c>
      <c r="E8" s="1022">
        <f ca="1">IF(F8&lt;B2,"已过期",2000110082)</f>
        <v>2000110082</v>
      </c>
      <c r="F8" s="1030">
        <v>46387</v>
      </c>
    </row>
    <row r="9" spans="1:6" ht="24" customHeight="1">
      <c r="A9" s="1702" t="s">
        <v>836</v>
      </c>
      <c r="B9" s="1022" t="str">
        <f ca="1">IF(C9&lt;B2,"已过期",1419970001)</f>
        <v>已过期</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3042</v>
      </c>
      <c r="B14" s="1022">
        <f ca="1">IF(C14&lt;B2,"已过期",1120040230)</f>
        <v>1120040230</v>
      </c>
      <c r="C14" s="2348">
        <v>44864</v>
      </c>
      <c r="D14" s="2351" t="s">
        <v>3042</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3049</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3051</v>
      </c>
      <c r="B23" s="1022">
        <v>1119980106</v>
      </c>
      <c r="C23" s="2348">
        <v>43916</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04" t="s">
        <v>842</v>
      </c>
      <c r="B25" s="3004"/>
      <c r="C25" s="3004"/>
      <c r="D25" s="3004"/>
      <c r="E25" s="3004"/>
      <c r="F25" s="3004"/>
      <c r="G25" s="3004"/>
    </row>
    <row r="26" spans="1:7" s="1025" customFormat="1" ht="24" customHeight="1">
      <c r="A26" s="3005" t="s">
        <v>843</v>
      </c>
      <c r="B26" s="3005"/>
      <c r="C26" s="3006"/>
      <c r="D26" s="3007" t="s">
        <v>844</v>
      </c>
      <c r="E26" s="3005"/>
      <c r="F26" s="3005"/>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Sheet3</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2020-02-09T16:19:47Z</dcterms:modified>
</cp:coreProperties>
</file>