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B7C271DB-7AD0-41FD-9112-0BCCEC622C9E}" xr6:coauthVersionLast="47" xr6:coauthVersionMax="47" xr10:uidLastSave="{00000000-0000-0000-0000-000000000000}"/>
  <bookViews>
    <workbookView xWindow="-108" yWindow="-108" windowWidth="23256" windowHeight="1257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成本法 (元)" sheetId="69" state="hidden" r:id="rId45"/>
    <sheet name="基准地价修正" sheetId="4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s="1"/>
  <c r="G105" i="34" s="1"/>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N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F8" i="15"/>
  <c r="F20" i="31"/>
  <c r="M28" i="15"/>
  <c r="AO12" i="1"/>
  <c r="D2" i="37"/>
  <c r="M27" i="15"/>
  <c r="M9" i="15"/>
  <c r="B13" i="76"/>
  <c r="AO13" i="1"/>
  <c r="F7" i="15"/>
  <c r="J15" i="15"/>
  <c r="F36" i="15"/>
  <c r="F26" i="15"/>
  <c r="L47" i="15"/>
  <c r="F42" i="15"/>
  <c r="M6" i="15"/>
  <c r="F13" i="15"/>
  <c r="F6" i="15"/>
  <c r="F38" i="15"/>
  <c r="D2" i="34"/>
  <c r="B9" i="76"/>
  <c r="AO10" i="1"/>
  <c r="E2" i="68"/>
  <c r="AO7" i="1"/>
  <c r="AO8" i="1"/>
  <c r="C76" i="15"/>
  <c r="E12" i="76"/>
  <c r="F40" i="15"/>
  <c r="E8" i="76"/>
  <c r="B12" i="76"/>
  <c r="B11" i="76"/>
  <c r="F43" i="15"/>
  <c r="D2" i="21"/>
  <c r="B10" i="76"/>
  <c r="M22" i="15"/>
  <c r="B8" i="76"/>
  <c r="D2" i="33"/>
  <c r="F37" i="15"/>
  <c r="M24" i="15"/>
  <c r="M26" i="15"/>
  <c r="E13" i="76"/>
  <c r="M21" i="15"/>
  <c r="E10" i="76"/>
  <c r="AO11" i="1"/>
  <c r="F41" i="15"/>
  <c r="F16" i="15"/>
  <c r="M8" i="15"/>
  <c r="E7" i="76"/>
  <c r="D2" i="35"/>
  <c r="AO9" i="1"/>
  <c r="E2" i="69"/>
  <c r="M29" i="15"/>
  <c r="B7" i="76"/>
  <c r="F35" i="15"/>
  <c r="E9" i="76"/>
  <c r="F9" i="15"/>
  <c r="M23" i="15"/>
  <c r="L48" i="15"/>
  <c r="D2" i="36"/>
  <c r="E11" i="76"/>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AR8" i="1"/>
  <c r="T9" i="1"/>
  <c r="AQ9" i="1"/>
  <c r="AR12" i="1"/>
  <c r="T13" i="1"/>
  <c r="AQ13" i="1"/>
  <c r="G1" i="68"/>
  <c r="G1" i="69"/>
  <c r="G1" i="67"/>
  <c r="T10" i="1"/>
  <c r="AQ10" i="1"/>
  <c r="K1" i="12"/>
  <c r="F3" i="35"/>
  <c r="T11" i="1"/>
  <c r="AQ11"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C16" i="15"/>
  <c r="F36" i="67"/>
  <c r="L47" i="67"/>
  <c r="M28" i="67"/>
  <c r="J15" i="67"/>
  <c r="M29" i="67"/>
  <c r="F26" i="67"/>
  <c r="F9" i="67"/>
  <c r="F7" i="67"/>
  <c r="L48" i="67"/>
  <c r="M22" i="67"/>
  <c r="C76" i="67"/>
  <c r="F16" i="67"/>
  <c r="F38" i="67"/>
  <c r="F6" i="67"/>
  <c r="C14" i="15"/>
  <c r="F13" i="67"/>
  <c r="M8" i="67"/>
  <c r="F8" i="67"/>
  <c r="M23" i="67"/>
  <c r="M24" i="67"/>
  <c r="F42" i="67"/>
  <c r="M6" i="67"/>
  <c r="F43" i="67"/>
  <c r="M27" i="67"/>
  <c r="D58" i="78" l="1"/>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62" i="39"/>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G16" i="1"/>
  <c r="F10" i="40" s="1"/>
  <c r="AA10" i="40" s="1"/>
  <c r="J19" i="15"/>
  <c r="C32" i="15"/>
  <c r="C33" i="15"/>
  <c r="Q61" i="15"/>
  <c r="Q74" i="15"/>
  <c r="Q73" i="15"/>
  <c r="Q60" i="15"/>
  <c r="Q52" i="15"/>
  <c r="F1" i="15"/>
  <c r="C49" i="15"/>
  <c r="F37" i="67"/>
  <c r="D4" i="73"/>
  <c r="M9" i="67"/>
  <c r="D7" i="73"/>
  <c r="F40" i="67"/>
  <c r="AE6" i="1"/>
  <c r="D6" i="73"/>
  <c r="C16" i="67"/>
  <c r="F5" i="73"/>
  <c r="D3" i="73"/>
  <c r="M26" i="67"/>
  <c r="F6" i="73"/>
  <c r="F3" i="73"/>
  <c r="F7" i="73"/>
  <c r="F4" i="73"/>
  <c r="D5" i="73"/>
  <c r="F68" i="67" l="1"/>
  <c r="F65" i="67"/>
  <c r="E3" i="6"/>
  <c r="AY6" i="3"/>
  <c r="M64" i="43"/>
  <c r="N64" i="43" s="1"/>
  <c r="K64" i="43"/>
  <c r="K66" i="43"/>
  <c r="M66" i="43"/>
  <c r="N66" i="43" s="1"/>
  <c r="M69" i="43"/>
  <c r="N69" i="43" s="1"/>
  <c r="K69" i="43"/>
  <c r="J69" i="43" s="1"/>
  <c r="B15" i="71"/>
  <c r="B14" i="71" s="1"/>
  <c r="B13" i="71" s="1"/>
  <c r="B12" i="71" s="1"/>
  <c r="S16" i="71"/>
  <c r="E30" i="6"/>
  <c r="E31" i="6" s="1"/>
  <c r="K14" i="1"/>
  <c r="J6" i="67"/>
  <c r="J19" i="67" s="1"/>
  <c r="F7" i="21"/>
  <c r="F7" i="36"/>
  <c r="J7" i="33"/>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AB7" i="35"/>
  <c r="T38" i="35" s="1"/>
  <c r="G38" i="35" s="1"/>
  <c r="S7" i="21"/>
  <c r="AA7" i="21"/>
  <c r="R48" i="21" s="1"/>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G1" i="73"/>
  <c r="C14" i="67"/>
  <c r="F41" i="67"/>
  <c r="J18" i="67" l="1"/>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AB10" i="39"/>
  <c r="U10" i="39"/>
  <c r="U10" i="40"/>
  <c r="AB10" i="40"/>
  <c r="F69" i="67"/>
  <c r="C26" i="15"/>
  <c r="E61" i="43" l="1"/>
  <c r="B59" i="43" s="1"/>
  <c r="C28" i="43" s="1"/>
  <c r="T20" i="71"/>
  <c r="D20" i="71"/>
  <c r="U20" i="71" s="1"/>
  <c r="C19" i="71"/>
  <c r="C35" i="69"/>
  <c r="C38" i="69"/>
  <c r="N16" i="1"/>
  <c r="C34" i="11"/>
  <c r="L16" i="1"/>
  <c r="C34" i="68"/>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D16"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3" i="11" s="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F35" i="67"/>
  <c r="M21" i="67"/>
  <c r="C33" i="68" l="1"/>
  <c r="C39" i="68" s="1"/>
  <c r="C43" i="68" s="1"/>
  <c r="C42" i="11"/>
  <c r="C39" i="11"/>
  <c r="C43" i="11" s="1"/>
  <c r="C41" i="11"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C46" i="11"/>
  <c r="C45" i="11"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46" i="68"/>
  <c r="C45" i="68" s="1"/>
  <c r="C42" i="68" l="1"/>
  <c r="C49" i="11"/>
  <c r="C51" i="11" s="1"/>
  <c r="C52" i="11" s="1"/>
  <c r="B2" i="11" s="1"/>
  <c r="B3" i="11" s="1"/>
  <c r="C31" i="43"/>
  <c r="C16" i="71"/>
  <c r="D17" i="71"/>
  <c r="C30" i="43"/>
  <c r="C7" i="69"/>
  <c r="C5" i="69"/>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41" i="68"/>
  <c r="C49" i="68" s="1"/>
  <c r="C51" i="68" s="1"/>
  <c r="C28" i="68"/>
  <c r="C27" i="68" s="1"/>
  <c r="C46" i="69"/>
  <c r="C45" i="69" s="1"/>
  <c r="C41" i="69"/>
  <c r="C19" i="9"/>
  <c r="C20" i="9"/>
  <c r="E6" i="76"/>
  <c r="C56" i="11" l="1"/>
  <c r="C57"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52" i="68" s="1"/>
  <c r="C49" i="69"/>
  <c r="C51" i="69" s="1"/>
  <c r="B6" i="76"/>
  <c r="L51" i="15"/>
  <c r="B2" i="76" l="1"/>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L51" i="67"/>
  <c r="D20" i="9"/>
  <c r="C31" i="69" l="1"/>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AO6" i="1"/>
  <c r="D35" i="9"/>
  <c r="D19" i="9"/>
  <c r="D34"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7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rFont val="宋体"/>
            <family val="3"/>
            <charset val="134"/>
          </rPr>
          <t>对应区片地价表</t>
        </r>
        <r>
          <rPr>
            <sz val="9"/>
            <rFont val="宋体"/>
            <family val="3"/>
            <charset val="134"/>
          </rPr>
          <t xml:space="preserve">
</t>
        </r>
      </text>
    </comment>
    <comment ref="Y9" authorId="1" shapeId="0" xr:uid="{00000000-0006-0000-2D00-000002000000}">
      <text>
        <r>
          <rPr>
            <sz val="11"/>
            <rFont val="宋体"/>
            <family val="3"/>
            <charset val="134"/>
          </rPr>
          <t xml:space="preserve">录入层数，将对应的结果录入至左侧相应层的楼层修正系数单元格中
</t>
        </r>
      </text>
    </comment>
    <comment ref="C16" authorId="1" shapeId="0" xr:uid="{00000000-0006-0000-2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D00-000004000000}">
      <text>
        <r>
          <rPr>
            <sz val="12"/>
            <rFont val="宋体"/>
            <family val="3"/>
            <charset val="134"/>
          </rPr>
          <t>1.05~1.1</t>
        </r>
        <r>
          <rPr>
            <sz val="9"/>
            <rFont val="宋体"/>
            <family val="3"/>
            <charset val="134"/>
          </rPr>
          <t xml:space="preserve">
</t>
        </r>
      </text>
    </comment>
    <comment ref="E16" authorId="1" shapeId="0" xr:uid="{00000000-0006-0000-2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D00-000007000000}">
      <text>
        <r>
          <rPr>
            <b/>
            <sz val="14"/>
            <rFont val="宋体"/>
            <family val="3"/>
            <charset val="134"/>
          </rPr>
          <t>工业选“中心城区”</t>
        </r>
        <r>
          <rPr>
            <sz val="9"/>
            <rFont val="宋体"/>
            <family val="3"/>
            <charset val="134"/>
          </rPr>
          <t xml:space="preserve">
</t>
        </r>
      </text>
    </comment>
    <comment ref="B35" authorId="4" shapeId="0" xr:uid="{00000000-0006-0000-2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rFont val="宋体"/>
            <family val="3"/>
            <charset val="134"/>
          </rPr>
          <t xml:space="preserve">需在此处填写剩余土地年限
</t>
        </r>
      </text>
    </comment>
    <comment ref="C111" authorId="0" shapeId="0" xr:uid="{00000000-0006-0000-2D00-00000A000000}">
      <text>
        <r>
          <rPr>
            <b/>
            <sz val="9"/>
            <rFont val="宋体"/>
            <family val="3"/>
            <charset val="134"/>
          </rPr>
          <t xml:space="preserve">所在楼层
</t>
        </r>
        <r>
          <rPr>
            <sz val="9"/>
            <rFont val="宋体"/>
            <family val="3"/>
            <charset val="134"/>
          </rPr>
          <t xml:space="preserve">
</t>
        </r>
      </text>
    </comment>
    <comment ref="D111" authorId="0" shapeId="0" xr:uid="{00000000-0006-0000-2D00-00000B000000}">
      <text>
        <r>
          <rPr>
            <b/>
            <sz val="9"/>
            <rFont val="宋体"/>
            <family val="3"/>
            <charset val="134"/>
          </rPr>
          <t xml:space="preserve">所在楼层
</t>
        </r>
        <r>
          <rPr>
            <sz val="9"/>
            <rFont val="宋体"/>
            <family val="3"/>
            <charset val="134"/>
          </rPr>
          <t xml:space="preserve">
</t>
        </r>
      </text>
    </comment>
    <comment ref="E111" authorId="0" shapeId="0" xr:uid="{00000000-0006-0000-2D00-00000C000000}">
      <text>
        <r>
          <rPr>
            <b/>
            <sz val="9"/>
            <rFont val="宋体"/>
            <family val="3"/>
            <charset val="134"/>
          </rPr>
          <t xml:space="preserve">所在楼层
</t>
        </r>
        <r>
          <rPr>
            <sz val="9"/>
            <rFont val="宋体"/>
            <family val="3"/>
            <charset val="134"/>
          </rPr>
          <t xml:space="preserve">
</t>
        </r>
      </text>
    </comment>
    <comment ref="F111" authorId="0" shapeId="0" xr:uid="{00000000-0006-0000-2D00-00000D000000}">
      <text>
        <r>
          <rPr>
            <b/>
            <sz val="9"/>
            <rFont val="宋体"/>
            <family val="3"/>
            <charset val="134"/>
          </rPr>
          <t xml:space="preserve">所在楼层
</t>
        </r>
        <r>
          <rPr>
            <sz val="9"/>
            <rFont val="宋体"/>
            <family val="3"/>
            <charset val="134"/>
          </rPr>
          <t xml:space="preserve">
</t>
        </r>
      </text>
    </comment>
    <comment ref="G111" authorId="0" shapeId="0" xr:uid="{00000000-0006-0000-2D00-00000E000000}">
      <text>
        <r>
          <rPr>
            <b/>
            <sz val="9"/>
            <rFont val="宋体"/>
            <family val="3"/>
            <charset val="134"/>
          </rPr>
          <t xml:space="preserve">所在楼层
</t>
        </r>
        <r>
          <rPr>
            <sz val="9"/>
            <rFont val="宋体"/>
            <family val="3"/>
            <charset val="134"/>
          </rPr>
          <t xml:space="preserve">
</t>
        </r>
      </text>
    </comment>
    <comment ref="H111" authorId="0" shapeId="0" xr:uid="{00000000-0006-0000-2D00-00000F000000}">
      <text>
        <r>
          <rPr>
            <b/>
            <sz val="9"/>
            <rFont val="宋体"/>
            <family val="3"/>
            <charset val="134"/>
          </rPr>
          <t xml:space="preserve">所在楼层
</t>
        </r>
        <r>
          <rPr>
            <sz val="9"/>
            <rFont val="宋体"/>
            <family val="3"/>
            <charset val="134"/>
          </rPr>
          <t xml:space="preserve">
</t>
        </r>
      </text>
    </comment>
    <comment ref="I111" authorId="0" shapeId="0" xr:uid="{00000000-0006-0000-2D00-000010000000}">
      <text>
        <r>
          <rPr>
            <b/>
            <sz val="9"/>
            <rFont val="宋体"/>
            <family val="3"/>
            <charset val="134"/>
          </rPr>
          <t xml:space="preserve">所在楼层
</t>
        </r>
        <r>
          <rPr>
            <sz val="9"/>
            <rFont val="宋体"/>
            <family val="3"/>
            <charset val="134"/>
          </rPr>
          <t xml:space="preserve">
</t>
        </r>
      </text>
    </comment>
    <comment ref="J111" authorId="0" shapeId="0" xr:uid="{00000000-0006-0000-2D00-000011000000}">
      <text>
        <r>
          <rPr>
            <b/>
            <sz val="9"/>
            <rFont val="宋体"/>
            <family val="3"/>
            <charset val="134"/>
          </rPr>
          <t xml:space="preserve">所在楼层
</t>
        </r>
        <r>
          <rPr>
            <sz val="9"/>
            <rFont val="宋体"/>
            <family val="3"/>
            <charset val="134"/>
          </rPr>
          <t xml:space="preserve">
</t>
        </r>
      </text>
    </comment>
    <comment ref="K111" authorId="0" shapeId="0" xr:uid="{00000000-0006-0000-2D00-000012000000}">
      <text>
        <r>
          <rPr>
            <b/>
            <sz val="9"/>
            <rFont val="宋体"/>
            <family val="3"/>
            <charset val="134"/>
          </rPr>
          <t xml:space="preserve">所在楼层
</t>
        </r>
        <r>
          <rPr>
            <sz val="9"/>
            <rFont val="宋体"/>
            <family val="3"/>
            <charset val="134"/>
          </rPr>
          <t xml:space="preserve">
</t>
        </r>
      </text>
    </comment>
    <comment ref="L111" authorId="0" shapeId="0" xr:uid="{00000000-0006-0000-2D00-000013000000}">
      <text>
        <r>
          <rPr>
            <b/>
            <sz val="9"/>
            <rFont val="宋体"/>
            <family val="3"/>
            <charset val="134"/>
          </rPr>
          <t xml:space="preserve">所在楼层
</t>
        </r>
        <r>
          <rPr>
            <sz val="9"/>
            <rFont val="宋体"/>
            <family val="3"/>
            <charset val="134"/>
          </rPr>
          <t xml:space="preserve">
</t>
        </r>
      </text>
    </comment>
    <comment ref="M111" authorId="0" shapeId="0" xr:uid="{00000000-0006-0000-2D00-000014000000}">
      <text>
        <r>
          <rPr>
            <b/>
            <sz val="9"/>
            <rFont val="宋体"/>
            <family val="3"/>
            <charset val="134"/>
          </rPr>
          <t xml:space="preserve">所在楼层
</t>
        </r>
        <r>
          <rPr>
            <sz val="9"/>
            <rFont val="宋体"/>
            <family val="3"/>
            <charset val="134"/>
          </rPr>
          <t xml:space="preserve">
</t>
        </r>
      </text>
    </comment>
    <comment ref="N111" authorId="0" shapeId="0" xr:uid="{00000000-0006-0000-2D00-000015000000}">
      <text>
        <r>
          <rPr>
            <b/>
            <sz val="9"/>
            <rFont val="宋体"/>
            <family val="3"/>
            <charset val="134"/>
          </rPr>
          <t xml:space="preserve">所在楼层
</t>
        </r>
        <r>
          <rPr>
            <sz val="9"/>
            <rFont val="宋体"/>
            <family val="3"/>
            <charset val="134"/>
          </rPr>
          <t xml:space="preserve">
</t>
        </r>
      </text>
    </comment>
    <comment ref="D116" authorId="0" shapeId="0" xr:uid="{00000000-0006-0000-2D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<sst xmlns="http://schemas.openxmlformats.org/spreadsheetml/2006/main" count="8028" uniqueCount="2795">
  <si>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</si>
  <si>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</si>
  <si>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</si>
  <si>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</si>
  <si>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</si>
  <si>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</si>
  <si>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</si>
  <si>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</si>
  <si>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</si>
  <si>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</si>
  <si>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</si>
  <si>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</si>
  <si>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</si>
  <si>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</si>
  <si>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</si>
  <si>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</si>
  <si>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</si>
  <si>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</si>
  <si>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</si>
  <si>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</si>
  <si>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</si>
  <si>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</si>
  <si>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</si>
  <si>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</si>
  <si>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</si>
  <si>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</si>
  <si>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</si>
  <si>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</si>
  <si>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</si>
  <si>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</si>
  <si>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</si>
  <si>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</si>
  <si>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</si>
  <si>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</si>
  <si>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</si>
  <si>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</si>
  <si>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</si>
  <si>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</si>
  <si>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</si>
  <si>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</si>
  <si>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</si>
  <si>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</si>
  <si>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</si>
  <si>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</si>
  <si>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</si>
  <si>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</si>
  <si>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</si>
  <si>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</si>
  <si>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</si>
  <si>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</si>
  <si>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</si>
  <si>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</si>
  <si>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</si>
  <si>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</si>
  <si>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</si>
  <si>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</si>
  <si>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</si>
  <si>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</si>
  <si>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</si>
  <si>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</si>
  <si>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</si>
  <si>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</si>
  <si>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</si>
  <si>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</si>
  <si>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</si>
  <si>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</si>
  <si>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</si>
  <si>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</si>
  <si>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</si>
  <si>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</si>
  <si>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</si>
  <si>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</si>
  <si>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</si>
  <si>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</si>
  <si>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</si>
  <si>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</si>
  <si>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</si>
  <si>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</si>
  <si>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</si>
  <si>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</si>
  <si>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</si>
  <si>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</si>
  <si>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</si>
  <si>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</si>
  <si>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</si>
  <si>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</si>
  <si>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</si>
  <si>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</si>
  <si>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</si>
  <si>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</si>
  <si>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</si>
  <si>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</si>
  <si>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</si>
  <si>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</si>
  <si>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</si>
  <si>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</si>
  <si>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</si>
  <si>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</si>
  <si>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</si>
  <si>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</si>
  <si>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</si>
  <si>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</si>
  <si>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</si>
  <si>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</si>
  <si>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</si>
  <si>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</si>
  <si>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</si>
  <si>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</si>
  <si>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</si>
  <si>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</si>
  <si>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</si>
  <si>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</si>
  <si>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</si>
  <si>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</si>
  <si>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</si>
  <si>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</si>
  <si>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</si>
  <si>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</si>
  <si>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</si>
  <si>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</si>
  <si>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</si>
  <si>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</si>
  <si>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</si>
  <si>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</si>
  <si>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</si>
  <si>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</si>
  <si>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</si>
  <si>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</si>
  <si>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</si>
  <si>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</si>
  <si>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</si>
  <si>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</si>
  <si>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</si>
  <si>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</si>
  <si>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</si>
  <si>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</si>
  <si>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</si>
  <si>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</si>
  <si>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</si>
  <si>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</si>
  <si>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</si>
  <si>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</si>
  <si>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</si>
  <si>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</si>
  <si>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</si>
  <si>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</si>
  <si>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</si>
  <si>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</si>
  <si>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</si>
  <si>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</si>
  <si>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</si>
  <si>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</si>
  <si>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</si>
  <si>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</si>
  <si>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</si>
  <si>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</si>
  <si>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</si>
  <si>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</si>
  <si>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</si>
  <si>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</si>
  <si>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</si>
  <si>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</si>
  <si>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</si>
  <si>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</si>
  <si>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</si>
  <si>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</si>
  <si>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</si>
  <si>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</si>
  <si>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</si>
  <si>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</si>
  <si>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</si>
  <si>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</si>
  <si>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</si>
  <si>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</si>
  <si>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</si>
  <si>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</si>
  <si>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</si>
  <si>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</si>
  <si>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</si>
  <si>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</si>
  <si>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</si>
  <si>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</si>
  <si>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</si>
  <si>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</si>
  <si>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</si>
  <si>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</si>
  <si>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</si>
  <si>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</si>
  <si>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</si>
  <si>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</si>
  <si>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</si>
  <si>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</si>
  <si>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</si>
  <si>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</si>
  <si>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</si>
  <si>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</si>
  <si>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</si>
  <si>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</si>
  <si>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</si>
  <si>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</si>
  <si>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</si>
  <si>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</si>
  <si>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</si>
  <si>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</si>
  <si>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</si>
  <si>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</si>
  <si>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</si>
  <si>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</si>
  <si>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</si>
  <si>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</si>
  <si>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</si>
  <si>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</si>
  <si>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</si>
  <si>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</si>
  <si>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</si>
  <si>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</si>
  <si>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</si>
  <si>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</si>
  <si>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</si>
  <si>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</si>
  <si>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</si>
  <si>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</si>
  <si>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</si>
  <si>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</si>
  <si>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</si>
  <si>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</si>
  <si>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</si>
  <si>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</si>
  <si>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</si>
  <si>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</si>
  <si>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</si>
  <si>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</si>
  <si>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</si>
  <si>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</si>
  <si>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</si>
  <si>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</si>
  <si>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</si>
  <si>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</si>
  <si>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</si>
  <si>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</si>
  <si>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</si>
  <si>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</si>
  <si>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</si>
  <si>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</si>
  <si>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</si>
  <si>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</si>
  <si>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</si>
  <si>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</si>
  <si>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</si>
  <si>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</si>
  <si>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</si>
  <si>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</si>
  <si>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</si>
  <si>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</si>
  <si>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</si>
  <si>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</si>
  <si>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</si>
  <si>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</si>
  <si>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</si>
  <si>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</si>
  <si>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</si>
  <si>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</si>
  <si>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</si>
  <si>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</si>
  <si>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</si>
  <si>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</si>
  <si>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</si>
  <si>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</si>
  <si>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</si>
  <si>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</si>
  <si>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</si>
  <si>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</si>
  <si>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</si>
  <si>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</si>
  <si>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</si>
  <si>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</si>
  <si>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</si>
  <si>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</si>
  <si>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</si>
  <si>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</si>
  <si>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</si>
  <si>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</si>
  <si>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</si>
  <si>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</si>
  <si>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</si>
  <si>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</si>
  <si>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</si>
  <si>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</si>
  <si>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</si>
  <si>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</si>
  <si>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</si>
  <si>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</si>
  <si>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</si>
  <si>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</si>
  <si>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</si>
  <si>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</si>
  <si>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</si>
  <si>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</si>
  <si>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</si>
  <si>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</si>
  <si>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</si>
  <si>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</si>
  <si>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</si>
  <si>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</si>
  <si>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</si>
  <si>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</si>
  <si>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</si>
  <si>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</si>
  <si>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</si>
  <si>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</si>
  <si>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</si>
  <si>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</si>
  <si>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</si>
  <si>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</si>
  <si>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</si>
  <si>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</si>
  <si>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</si>
  <si>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</si>
  <si>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</si>
  <si>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</si>
  <si>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</si>
  <si>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</si>
  <si>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</si>
  <si>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</si>
  <si>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</si>
  <si>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</si>
  <si>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</si>
  <si>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</si>
  <si>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</si>
  <si>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</si>
  <si>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</si>
  <si>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</si>
  <si>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</si>
  <si>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</si>
  <si>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</si>
  <si>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</si>
  <si>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</si>
  <si>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</si>
  <si>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</si>
  <si>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</si>
  <si>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</si>
  <si>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</si>
  <si>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</si>
  <si>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</si>
  <si>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</si>
  <si>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</si>
  <si>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</si>
  <si>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</si>
  <si>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</si>
  <si>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</si>
  <si>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</si>
  <si>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</si>
  <si>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</si>
  <si>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</si>
  <si>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</si>
  <si>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</si>
  <si>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</si>
  <si>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</si>
  <si>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</si>
  <si>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</si>
  <si>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</si>
  <si>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</si>
  <si>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</si>
  <si>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</si>
  <si>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</si>
  <si>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</si>
  <si>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</si>
  <si>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</si>
  <si>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</si>
  <si>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</si>
  <si>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</si>
  <si>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</si>
  <si>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</si>
  <si>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</si>
  <si>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</si>
  <si>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</si>
  <si>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</si>
  <si>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</si>
  <si>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</si>
  <si>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</si>
  <si>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</si>
  <si>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</si>
  <si>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</si>
  <si>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</si>
  <si>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</si>
  <si>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</si>
  <si>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</si>
  <si>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</si>
  <si>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</si>
  <si>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</si>
  <si>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</si>
  <si>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</si>
  <si>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</si>
  <si>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</si>
  <si>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</si>
  <si>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</si>
  <si>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</si>
  <si>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</si>
  <si>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</si>
  <si>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</si>
  <si>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</si>
  <si>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</si>
  <si>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</si>
  <si>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</si>
  <si>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</si>
  <si>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</si>
  <si>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</si>
  <si>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</si>
  <si>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</si>
  <si>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</si>
  <si>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</si>
  <si>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</si>
  <si>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</si>
  <si>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</si>
  <si>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</si>
  <si>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</si>
  <si>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</si>
  <si>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</si>
  <si>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</si>
  <si>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</si>
  <si>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</si>
  <si>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</si>
  <si>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</si>
  <si>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</si>
  <si>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</si>
  <si>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</si>
  <si>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</si>
  <si>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</si>
  <si>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</si>
  <si>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</si>
  <si>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</si>
  <si>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</si>
  <si>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</si>
  <si>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</si>
  <si>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</si>
  <si>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</si>
  <si>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</si>
  <si>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</si>
  <si>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</si>
  <si>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</si>
  <si>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</si>
  <si>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</si>
  <si>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</si>
  <si>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</si>
  <si>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</si>
  <si>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</si>
  <si>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</si>
  <si>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</si>
  <si>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</si>
  <si>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</si>
  <si>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</si>
  <si>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</si>
  <si>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</si>
  <si>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</si>
  <si>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</si>
  <si>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</si>
  <si>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</si>
  <si>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</si>
  <si>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</si>
  <si>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</si>
  <si>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</si>
  <si>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</si>
  <si>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</si>
  <si>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</si>
  <si>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</si>
  <si>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</si>
  <si>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</si>
  <si>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</si>
  <si>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</si>
  <si>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</si>
  <si>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</si>
  <si>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</si>
  <si>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</si>
  <si>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</si>
  <si>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</si>
  <si>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</si>
  <si>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</si>
  <si>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</si>
  <si>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</si>
  <si>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</si>
  <si>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</si>
  <si>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</si>
  <si>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</si>
  <si>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</si>
  <si>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</si>
  <si>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</si>
  <si>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</si>
  <si>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</si>
  <si>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</si>
  <si>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</si>
  <si>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</si>
  <si>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</si>
  <si>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</si>
  <si>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</si>
  <si>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</si>
  <si>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</si>
  <si>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</si>
  <si>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</si>
  <si>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</si>
  <si>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</si>
  <si>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</si>
  <si>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</si>
  <si>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</si>
  <si>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</si>
  <si>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</si>
  <si>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</si>
  <si>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</si>
  <si>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</si>
  <si>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</si>
  <si>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</si>
  <si>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</si>
  <si>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</si>
  <si>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</si>
  <si>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</si>
  <si>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</si>
  <si>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</si>
  <si>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</si>
  <si>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</si>
  <si>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</si>
  <si>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</si>
  <si>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</si>
  <si>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</si>
  <si>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</si>
  <si>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</si>
  <si>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</si>
  <si>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</si>
  <si>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</si>
  <si>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</si>
  <si>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</si>
  <si>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</si>
  <si>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</si>
  <si>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</si>
  <si>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</si>
  <si>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</si>
  <si>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</si>
  <si>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</si>
  <si>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</si>
  <si>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</si>
  <si>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</si>
  <si>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</si>
  <si>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</si>
  <si>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</si>
  <si>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</si>
  <si>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</si>
  <si>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</si>
  <si>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</si>
  <si>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</si>
  <si>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</si>
  <si>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</si>
  <si>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</si>
  <si>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</si>
  <si>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</si>
  <si>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</si>
  <si>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</si>
  <si>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</si>
  <si>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</si>
  <si>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</si>
  <si>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</si>
  <si>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</si>
  <si>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</si>
  <si>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</si>
  <si>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</si>
  <si>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</si>
  <si>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</si>
  <si>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</si>
  <si>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</si>
  <si>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</si>
  <si>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</si>
  <si>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</si>
  <si>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</si>
  <si>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</si>
  <si>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</si>
  <si>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</si>
  <si>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</si>
  <si>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</si>
  <si>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</si>
  <si>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</si>
  <si>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</si>
  <si>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</si>
  <si>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</si>
  <si>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</si>
  <si>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</si>
  <si>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</si>
  <si>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</si>
  <si>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</si>
  <si>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</si>
  <si>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</si>
  <si>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</si>
  <si>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</si>
  <si>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</si>
  <si>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</si>
  <si>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</si>
  <si>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</si>
  <si>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</si>
  <si>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</si>
  <si>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</si>
  <si>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</si>
  <si>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</si>
  <si>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</si>
  <si>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</si>
  <si>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</si>
  <si>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</si>
  <si>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</si>
  <si>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</si>
  <si>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</si>
  <si>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</si>
  <si>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</si>
  <si>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</si>
  <si>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</si>
  <si>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</si>
  <si>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</si>
  <si>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</si>
  <si>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</si>
  <si>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</si>
  <si>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</si>
  <si>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</si>
  <si>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</si>
  <si>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</si>
  <si>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</si>
  <si>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</si>
  <si>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</si>
  <si>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</si>
  <si>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</si>
  <si>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</si>
  <si>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</si>
  <si>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</si>
  <si>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</si>
  <si>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</si>
  <si>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</si>
  <si>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</si>
  <si>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</si>
  <si>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</si>
  <si>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</si>
  <si>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</si>
  <si>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</si>
  <si>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</si>
  <si>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</si>
  <si>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</si>
  <si>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</si>
  <si>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</si>
  <si>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</si>
  <si>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</si>
  <si>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</si>
  <si>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</si>
  <si>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</si>
  <si>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</si>
  <si>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</si>
  <si>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</si>
  <si>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</si>
  <si>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</si>
  <si>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</si>
  <si>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</si>
  <si>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</si>
  <si>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</si>
  <si>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</si>
  <si>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</si>
  <si>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</si>
  <si>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</si>
  <si>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</si>
  <si>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</si>
  <si>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</si>
  <si>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</si>
  <si>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</si>
  <si>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</si>
  <si>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</si>
  <si>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</si>
  <si>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</si>
  <si>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</si>
  <si>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</si>
  <si>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</si>
  <si>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</si>
  <si>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</si>
  <si>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</si>
  <si>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</si>
  <si>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</si>
  <si>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</si>
  <si>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</si>
  <si>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</si>
  <si>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</si>
  <si>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</si>
  <si>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</si>
  <si>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</si>
  <si>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</si>
  <si>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</si>
  <si>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</si>
  <si>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</si>
  <si>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</si>
  <si>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</si>
  <si>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</si>
  <si>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</si>
  <si>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</si>
  <si>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</si>
  <si>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</si>
  <si>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</si>
  <si>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</si>
  <si>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</si>
  <si>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</si>
  <si>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</si>
  <si>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</si>
  <si>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</si>
  <si>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</si>
  <si>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</si>
  <si>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</si>
  <si>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</si>
  <si>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</si>
  <si>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</si>
  <si>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</si>
  <si>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</si>
  <si>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</si>
  <si>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</si>
  <si>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</si>
  <si>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</si>
  <si>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</si>
  <si>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</si>
  <si>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</si>
  <si>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</si>
  <si>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</si>
  <si>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</si>
  <si>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</si>
  <si>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</si>
  <si>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</si>
  <si>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</si>
  <si>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</si>
  <si>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</si>
  <si>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</si>
  <si>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</si>
  <si>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</si>
  <si>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</si>
  <si>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</si>
  <si>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</si>
  <si>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</si>
  <si>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</si>
  <si>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</si>
  <si>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</si>
  <si>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</si>
  <si>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</si>
  <si>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</si>
  <si>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</si>
  <si>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</si>
  <si>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</si>
  <si>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</si>
  <si>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</si>
  <si>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</si>
  <si>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</si>
  <si>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</si>
  <si>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</si>
  <si>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</si>
  <si>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</si>
  <si>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</si>
  <si>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</si>
  <si>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</si>
  <si>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</si>
  <si>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</si>
  <si>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</si>
  <si>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</si>
  <si>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</si>
  <si>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</si>
  <si>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</si>
  <si>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</si>
  <si>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</si>
  <si>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</si>
  <si>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</si>
  <si>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</si>
  <si>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</si>
  <si>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</si>
  <si>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</si>
  <si>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</si>
  <si>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</si>
  <si>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</si>
  <si>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</si>
  <si>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</si>
  <si>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</si>
  <si>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</si>
  <si>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</si>
  <si>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</si>
  <si>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</si>
  <si>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</si>
  <si>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</si>
  <si>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</si>
  <si>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</si>
  <si>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</si>
  <si>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</si>
  <si>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</si>
  <si>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</si>
  <si>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</si>
  <si>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</si>
  <si>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</si>
  <si>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</si>
  <si>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</si>
  <si>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</si>
  <si>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</si>
  <si>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</si>
  <si>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</si>
  <si>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</si>
  <si>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</si>
  <si>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</si>
  <si>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</si>
  <si>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</si>
  <si>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</si>
  <si>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</si>
  <si>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</si>
  <si>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</si>
  <si>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</si>
  <si>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</si>
  <si>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</si>
  <si>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</si>
  <si>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</si>
  <si>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</si>
  <si>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</si>
  <si>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</si>
  <si>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</si>
  <si>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</si>
  <si>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</si>
  <si>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</si>
  <si>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</si>
  <si>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</si>
  <si>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</si>
  <si>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</si>
  <si>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</si>
  <si>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</si>
  <si>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</si>
  <si>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</si>
  <si>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</si>
  <si>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</si>
  <si>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</si>
  <si>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</si>
  <si>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</si>
  <si>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</si>
  <si>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</si>
  <si>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</si>
  <si>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</si>
  <si>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</si>
  <si>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</si>
  <si>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</si>
  <si>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</si>
  <si>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</si>
  <si>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</si>
  <si>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</si>
  <si>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</si>
  <si>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</si>
  <si>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</si>
  <si>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</si>
  <si>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</si>
  <si>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</si>
  <si>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</si>
  <si>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</si>
  <si>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</si>
  <si>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</si>
  <si>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</si>
  <si>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</si>
  <si>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</si>
  <si>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</si>
  <si>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</si>
  <si>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</si>
  <si>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</si>
  <si>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</si>
  <si>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</si>
  <si>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</si>
  <si>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</si>
  <si>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</si>
  <si>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</si>
  <si>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</si>
  <si>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</si>
  <si>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</si>
  <si>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</si>
  <si>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</si>
  <si>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</si>
  <si>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</si>
  <si>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</si>
  <si>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</si>
  <si>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</si>
  <si>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</si>
  <si>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</si>
  <si>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</si>
  <si>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</si>
  <si>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</si>
  <si>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</si>
  <si>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</si>
  <si>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</si>
  <si>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</si>
  <si>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</si>
  <si>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</si>
  <si>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</si>
  <si>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</si>
  <si>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</si>
  <si>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</si>
  <si>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</si>
  <si>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</si>
  <si>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</si>
  <si>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</si>
  <si>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</si>
  <si>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</si>
  <si>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</si>
  <si>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</si>
  <si>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</si>
  <si>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</si>
  <si>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</si>
  <si>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</si>
  <si>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</si>
  <si>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</si>
  <si>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</si>
  <si>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</si>
  <si>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</si>
  <si>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</si>
  <si>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</si>
  <si>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</si>
  <si>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</si>
  <si>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</si>
  <si>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</si>
  <si>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</si>
  <si>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</si>
  <si>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</si>
  <si>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</si>
  <si>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</si>
  <si>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</si>
  <si>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</si>
  <si>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</si>
  <si>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</si>
  <si>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</si>
  <si>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</si>
  <si>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</si>
  <si>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</si>
  <si>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</si>
  <si>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</si>
  <si>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</si>
  <si>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</si>
  <si>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</si>
  <si>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</si>
  <si>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</si>
  <si>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</si>
  <si>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</si>
  <si>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</si>
  <si>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</si>
  <si>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</si>
  <si>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</si>
  <si>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</si>
  <si>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</si>
  <si>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</si>
  <si>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</si>
  <si>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</si>
  <si>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</si>
  <si>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</si>
  <si>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</si>
  <si>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</si>
  <si>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</si>
  <si>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</si>
  <si>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</si>
  <si>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</si>
  <si>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</si>
  <si>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</si>
  <si>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</si>
  <si>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</si>
  <si>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</si>
  <si>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</si>
  <si>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</si>
  <si>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</si>
  <si>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</si>
  <si>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</si>
  <si>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</si>
  <si>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</si>
  <si>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</si>
  <si>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</si>
  <si>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</si>
  <si>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</si>
  <si>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</si>
  <si>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</si>
  <si>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</si>
  <si>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</si>
  <si>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</si>
  <si>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</si>
  <si>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</si>
  <si>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</si>
  <si>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</si>
  <si>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</si>
  <si>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</si>
  <si>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</si>
  <si>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</si>
  <si>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</si>
  <si>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</si>
  <si>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</si>
  <si>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</si>
  <si>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</si>
  <si>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</si>
  <si>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</si>
  <si>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</si>
  <si>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</si>
  <si>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</si>
  <si>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</si>
  <si>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</si>
  <si>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</si>
  <si>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</si>
  <si>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</si>
  <si>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</si>
  <si>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</si>
  <si>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</si>
  <si>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</si>
  <si>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</si>
  <si>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</si>
  <si>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</si>
  <si>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</si>
  <si>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</si>
  <si>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</si>
  <si>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</si>
  <si>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</si>
  <si>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</si>
  <si>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</si>
  <si>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</si>
  <si>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</si>
  <si>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</si>
  <si>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</si>
  <si>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</si>
  <si>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</si>
  <si>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</si>
  <si>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</si>
  <si>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</si>
  <si>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</si>
  <si>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</si>
  <si>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</si>
  <si>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</si>
  <si>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</si>
  <si>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</si>
  <si>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</si>
  <si>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</si>
  <si>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</si>
  <si>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</si>
  <si>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</si>
  <si>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</si>
  <si>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</si>
  <si>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</si>
  <si>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</si>
  <si>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</si>
  <si>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</si>
  <si>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</si>
  <si>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</si>
  <si>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</si>
  <si>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</si>
  <si>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</si>
  <si>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</si>
  <si>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</si>
  <si>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</si>
  <si>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</si>
  <si>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</si>
  <si>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</si>
  <si>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</si>
  <si>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</si>
  <si>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</si>
  <si>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</si>
  <si>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</si>
  <si>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</si>
  <si>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</si>
  <si>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</si>
  <si>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</si>
  <si>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</si>
  <si>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</si>
  <si>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</si>
  <si>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</si>
  <si>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</si>
  <si>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</si>
  <si>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</si>
  <si>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</si>
  <si>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</si>
  <si>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</si>
  <si>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</si>
  <si>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</si>
  <si>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</si>
  <si>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</si>
  <si>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</si>
  <si>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</si>
  <si>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</si>
  <si>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</si>
  <si>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</si>
  <si>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</si>
  <si>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</si>
  <si>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</si>
  <si>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</si>
  <si>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</si>
  <si>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</si>
  <si>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</si>
  <si>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</si>
  <si>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</si>
  <si>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</si>
  <si>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</si>
  <si>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</si>
  <si>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</si>
  <si>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</si>
  <si>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</si>
  <si>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</si>
  <si>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</si>
  <si>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</si>
  <si>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</si>
  <si>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</si>
  <si>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</si>
  <si>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</si>
  <si>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</si>
  <si>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</si>
  <si>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</si>
  <si>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</si>
  <si>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</si>
  <si>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</si>
  <si>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</si>
  <si>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</si>
  <si>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</si>
  <si>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</si>
  <si>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</si>
  <si>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</si>
  <si>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</si>
  <si>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</si>
  <si>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</si>
  <si>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</si>
  <si>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</si>
  <si>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</si>
  <si>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</si>
  <si>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</si>
  <si>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</si>
  <si>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</si>
  <si>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</si>
  <si>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</si>
  <si>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</si>
  <si>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</si>
  <si>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</si>
  <si>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</si>
  <si>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</si>
  <si>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</si>
  <si>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</si>
  <si>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</si>
  <si>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</si>
  <si>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</si>
  <si>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</si>
  <si>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</si>
  <si>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</si>
  <si>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</si>
  <si>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</si>
  <si>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</si>
  <si>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</si>
  <si>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</si>
  <si>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</si>
  <si>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</si>
  <si>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</si>
  <si>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</si>
  <si>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</si>
  <si>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</si>
  <si>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</si>
  <si>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</si>
  <si>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</si>
  <si>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</si>
  <si>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</si>
  <si>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</si>
  <si>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</si>
  <si>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</si>
  <si>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</si>
  <si>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</si>
  <si>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</si>
  <si>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</si>
  <si>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</si>
  <si>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</si>
  <si>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</si>
  <si>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</si>
  <si>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</si>
  <si>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</si>
  <si>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</si>
  <si>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</si>
  <si>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</si>
  <si>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</si>
  <si>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</si>
  <si>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</si>
  <si>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</si>
  <si>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</si>
  <si>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</si>
  <si>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</si>
  <si>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</si>
  <si>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</si>
  <si>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</si>
  <si>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</si>
  <si>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</si>
  <si>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</si>
  <si>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</si>
  <si>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</si>
  <si>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</si>
  <si>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</si>
  <si>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</si>
  <si>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</si>
  <si>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</si>
  <si>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</si>
  <si>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</si>
  <si>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</si>
  <si>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</si>
  <si>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</si>
  <si>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</si>
  <si>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</si>
  <si>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</si>
  <si>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</si>
  <si>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</si>
  <si>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</si>
  <si>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</si>
  <si>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</si>
  <si>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</si>
  <si>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</si>
  <si>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</si>
  <si>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</si>
  <si>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</si>
  <si>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</si>
  <si>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</si>
  <si>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</si>
  <si>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</si>
  <si>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</si>
  <si>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</si>
  <si>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</si>
  <si>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</si>
  <si>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</si>
  <si>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</si>
  <si>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</si>
  <si>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</si>
  <si>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</si>
  <si>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</si>
  <si>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</si>
  <si>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</si>
  <si>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</si>
  <si>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</si>
  <si>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</si>
  <si>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</si>
  <si>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</si>
  <si>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</si>
  <si>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</si>
  <si>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</si>
  <si>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</si>
  <si>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</si>
  <si>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</si>
  <si>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</si>
  <si>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</si>
  <si>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</si>
  <si>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</si>
  <si>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</si>
  <si>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</si>
  <si>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</si>
  <si>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</si>
  <si>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</si>
  <si>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</si>
  <si>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</si>
  <si>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</si>
  <si>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</si>
  <si>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</si>
  <si>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</si>
  <si>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</si>
  <si>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</si>
  <si>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</si>
  <si>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</si>
  <si>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</si>
  <si>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</si>
  <si>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</si>
  <si>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</si>
  <si>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</si>
  <si>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</si>
  <si>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</si>
  <si>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</si>
  <si>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</si>
  <si>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</si>
  <si>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</si>
  <si>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</si>
  <si>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</si>
  <si>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</si>
  <si>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</si>
  <si>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</si>
  <si>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</si>
  <si>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</si>
  <si>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</si>
  <si>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</si>
  <si>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</si>
  <si>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</si>
  <si>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</si>
  <si>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</si>
  <si>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</si>
  <si>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</si>
  <si>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</si>
  <si>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</si>
  <si>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</si>
  <si>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</si>
  <si>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</si>
  <si>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</si>
  <si>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</si>
  <si>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</si>
  <si>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</si>
  <si>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</si>
  <si>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</si>
  <si>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</si>
  <si>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</si>
  <si>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</si>
  <si>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</si>
  <si>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</si>
  <si>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</si>
  <si>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</si>
  <si>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</si>
  <si>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</si>
  <si>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</si>
  <si>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</si>
  <si>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</si>
  <si>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</si>
  <si>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</si>
  <si>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</si>
  <si>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</si>
  <si>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</si>
  <si>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</si>
  <si>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</si>
  <si>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</si>
  <si>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</si>
  <si>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</si>
  <si>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</si>
  <si>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</si>
  <si>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</si>
  <si>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</si>
  <si>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</si>
  <si>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</si>
  <si>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</si>
  <si>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</si>
  <si>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</si>
  <si>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</si>
  <si>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</si>
  <si>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</si>
  <si>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</si>
  <si>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</si>
  <si>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</si>
  <si>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</si>
  <si>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</si>
  <si>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</si>
  <si>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</si>
  <si>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</si>
  <si>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</si>
  <si>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</si>
  <si>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</si>
  <si>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</si>
  <si>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</si>
  <si>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</si>
  <si>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</si>
  <si>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</si>
  <si>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</si>
  <si>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</si>
  <si>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</si>
  <si>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</si>
  <si>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</si>
  <si>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</si>
  <si>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</si>
  <si>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</si>
  <si>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</si>
  <si>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</si>
  <si>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</si>
  <si>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</si>
  <si>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</si>
  <si>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</si>
  <si>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</si>
  <si>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</si>
  <si>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</si>
  <si>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</si>
  <si>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</si>
  <si>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</si>
  <si>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</si>
  <si>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</si>
  <si>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</si>
  <si>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</si>
  <si>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</si>
  <si>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</si>
  <si>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</si>
  <si>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</si>
  <si>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</si>
  <si>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</si>
  <si>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</si>
  <si>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</si>
  <si>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</si>
  <si>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</si>
  <si>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</si>
  <si>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</si>
  <si>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</si>
  <si>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</si>
  <si>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</si>
  <si>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</si>
  <si>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</si>
  <si>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</si>
  <si>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</si>
  <si>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</si>
  <si>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</si>
  <si>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</si>
  <si>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</si>
  <si>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</si>
  <si>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</si>
  <si>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</si>
  <si>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</si>
  <si>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</si>
  <si>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</si>
  <si>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</si>
  <si>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</si>
  <si>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</si>
  <si>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</si>
  <si>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</si>
  <si>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</si>
  <si>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</si>
  <si>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</si>
  <si>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</si>
  <si>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</si>
  <si>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</si>
  <si>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</si>
  <si>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</si>
  <si>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</si>
  <si>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</si>
  <si>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</si>
  <si>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</si>
  <si>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</si>
  <si>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</si>
  <si>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</si>
  <si>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</si>
  <si>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</si>
  <si>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</si>
  <si>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</si>
  <si>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</si>
  <si>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</si>
  <si>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</si>
  <si>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</si>
  <si>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</si>
  <si>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</si>
  <si>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</si>
  <si>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</si>
  <si>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</si>
  <si>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</si>
  <si>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</si>
  <si>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</si>
  <si>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</si>
  <si>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</si>
  <si>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</si>
  <si>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</si>
  <si>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</si>
  <si>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</si>
  <si>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</si>
  <si>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</si>
  <si>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</si>
  <si>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</si>
  <si>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</si>
  <si>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</si>
  <si>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</si>
  <si>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</si>
  <si>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</si>
  <si>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</si>
  <si>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</si>
  <si>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</si>
  <si>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</si>
  <si>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</si>
  <si>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</si>
  <si>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</si>
  <si>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</si>
  <si>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</si>
  <si>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</si>
  <si>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</si>
  <si>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</si>
  <si>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</si>
  <si>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</si>
  <si>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</si>
  <si>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</si>
  <si>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</si>
  <si>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</si>
  <si>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</si>
  <si>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</si>
  <si>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</si>
  <si>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</si>
  <si>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</si>
  <si>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</si>
  <si>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</si>
  <si>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</si>
  <si>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</si>
  <si>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</si>
  <si>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</si>
  <si>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</si>
  <si>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</si>
  <si>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</si>
  <si>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</si>
  <si>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</si>
  <si>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</si>
  <si>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</si>
  <si>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</si>
  <si>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</si>
  <si>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</si>
  <si>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</si>
  <si>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</si>
  <si>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</si>
  <si>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</si>
  <si>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</si>
  <si>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</si>
  <si>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</si>
  <si>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</si>
  <si>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</si>
  <si>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</si>
  <si>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</si>
  <si>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</si>
  <si>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</si>
  <si>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</si>
  <si>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</si>
  <si>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</si>
  <si>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</si>
  <si>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</si>
  <si>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</si>
  <si>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</si>
  <si>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</si>
  <si>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</si>
  <si>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</si>
  <si>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</si>
  <si>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</si>
  <si>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</si>
  <si>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</si>
  <si>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</si>
  <si>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</si>
  <si>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</si>
  <si>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</si>
  <si>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</si>
  <si>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</si>
  <si>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</si>
  <si>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</si>
  <si>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</si>
  <si>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</si>
  <si>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</si>
  <si>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</si>
  <si>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</si>
  <si>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</si>
  <si>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</si>
  <si>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</si>
  <si>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</si>
  <si>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</si>
  <si>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</si>
  <si>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</si>
  <si>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</si>
  <si>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</si>
  <si>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</si>
  <si>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</si>
  <si>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</si>
  <si>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</si>
  <si>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</si>
  <si>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</si>
  <si>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</si>
  <si>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</si>
  <si>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</si>
  <si>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</si>
  <si>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</si>
  <si>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</si>
  <si>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</si>
  <si>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</si>
  <si>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</si>
  <si>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</si>
  <si>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</si>
  <si>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</si>
  <si>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</si>
  <si>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</si>
  <si>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</si>
  <si>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</si>
  <si>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</si>
  <si>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</si>
  <si>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</si>
  <si>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</si>
  <si>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</si>
  <si>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</si>
  <si>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</si>
  <si>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</si>
  <si>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</si>
  <si>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</si>
  <si>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</si>
  <si>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</si>
  <si>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</si>
  <si>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</si>
  <si>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</si>
  <si>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</si>
  <si>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</si>
  <si>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</si>
  <si>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</si>
  <si>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</si>
  <si>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</si>
  <si>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</si>
  <si>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</si>
  <si>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</si>
  <si>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</si>
  <si>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</si>
  <si>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</si>
  <si>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</si>
  <si>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</si>
  <si>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</si>
  <si>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</si>
  <si>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</si>
  <si>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</si>
  <si>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</si>
  <si>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</si>
  <si>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</si>
  <si>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</si>
  <si>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</si>
  <si>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</si>
  <si>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</si>
  <si>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</si>
  <si>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</si>
  <si>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</si>
  <si>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</si>
  <si>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</si>
  <si>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</si>
  <si>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</si>
  <si>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</si>
  <si>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</si>
  <si>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</si>
  <si>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</si>
  <si>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</si>
  <si>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</si>
  <si>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</si>
  <si>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</si>
  <si>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</si>
  <si>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</si>
  <si>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</si>
  <si>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</si>
  <si>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</si>
  <si>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</si>
  <si>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</si>
  <si>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</si>
  <si>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</si>
  <si>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</si>
  <si>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</si>
  <si>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</si>
  <si>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</si>
  <si>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</si>
  <si>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</si>
  <si>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</si>
  <si>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</si>
  <si>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</si>
  <si>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</si>
  <si>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</si>
  <si>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</si>
  <si>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</si>
  <si>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</si>
  <si>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</si>
  <si>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</si>
  <si>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</si>
  <si>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</si>
  <si>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</si>
  <si>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</si>
  <si>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</si>
  <si>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</si>
  <si>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</si>
  <si>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</si>
  <si>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</si>
  <si>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</si>
  <si>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</si>
  <si>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</si>
  <si>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</si>
  <si>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</si>
  <si>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</si>
  <si>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</si>
  <si>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</si>
  <si>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</si>
  <si>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</si>
  <si>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</si>
  <si>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</si>
  <si>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</si>
  <si>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</si>
  <si>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</si>
  <si>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</si>
  <si>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</si>
  <si>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</si>
  <si>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</si>
  <si>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</si>
  <si>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</si>
  <si>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</si>
  <si>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</si>
  <si>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</si>
  <si>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</si>
  <si>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</si>
  <si>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</si>
  <si>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</si>
  <si>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</si>
  <si>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</si>
  <si>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</si>
  <si>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</si>
  <si>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</si>
  <si>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</si>
  <si>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</si>
  <si>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</si>
  <si>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</si>
  <si>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</si>
  <si>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</si>
  <si>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</si>
  <si>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</si>
  <si>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</si>
  <si>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</si>
  <si>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</si>
  <si>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</si>
  <si>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</si>
  <si>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</si>
  <si>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</si>
  <si>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</si>
  <si>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</si>
  <si>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</si>
  <si>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</si>
  <si>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</si>
  <si>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</si>
  <si>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</si>
  <si>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</si>
  <si>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</si>
  <si>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</si>
  <si>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</si>
  <si>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</si>
  <si>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</si>
  <si>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</si>
  <si>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</si>
  <si>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</si>
  <si>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</si>
  <si>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</si>
  <si>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</si>
  <si>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</si>
  <si>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</si>
  <si>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</si>
  <si>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</si>
  <si>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</si>
  <si>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</si>
  <si>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</si>
  <si>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</si>
  <si>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</si>
  <si>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</si>
  <si>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</si>
  <si>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</si>
  <si>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</si>
  <si>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</si>
  <si>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</si>
  <si>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</si>
  <si>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</si>
  <si>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</si>
  <si>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</si>
  <si>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</si>
  <si>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</si>
  <si>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</si>
  <si>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</si>
  <si>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</si>
  <si>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</si>
  <si>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</si>
  <si>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</si>
  <si>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</si>
  <si>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</si>
  <si>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</si>
  <si>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</si>
  <si>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</si>
  <si>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</si>
  <si>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</si>
  <si>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</si>
  <si>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</si>
  <si>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</si>
  <si>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</si>
  <si>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</si>
  <si>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</si>
  <si>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</si>
  <si>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</si>
  <si>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</si>
  <si>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</si>
  <si>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</si>
  <si>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</si>
  <si>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</si>
  <si>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</si>
  <si>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</si>
  <si>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</si>
  <si>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</si>
  <si>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</si>
  <si>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</si>
  <si>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</si>
  <si>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</si>
  <si>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</si>
  <si>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</si>
  <si>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</si>
  <si>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</si>
  <si>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</si>
  <si>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</si>
  <si>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</si>
  <si>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</si>
  <si>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</si>
  <si>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</si>
  <si>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</si>
  <si>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</si>
  <si>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</si>
  <si>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</si>
  <si>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</si>
  <si>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</si>
  <si>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</si>
  <si>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</si>
  <si>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</si>
  <si>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</si>
  <si>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</si>
  <si>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</si>
  <si>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</si>
  <si>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</si>
  <si>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</si>
  <si>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</si>
  <si>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</si>
  <si>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</si>
  <si>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</si>
  <si>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</si>
  <si>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</si>
  <si>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</si>
  <si>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</si>
  <si>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</si>
  <si>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</si>
  <si>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</si>
  <si>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</si>
  <si>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</si>
  <si>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</si>
  <si>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</si>
  <si>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</si>
  <si>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</si>
  <si>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</si>
  <si>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</si>
  <si>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</si>
  <si>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</si>
  <si>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</si>
  <si>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</si>
  <si>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</si>
  <si>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</si>
  <si>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</si>
  <si>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</si>
  <si>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</si>
  <si>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</si>
  <si>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</si>
  <si>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</si>
  <si>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</si>
  <si>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</si>
  <si>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</si>
  <si>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</si>
  <si>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</si>
  <si>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</si>
  <si>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</si>
  <si>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</si>
  <si>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</si>
  <si>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</si>
  <si>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</si>
  <si>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</si>
  <si>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</si>
  <si>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</si>
  <si>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</si>
  <si>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</si>
  <si>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</si>
  <si>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</si>
  <si>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</si>
  <si>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</si>
  <si>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</si>
  <si>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</si>
  <si>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</si>
  <si>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</si>
  <si>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</si>
  <si>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</si>
  <si>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</si>
  <si>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</si>
  <si>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</si>
  <si>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</si>
  <si>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</si>
  <si>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</si>
  <si>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</si>
  <si>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</si>
  <si>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</si>
  <si>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</si>
  <si>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</si>
  <si>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</si>
  <si>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</si>
  <si>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</si>
  <si>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</si>
  <si>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</si>
  <si>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</si>
  <si>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</si>
  <si>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</si>
  <si>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</si>
  <si>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</si>
  <si>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</si>
  <si>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</si>
  <si>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</si>
  <si>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</si>
  <si>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</si>
  <si>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</si>
  <si>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</si>
  <si>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</si>
  <si>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</si>
  <si>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</si>
  <si>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</si>
  <si>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</si>
  <si>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</si>
  <si>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</si>
  <si>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</si>
  <si>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</si>
  <si>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</si>
  <si>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</si>
  <si>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</si>
  <si>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</si>
  <si>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</si>
  <si>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</si>
  <si>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</si>
  <si>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</si>
  <si>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</si>
  <si>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</si>
  <si>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</si>
  <si>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</si>
  <si>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</si>
  <si>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</si>
  <si>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</si>
  <si>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</si>
  <si>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</si>
  <si>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</si>
  <si>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</si>
  <si>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</si>
  <si>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</si>
  <si>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</si>
  <si>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</si>
  <si>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</si>
  <si>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</si>
  <si>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</si>
  <si>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</si>
  <si>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</si>
  <si>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</si>
  <si>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</si>
  <si>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</si>
  <si>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</si>
  <si>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</si>
  <si>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</si>
  <si>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</si>
  <si>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</si>
  <si>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</si>
  <si>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</si>
  <si>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</si>
  <si>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</si>
  <si>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</si>
  <si>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</si>
  <si>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</si>
  <si>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</si>
  <si>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</si>
  <si>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</si>
  <si>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</si>
  <si>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</si>
  <si>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</si>
  <si>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</si>
  <si>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</si>
  <si>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</si>
  <si>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</si>
  <si>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</si>
  <si>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</si>
  <si>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</si>
  <si>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</si>
  <si>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</si>
  <si>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</si>
  <si>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</si>
  <si>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</si>
  <si>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</si>
  <si>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</si>
  <si>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</si>
  <si>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</si>
  <si>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</si>
  <si>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</si>
  <si>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</si>
  <si>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</si>
  <si>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</si>
  <si>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</si>
  <si>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</si>
  <si>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</si>
  <si>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</si>
  <si>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</si>
  <si>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</si>
  <si>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</si>
  <si>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</si>
  <si>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</si>
  <si>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</si>
  <si>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</si>
  <si>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</si>
  <si>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</si>
  <si>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</si>
  <si>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</si>
  <si>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</si>
  <si>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</si>
  <si>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</si>
  <si>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</si>
  <si>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</si>
  <si>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</si>
  <si>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</si>
  <si>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</si>
  <si>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</si>
  <si>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</si>
  <si>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</si>
  <si>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</si>
  <si>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</si>
  <si>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</si>
  <si>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</si>
  <si>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</si>
  <si>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</si>
  <si>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</si>
  <si>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</si>
  <si>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</si>
  <si>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</si>
  <si>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</si>
  <si>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</si>
  <si>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</si>
  <si>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</si>
  <si>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</si>
  <si>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</si>
  <si>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</si>
  <si>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</si>
  <si>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</si>
  <si>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</si>
  <si>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</si>
  <si>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</si>
  <si>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</si>
  <si>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</si>
  <si>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</si>
  <si>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</si>
  <si>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</si>
  <si>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</si>
  <si>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</si>
  <si>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</si>
  <si>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</si>
  <si>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</si>
  <si>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</si>
  <si>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</si>
  <si>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</si>
  <si>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</si>
  <si>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</si>
  <si>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</si>
  <si>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</si>
  <si>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</si>
  <si>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</si>
  <si>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</si>
  <si>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</si>
  <si>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</si>
  <si>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</si>
  <si>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</si>
  <si>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</si>
  <si>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</si>
  <si>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</si>
  <si>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</si>
  <si>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</si>
  <si>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</si>
  <si>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</si>
  <si>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</si>
  <si>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</si>
  <si>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</si>
  <si>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</si>
  <si>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</si>
  <si>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</si>
  <si>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</si>
  <si>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</si>
  <si>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</si>
  <si>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</si>
  <si>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</si>
  <si>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</si>
  <si>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</si>
  <si>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</si>
  <si>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</si>
  <si>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</si>
  <si>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</si>
  <si>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</si>
  <si>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</si>
  <si>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</si>
  <si>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</si>
  <si>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</si>
  <si>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</si>
  <si>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</si>
  <si>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</si>
  <si>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</si>
  <si>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</si>
  <si>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</si>
  <si>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</si>
  <si>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</si>
  <si>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</si>
  <si>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</si>
  <si>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</si>
  <si>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</si>
  <si>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</si>
  <si>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</si>
  <si>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</si>
  <si>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</si>
  <si>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</si>
  <si>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</si>
  <si>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</si>
  <si>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</si>
  <si>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</si>
  <si>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</si>
  <si>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</si>
  <si>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</si>
  <si>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</si>
  <si>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</si>
  <si>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</si>
  <si>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</si>
  <si>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</si>
  <si>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</si>
  <si>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</si>
  <si>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</si>
  <si>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</si>
  <si>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</si>
  <si>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</si>
  <si>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</si>
  <si>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</si>
  <si>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</si>
  <si>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</si>
  <si>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</si>
  <si>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</si>
  <si>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</si>
  <si>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</si>
  <si>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</si>
  <si>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</si>
  <si>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</si>
  <si>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</si>
  <si>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</si>
  <si>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</si>
  <si>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</si>
  <si>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</si>
  <si>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</si>
  <si>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</si>
  <si>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</si>
  <si>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</si>
  <si>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</si>
  <si>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</si>
  <si>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</si>
  <si>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</si>
  <si>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</si>
  <si>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</si>
  <si>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</si>
  <si>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</si>
  <si>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</si>
  <si>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</si>
  <si>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</si>
  <si>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</si>
  <si>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</si>
  <si>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</si>
  <si>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</si>
  <si>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</si>
  <si>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</si>
  <si>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</si>
  <si>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</si>
  <si>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</si>
  <si>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</si>
  <si>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</si>
  <si>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</si>
  <si>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</si>
  <si>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</si>
  <si>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</si>
  <si>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</si>
  <si>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</si>
  <si>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</si>
  <si>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</si>
  <si>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</si>
  <si>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</si>
  <si>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</si>
  <si>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</si>
  <si>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</si>
  <si>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</si>
  <si>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</si>
  <si>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</si>
  <si>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</si>
  <si>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</si>
  <si>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</si>
  <si>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</si>
  <si>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</si>
  <si>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</si>
  <si>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</si>
  <si>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</si>
  <si>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</si>
  <si>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</si>
  <si>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</si>
  <si>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</si>
  <si>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</si>
  <si>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</si>
  <si>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</si>
  <si>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</si>
  <si>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</si>
  <si>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</si>
  <si>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</si>
  <si>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</si>
  <si>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</si>
  <si>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</si>
  <si>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</si>
  <si>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</si>
  <si>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</si>
  <si>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</si>
  <si>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</si>
  <si>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</si>
  <si>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</si>
  <si>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</si>
  <si>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</si>
  <si>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</si>
  <si>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</si>
  <si>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</si>
  <si>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</si>
  <si>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</si>
  <si>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</si>
  <si>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</si>
  <si>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</si>
  <si>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</si>
  <si>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</si>
  <si>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</si>
  <si>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</si>
  <si>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</si>
  <si>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</si>
  <si>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</si>
  <si>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</si>
  <si>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</si>
  <si>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</si>
  <si>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</si>
  <si>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</si>
  <si>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</si>
  <si>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</si>
  <si>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</si>
  <si>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</si>
  <si>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</si>
  <si>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</si>
  <si>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</si>
  <si>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</si>
  <si>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</si>
  <si>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</si>
  <si>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</si>
  <si>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</si>
  <si>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</si>
  <si>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</si>
  <si>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</si>
  <si>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</si>
  <si>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</si>
  <si>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</si>
  <si>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</si>
  <si>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</si>
  <si>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</si>
  <si>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</si>
  <si>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</si>
  <si>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</si>
  <si>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</si>
  <si>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</si>
  <si>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</si>
  <si>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</si>
  <si>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</si>
  <si>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</si>
  <si>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</si>
  <si>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</si>
  <si>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</si>
  <si>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</si>
  <si>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</si>
  <si>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</si>
  <si>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</si>
  <si>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</si>
  <si>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</si>
  <si>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</si>
  <si>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</si>
  <si>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</si>
  <si>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</si>
  <si>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</si>
  <si>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</si>
  <si>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</si>
  <si>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</si>
  <si>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</si>
  <si>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</si>
  <si>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</si>
  <si>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</si>
  <si>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</si>
  <si>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</si>
  <si>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</si>
  <si>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</si>
  <si>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</si>
  <si>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</si>
  <si>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</si>
  <si>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</si>
  <si>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</si>
  <si>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</si>
  <si>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</si>
  <si>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</si>
  <si>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</si>
  <si>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</si>
  <si>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</si>
  <si>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</si>
  <si>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</si>
  <si>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</si>
  <si>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</si>
  <si>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</si>
  <si>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</si>
  <si>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</si>
  <si>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</si>
  <si>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</si>
  <si>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</si>
  <si>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</si>
  <si>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</si>
  <si>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</si>
  <si>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</si>
  <si>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</si>
  <si>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</si>
  <si>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</si>
  <si>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</si>
  <si>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</si>
  <si>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</si>
  <si>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</si>
  <si>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</si>
  <si>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</si>
  <si>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</si>
  <si>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</si>
  <si>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</si>
  <si>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</si>
  <si>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</si>
  <si>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</si>
  <si>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</si>
  <si>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</si>
  <si>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</si>
  <si>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</si>
  <si>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</si>
  <si>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</si>
  <si>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</si>
  <si>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</si>
  <si>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</si>
  <si>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</si>
  <si>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</si>
  <si>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</si>
  <si>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</si>
  <si>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</si>
  <si>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</si>
  <si>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</si>
  <si>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</si>
  <si>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</si>
  <si>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</si>
  <si>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</si>
  <si>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</si>
  <si>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</si>
  <si>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</si>
  <si>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</si>
  <si>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</si>
  <si>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</si>
  <si>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</si>
  <si>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</si>
  <si>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</si>
  <si>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</si>
  <si>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</si>
  <si>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</si>
  <si>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</si>
  <si>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</si>
  <si>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</si>
  <si>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</si>
  <si>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</si>
  <si>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</si>
  <si>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</si>
  <si>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</si>
  <si>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</si>
  <si>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</si>
  <si>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</si>
  <si>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</si>
  <si>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</si>
  <si>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</si>
  <si>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</si>
  <si>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</si>
  <si>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</si>
  <si>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</si>
  <si>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</si>
  <si>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</si>
  <si>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</si>
  <si>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</si>
  <si>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</si>
  <si>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</si>
  <si>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</si>
  <si>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</si>
  <si>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</si>
  <si>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</si>
  <si>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</si>
  <si>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</si>
  <si>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</si>
  <si>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</si>
  <si>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</si>
  <si>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</si>
  <si>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</si>
  <si>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</si>
  <si>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</si>
  <si>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</si>
  <si>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</si>
  <si>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</si>
  <si>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</si>
  <si>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</si>
  <si>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</si>
  <si>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</si>
  <si>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</si>
  <si>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</si>
  <si>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</si>
  <si>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</si>
  <si>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</si>
  <si>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</si>
  <si>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</si>
  <si>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</si>
  <si>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</si>
  <si>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</si>
  <si>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</si>
  <si>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</si>
  <si>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</si>
  <si>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</si>
  <si>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</si>
  <si>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</si>
  <si>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</si>
  <si>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</si>
  <si>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</si>
  <si>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</si>
  <si>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</si>
  <si>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</si>
  <si>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</si>
  <si>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</si>
  <si>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</si>
  <si>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</si>
  <si>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</si>
  <si>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</si>
  <si>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</si>
  <si>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</si>
  <si>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</si>
  <si>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</si>
  <si>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</si>
  <si>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</si>
  <si>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</si>
  <si>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</si>
  <si>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</si>
  <si>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</si>
  <si>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</si>
  <si>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</si>
  <si>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</si>
  <si>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</si>
  <si>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</si>
  <si>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</si>
  <si>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</si>
  <si>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</si>
  <si>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</si>
  <si>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</si>
  <si>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</si>
  <si>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</si>
  <si>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</si>
  <si>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</si>
  <si>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</si>
  <si>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</si>
  <si>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</si>
  <si>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</si>
  <si>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</si>
  <si>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</si>
  <si>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</si>
  <si>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</si>
  <si>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</si>
  <si>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</si>
  <si>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</si>
  <si>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</si>
  <si>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</si>
  <si>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</si>
  <si>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</si>
  <si>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</si>
  <si>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</si>
  <si>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</si>
  <si>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</si>
  <si>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</si>
  <si>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</si>
  <si>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</si>
  <si>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</si>
  <si>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</si>
  <si>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</si>
  <si>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</si>
  <si>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</si>
  <si>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</si>
  <si>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</si>
  <si>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</si>
  <si>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</si>
  <si>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</si>
  <si>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</si>
  <si>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</si>
  <si>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</si>
  <si>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</si>
  <si>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</si>
  <si>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</si>
  <si>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</si>
  <si>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</si>
  <si>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</si>
  <si>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</si>
  <si>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</si>
  <si>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</si>
  <si>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</si>
  <si>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</si>
  <si>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</si>
  <si>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</si>
  <si>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</si>
  <si>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</si>
  <si>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</si>
  <si>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</si>
  <si>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</si>
  <si>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</si>
  <si>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</si>
  <si>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</si>
  <si>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</si>
  <si>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</si>
  <si>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</si>
  <si>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</si>
  <si>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</si>
  <si>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</si>
  <si>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</si>
  <si>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</si>
  <si>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</si>
  <si>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</si>
  <si>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</si>
  <si>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</si>
  <si>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</si>
  <si>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</si>
  <si>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</si>
  <si>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</si>
  <si>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</si>
  <si>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</si>
  <si>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</si>
  <si>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</si>
  <si>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</si>
  <si>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</si>
  <si>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</si>
  <si>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</si>
  <si>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</si>
  <si>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</si>
  <si>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</si>
  <si>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</si>
  <si>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</si>
  <si>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</si>
  <si>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</si>
  <si>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</si>
  <si>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</si>
  <si>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</si>
  <si>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</si>
  <si>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</si>
  <si>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</si>
  <si>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</si>
  <si>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</si>
  <si>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</si>
  <si>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</si>
  <si>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</si>
  <si>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</si>
  <si>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</si>
  <si>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</si>
  <si>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</si>
  <si>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</si>
  <si>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</si>
  <si>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</si>
  <si>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</si>
  <si>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</si>
  <si>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</si>
  <si>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</si>
  <si>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</si>
  <si>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</si>
  <si>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</si>
  <si>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</si>
  <si>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</si>
  <si>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</si>
  <si>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</si>
  <si>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</si>
  <si>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</si>
  <si>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</si>
  <si>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</si>
  <si>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</si>
  <si>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</si>
  <si>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</si>
  <si>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</si>
  <si>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</si>
  <si>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</si>
  <si>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</si>
  <si>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</si>
  <si>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</si>
  <si>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</si>
  <si>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</si>
  <si>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</si>
  <si>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</si>
  <si>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</si>
  <si>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</si>
  <si>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</si>
  <si>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</si>
  <si>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</si>
  <si>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</si>
  <si>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</si>
  <si>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</si>
  <si>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</si>
  <si>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</si>
  <si>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</si>
  <si>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</si>
  <si>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</si>
  <si>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</si>
  <si>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</si>
  <si>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</si>
  <si>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</si>
  <si>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</si>
  <si>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</si>
  <si>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</si>
  <si>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</si>
  <si>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</si>
  <si>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</si>
  <si>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</si>
  <si>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</si>
  <si>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</si>
  <si>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</si>
  <si>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</si>
  <si>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</si>
  <si>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</si>
  <si>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</si>
  <si>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</si>
  <si>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</si>
  <si>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</si>
  <si>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</si>
  <si>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</si>
  <si>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</si>
  <si>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</si>
  <si>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</si>
  <si>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</si>
  <si>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</si>
  <si>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</si>
  <si>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</si>
  <si>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</si>
  <si>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</si>
  <si>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</si>
  <si>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</si>
  <si>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</si>
  <si>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</si>
  <si>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</si>
  <si>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</si>
  <si>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</si>
  <si>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</si>
  <si>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</si>
  <si>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</si>
  <si>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</si>
  <si>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</si>
  <si>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</si>
  <si>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</si>
  <si>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</si>
  <si>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</si>
  <si>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</si>
  <si>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</si>
  <si>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</si>
  <si>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</si>
  <si>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</si>
  <si>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</si>
  <si>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</si>
  <si>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</si>
  <si>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</si>
  <si>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</si>
  <si>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</si>
  <si>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</si>
  <si>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</si>
  <si>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</si>
  <si>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</si>
  <si>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</si>
  <si>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</si>
  <si>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</si>
  <si>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</si>
  <si>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</si>
  <si>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</si>
  <si>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</si>
  <si>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</si>
  <si>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</si>
  <si>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</si>
  <si>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</si>
  <si>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</si>
  <si>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</si>
  <si>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</si>
  <si>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</si>
  <si>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</si>
  <si>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</si>
  <si>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</si>
  <si>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</si>
  <si>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</si>
  <si>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</si>
  <si>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</si>
  <si>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</si>
  <si>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</si>
  <si>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</si>
  <si>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</si>
  <si>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</si>
  <si>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</si>
  <si>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</si>
  <si>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</si>
  <si>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</si>
  <si>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</si>
  <si>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</si>
  <si>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</si>
  <si>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</si>
  <si>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</si>
  <si>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</si>
  <si>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</si>
  <si>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</si>
  <si>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</si>
  <si>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</si>
  <si>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</si>
  <si>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</si>
  <si>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</si>
  <si>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</si>
  <si>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</si>
  <si>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</si>
  <si>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</si>
  <si>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</si>
  <si>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</si>
  <si>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</si>
  <si>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</si>
  <si>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</si>
  <si>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</si>
  <si>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</si>
  <si>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</si>
  <si>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</si>
  <si>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</si>
  <si>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</si>
  <si>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</si>
  <si>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</si>
  <si>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</si>
  <si>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</si>
  <si>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</si>
  <si>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</si>
  <si>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</si>
  <si>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</si>
  <si>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</si>
  <si>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</si>
  <si>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</si>
  <si>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</si>
  <si>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</si>
  <si>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</si>
  <si>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</si>
  <si>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</si>
  <si>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</si>
  <si>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</si>
  <si>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</si>
  <si>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</si>
  <si>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</si>
  <si>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</si>
  <si>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</si>
  <si>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</si>
  <si>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</si>
  <si>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</si>
  <si>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</si>
  <si>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</si>
  <si>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</si>
  <si>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</si>
  <si>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</si>
  <si>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</si>
  <si>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</si>
  <si>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</si>
  <si>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</si>
  <si>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</si>
  <si>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</si>
  <si>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</si>
  <si>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</si>
  <si>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</si>
  <si>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</si>
  <si>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</si>
  <si>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</si>
  <si>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</si>
  <si>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</si>
  <si>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</si>
  <si>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</si>
  <si>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</si>
  <si>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</si>
  <si>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</si>
  <si>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</si>
  <si>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</si>
  <si>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</si>
  <si>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</si>
  <si>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</si>
  <si>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</si>
  <si>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</si>
  <si>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</si>
  <si>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</si>
  <si>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</si>
  <si>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</si>
  <si>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</si>
  <si>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</si>
  <si>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</si>
  <si>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</si>
  <si>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</si>
  <si>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</si>
  <si>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</si>
  <si>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</si>
  <si>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</si>
  <si>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</si>
  <si>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</si>
  <si>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</si>
  <si>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</si>
  <si>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</si>
  <si>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</si>
  <si>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</si>
  <si>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</si>
  <si>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</si>
  <si>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</si>
  <si>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</si>
  <si>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</si>
  <si>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</si>
  <si>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</si>
  <si>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</si>
  <si>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</si>
  <si>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</si>
  <si>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</si>
  <si>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</si>
  <si>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</si>
  <si>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</si>
  <si>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</si>
  <si>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</si>
  <si>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</si>
  <si>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</si>
  <si>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</si>
  <si>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</si>
  <si>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</si>
  <si>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</si>
  <si>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</si>
  <si>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</si>
  <si>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</si>
  <si>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</si>
  <si>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</si>
  <si>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</si>
  <si>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</si>
  <si>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</si>
  <si>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魏善庄镇</t>
    <phoneticPr fontId="225" type="noConversion"/>
  </si>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</sst>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8" fillId="0" borderId="0" xfId="0" applyFont="1" applyAlignment="1">
      <alignment horizontal="center" vertical="center"/>
    </xf>
    <xf numFmtId="0" fontId="92" fillId="0" borderId="14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38"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7" fillId="2" borderId="88"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38" fillId="20" borderId="7" xfId="0" applyFont="1" applyFill="1" applyBorder="1" applyAlignment="1" applyProtection="1">
      <alignment horizontal="center" vertical="center" wrapText="1"/>
      <protection locked="0"/>
    </xf>
    <xf numFmtId="10" fontId="77" fillId="20" borderId="31" xfId="0" applyNumberFormat="1" applyFont="1" applyFill="1" applyBorder="1" applyAlignment="1" applyProtection="1">
      <alignment horizontal="center" vertical="center"/>
      <protection locked="0"/>
    </xf>
    <xf numFmtId="0" fontId="95" fillId="20" borderId="14" xfId="0" applyFont="1" applyFill="1" applyBorder="1" applyAlignment="1" applyProtection="1">
      <alignment horizontal="center" vertical="center" wrapText="1"/>
      <protection locked="0"/>
    </xf>
    <xf numFmtId="0" fontId="86" fillId="20" borderId="13" xfId="0" applyFont="1" applyFill="1" applyBorder="1" applyAlignment="1" applyProtection="1">
      <alignment horizontal="center" vertical="center" wrapText="1"/>
      <protection locked="0"/>
    </xf>
    <xf numFmtId="0" fontId="77" fillId="20" borderId="12" xfId="0" applyFont="1" applyFill="1" applyBorder="1" applyAlignment="1" applyProtection="1">
      <alignment horizontal="center" vertical="center" wrapText="1"/>
      <protection locked="0"/>
    </xf>
    <xf numFmtId="185" fontId="77" fillId="20" borderId="7" xfId="0" applyNumberFormat="1" applyFont="1" applyFill="1" applyBorder="1" applyAlignment="1" applyProtection="1">
      <alignment horizontal="center" vertical="center"/>
      <protection locked="0"/>
    </xf>
    <xf numFmtId="10" fontId="77" fillId="20" borderId="7" xfId="0" applyNumberFormat="1" applyFont="1" applyFill="1" applyBorder="1" applyAlignment="1" applyProtection="1">
      <alignment horizontal="center" vertical="center"/>
      <protection locked="0"/>
    </xf>
    <xf numFmtId="0" fontId="29" fillId="20" borderId="10" xfId="0" applyFont="1" applyFill="1" applyBorder="1" applyAlignment="1" applyProtection="1">
      <alignment horizontal="center" vertical="center" wrapText="1"/>
      <protection locked="0"/>
    </xf>
    <xf numFmtId="179" fontId="77" fillId="20" borderId="6" xfId="0" applyNumberFormat="1" applyFont="1" applyFill="1" applyBorder="1" applyAlignment="1" applyProtection="1">
      <alignment horizontal="center"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1</xdr:rowOff>
    </xdr:from>
    <xdr:to>
      <xdr:col>20</xdr:col>
      <xdr:colOff>171450</xdr:colOff>
      <xdr:row>28</xdr:row>
      <xdr:rowOff>36423</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3"/>
        <a:stretch>
          <a:fillRect/>
        </a:stretch>
      </xdr:blipFill>
      <xdr:spPr>
        <a:xfrm>
          <a:off x="6172200" y="1"/>
          <a:ext cx="7715250" cy="4837022"/>
        </a:xfrm>
        <a:prstGeom prst="rect">
          <a:avLst/>
        </a:prstGeom>
      </xdr:spPr>
    </xdr:pic>
    <xdr:clientData/>
  </xdr:twoCellAnchor>
  <xdr:twoCellAnchor editAs="oneCell">
    <xdr:from>
      <xdr:col>9</xdr:col>
      <xdr:colOff>0</xdr:colOff>
      <xdr:row>29</xdr:row>
      <xdr:rowOff>0</xdr:rowOff>
    </xdr:from>
    <xdr:to>
      <xdr:col>23</xdr:col>
      <xdr:colOff>274990</xdr:colOff>
      <xdr:row>39</xdr:row>
      <xdr:rowOff>123595</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4"/>
        <a:stretch>
          <a:fillRect/>
        </a:stretch>
      </xdr:blipFill>
      <xdr:spPr>
        <a:xfrm>
          <a:off x="6172200" y="4972050"/>
          <a:ext cx="9876190" cy="1838095"/>
        </a:xfrm>
        <a:prstGeom prst="rect">
          <a:avLst/>
        </a:prstGeom>
      </xdr:spPr>
    </xdr:pic>
    <xdr:clientData/>
  </xdr:twoCellAnchor>
  <xdr:twoCellAnchor editAs="oneCell">
    <xdr:from>
      <xdr:col>20</xdr:col>
      <xdr:colOff>333375</xdr:colOff>
      <xdr:row>0</xdr:row>
      <xdr:rowOff>0</xdr:rowOff>
    </xdr:from>
    <xdr:to>
      <xdr:col>34</xdr:col>
      <xdr:colOff>198842</xdr:colOff>
      <xdr:row>33</xdr:row>
      <xdr:rowOff>18340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5"/>
        <a:stretch>
          <a:fillRect/>
        </a:stretch>
      </xdr:blipFill>
      <xdr:spPr>
        <a:xfrm>
          <a:off x="14049375" y="0"/>
          <a:ext cx="9466667"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4" customWidth="1"/>
    <col min="2" max="2" width="81" style="3155" customWidth="1"/>
    <col min="3" max="16384" width="9" style="3153"/>
  </cols>
  <sheetData>
    <row r="1" spans="1:2" s="3151" customFormat="1">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估价对象为北京市房地产，为所有。根据《国有土地使用证》[]，估价对象（分摊）出让国有建设用地使用权面积为0平方米，建筑面积为115.43平方米。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估价对象为北京市房地产,属开发建设的办公项目，该项目尚在开发建设中。根据《国有土地使用证》[]，估价对象（分摊）出让国有建设用地使用权面积为0平方米，规划建筑面积为115.43平方米。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2025年8月13日（评估专业人员实地查勘之日）</v>
      </c>
    </row>
    <row r="13" spans="1:2">
      <c r="A13" s="3160" t="s">
        <v>13</v>
      </c>
      <c r="B13" s="3161"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128</v>
      </c>
    </row>
    <row r="21" spans="1:2">
      <c r="A21" s="3160" t="s">
        <v>21</v>
      </c>
      <c r="B21" s="3161">
        <f ca="1">'预评函-2'!D7</f>
        <v>11090</v>
      </c>
    </row>
    <row r="22" spans="1:2">
      <c r="A22" s="3160" t="s">
        <v>22</v>
      </c>
      <c r="B22" s="3161" t="str">
        <f ca="1">'预评函-2'!D6</f>
        <v>壹佰贰拾捌万元整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128</v>
      </c>
    </row>
    <row r="31" spans="1:2">
      <c r="A31" s="3160" t="s">
        <v>31</v>
      </c>
      <c r="B31" s="3161">
        <f ca="1">'预评函-2'!D15</f>
        <v>11090</v>
      </c>
    </row>
    <row r="32" spans="1:2">
      <c r="A32" s="3160" t="s">
        <v>32</v>
      </c>
      <c r="B32" s="3161" t="str">
        <f ca="1">'预评函-2'!D14</f>
        <v>壹佰贰拾捌万元整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ht="31.2">
      <c r="A42" s="3160" t="s">
        <v>42</v>
      </c>
      <c r="B42" s="3161" t="str">
        <f>'预评函-3'!B2</f>
        <v>建筑面积</v>
      </c>
    </row>
    <row r="43" spans="1:2">
      <c r="A43" s="3160" t="s">
        <v>43</v>
      </c>
      <c r="B43" s="3161">
        <f>'预评函-3'!B4</f>
        <v>115.43</v>
      </c>
    </row>
    <row r="44" spans="1:2" ht="3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-15</v>
      </c>
    </row>
    <row r="48" spans="1:2">
      <c r="A48" s="3160" t="s">
        <v>48</v>
      </c>
      <c r="B48" s="3161">
        <f ca="1">'预评函-3'!E4</f>
        <v>-1331</v>
      </c>
    </row>
    <row r="49" spans="1:2">
      <c r="A49" s="3160" t="s">
        <v>49</v>
      </c>
      <c r="B49" s="3161" t="e">
        <f ca="1">'预评函-3'!D5</f>
        <v>#NUM!</v>
      </c>
    </row>
    <row r="50" spans="1:2">
      <c r="A50" s="3160" t="s">
        <v>50</v>
      </c>
      <c r="B50" s="3161" t="str">
        <f>'预评函-3'!F2</f>
        <v>在建建筑物价值</v>
      </c>
    </row>
    <row r="51" spans="1:2">
      <c r="A51" s="3160" t="s">
        <v>51</v>
      </c>
      <c r="B51" s="3161">
        <f ca="1">'预评函-3'!F4</f>
        <v>143</v>
      </c>
    </row>
    <row r="52" spans="1:2">
      <c r="A52" s="3160" t="s">
        <v>52</v>
      </c>
      <c r="B52" s="3161">
        <f ca="1">'预评函-3'!G4</f>
        <v>12421</v>
      </c>
    </row>
    <row r="53" spans="1:2">
      <c r="A53" s="3160" t="s">
        <v>53</v>
      </c>
      <c r="B53" s="3161" t="str">
        <f ca="1">'预评函-3'!F5</f>
        <v>壹佰肆拾叁万元整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7" customWidth="1"/>
    <col min="2" max="2" width="23.21875" customWidth="1"/>
    <col min="3" max="3" width="13" style="3048" customWidth="1"/>
    <col min="4" max="4" width="5.77734375" style="3049" customWidth="1"/>
    <col min="5" max="5" width="7.109375" style="3049" customWidth="1"/>
    <col min="6" max="6" width="10.6640625" style="3049" customWidth="1"/>
    <col min="7" max="7" width="7.44140625" style="3049" customWidth="1"/>
    <col min="8" max="8" width="11.88671875" style="3048" customWidth="1"/>
    <col min="9" max="9" width="11.6640625" style="3048" customWidth="1"/>
    <col min="10" max="10" width="9" style="3048" customWidth="1"/>
    <col min="11" max="19" width="9" style="3049" customWidth="1"/>
    <col min="20" max="23" width="9" style="3048" customWidth="1"/>
    <col min="24" max="28" width="15.109375" style="3048" customWidth="1"/>
  </cols>
  <sheetData>
    <row r="1" spans="1:28" s="3046" customFormat="1" ht="43.2">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3"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591" t="s">
        <v>368</v>
      </c>
      <c r="C54" s="3048" t="s">
        <v>369</v>
      </c>
    </row>
    <row r="55" spans="1:4">
      <c r="A55" s="3213"/>
      <c r="B55" s="591" t="s">
        <v>370</v>
      </c>
      <c r="C55" s="3048" t="s">
        <v>371</v>
      </c>
    </row>
    <row r="56" spans="1:4">
      <c r="A56" s="3213"/>
      <c r="B56" s="591" t="s">
        <v>372</v>
      </c>
      <c r="C56" s="3048" t="s">
        <v>373</v>
      </c>
    </row>
    <row r="57" spans="1:4">
      <c r="A57" s="3213"/>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14" t="s">
        <v>378</v>
      </c>
      <c r="J2" s="3214"/>
      <c r="K2" s="3214"/>
      <c r="L2" s="3214"/>
      <c r="M2" s="3214"/>
      <c r="N2" s="3214"/>
      <c r="O2" s="3214"/>
      <c r="P2" s="3214"/>
      <c r="Q2" s="3214"/>
      <c r="R2" s="3214"/>
    </row>
    <row r="3" spans="1:18">
      <c r="A3" s="732" t="s">
        <v>379</v>
      </c>
      <c r="B3" s="3004">
        <f>项目基本情况!D3</f>
        <v>45882</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1.35</v>
      </c>
      <c r="D5" s="3006">
        <f>IF(ISERROR(ROUND(POWER(1+E5,A5-C5)*(POWER(1+E5,C5)-1)/(POWER(1+E5,A5)-1),3)),0,ROUND(POWER(1+E5,A5-C5)*(POWER(1+E5,C5)-1)/(POWER(1+E5,A5)-1),4))</f>
        <v>6.5100000000000005E-2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11.35</v>
      </c>
      <c r="D6" s="3006">
        <f>IF(ISERROR(ROUND(POWER(1+E6,A6-C6)*(POWER(1+E6,C6)-1)/(POWER(1+E6,A6)-1),3)),0,ROUND(POWER(1+E6,A6-C6)*(POWER(1+E6,C6)-1)/(POWER(1+E6,A6)-1),4))</f>
        <v>0.41810000000000003</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31.37</v>
      </c>
      <c r="D7" s="3006">
        <f>IF(ISERROR(ROUND(POWER(1+E7,A7-C7)*(POWER(1+E7,C7)-1)/(POWER(1+E7,A7)-1),3)),0,ROUND(POWER(1+E7,A7-C7)*(POWER(1+E7,C7)-1)/(POWER(1+E7,A7)-1),4))</f>
        <v>0.75639999999999996</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workbookViewId="0">
      <selection activeCell="E14" sqref="E14"/>
    </sheetView>
  </sheetViews>
  <sheetFormatPr defaultColWidth="10" defaultRowHeight="13.2"/>
  <cols>
    <col min="1" max="1" width="16.88671875" style="2560" customWidth="1"/>
    <col min="2" max="2" width="10" style="2560" customWidth="1"/>
    <col min="3" max="3" width="11.44140625" style="2560" customWidth="1"/>
    <col min="4" max="4" width="10" style="2560" customWidth="1"/>
    <col min="5" max="5" width="12.6640625" style="2560" customWidth="1"/>
    <col min="6" max="6" width="10" style="2560" customWidth="1"/>
    <col min="7" max="7" width="10.77734375" style="2560" customWidth="1"/>
    <col min="8" max="8" width="10" style="2560" customWidth="1"/>
    <col min="9" max="9" width="11.10937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45882</v>
      </c>
      <c r="C3" s="2887" t="s">
        <v>477</v>
      </c>
      <c r="D3" s="2886">
        <f>B3</f>
        <v>45882</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2" t="s">
        <v>483</v>
      </c>
      <c r="E8" s="2902" t="s">
        <v>368</v>
      </c>
      <c r="F8" s="2903"/>
      <c r="G8" s="2658"/>
      <c r="H8" s="2658"/>
      <c r="I8" s="2658"/>
      <c r="J8" s="2521"/>
      <c r="K8" s="2976"/>
      <c r="L8" s="2974"/>
      <c r="M8" s="2974"/>
      <c r="N8" s="2521"/>
      <c r="O8" s="2345"/>
      <c r="P8" s="2521"/>
      <c r="Q8" s="2521"/>
      <c r="R8" s="2521"/>
    </row>
    <row r="9" spans="1:30">
      <c r="A9" s="2904" t="s">
        <v>484</v>
      </c>
      <c r="B9" s="2905" t="s">
        <v>368</v>
      </c>
      <c r="C9" s="2906"/>
      <c r="D9" s="3243"/>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59023</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36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30"/>
      <c r="C16" s="3231"/>
      <c r="D16" s="3232"/>
      <c r="E16" s="2928" t="s">
        <v>502</v>
      </c>
      <c r="F16" s="3233"/>
      <c r="G16" s="3234"/>
      <c r="H16" s="3234"/>
      <c r="I16" s="3235"/>
      <c r="J16" s="2521"/>
      <c r="K16" s="2982"/>
      <c r="L16" s="2345"/>
      <c r="M16" s="2345"/>
      <c r="N16" s="2521"/>
      <c r="O16" s="2345"/>
      <c r="P16" s="2521"/>
      <c r="Q16" s="2521"/>
      <c r="R16" s="2521"/>
    </row>
    <row r="17" spans="1:28">
      <c r="A17" s="272" t="s">
        <v>503</v>
      </c>
      <c r="B17" s="260" t="s">
        <v>504</v>
      </c>
      <c r="C17" s="1230">
        <f>'数据-汇总表'!E3</f>
        <v>115.43</v>
      </c>
      <c r="D17" s="317" t="s">
        <v>505</v>
      </c>
      <c r="E17" s="3236" t="s">
        <v>506</v>
      </c>
      <c r="F17" s="3237"/>
      <c r="G17" s="3237"/>
      <c r="H17" s="3237"/>
      <c r="I17" s="3238"/>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9" t="s">
        <v>509</v>
      </c>
      <c r="F18" s="3240"/>
      <c r="G18" s="3240"/>
      <c r="H18" s="3240"/>
      <c r="I18" s="3241"/>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17" t="s">
        <v>514</v>
      </c>
      <c r="C20" s="3218"/>
      <c r="D20" s="3219" t="s">
        <v>515</v>
      </c>
      <c r="E20" s="3220"/>
      <c r="F20" s="2937" t="s">
        <v>516</v>
      </c>
      <c r="G20" s="2658"/>
      <c r="H20" s="2658"/>
      <c r="I20" s="2658"/>
      <c r="J20" s="2521"/>
      <c r="K20" s="3215"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36">
      <c r="A21" s="2936"/>
      <c r="B21" s="2938" t="s">
        <v>518</v>
      </c>
      <c r="C21" s="2547" t="s">
        <v>519</v>
      </c>
      <c r="D21" s="2939" t="s">
        <v>520</v>
      </c>
      <c r="E21" s="2940" t="s">
        <v>519</v>
      </c>
      <c r="F21" s="2941"/>
      <c r="G21" s="2658">
        <v>2013</v>
      </c>
      <c r="H21" s="2658"/>
      <c r="I21" s="2658"/>
      <c r="J21" s="2521"/>
      <c r="K21" s="3215"/>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36">
      <c r="A22" s="2936"/>
      <c r="B22" s="2942" t="s">
        <v>521</v>
      </c>
      <c r="C22" s="2547" t="s">
        <v>522</v>
      </c>
      <c r="D22" s="2658"/>
      <c r="E22" s="2658"/>
      <c r="F22" s="2658"/>
      <c r="G22" s="2658"/>
      <c r="H22" s="2658"/>
      <c r="I22" s="2658"/>
      <c r="J22" s="2521"/>
      <c r="K22" s="3215"/>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3"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3"/>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3"/>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24"/>
      <c r="B30" s="260" t="s">
        <v>535</v>
      </c>
      <c r="C30" s="3221"/>
      <c r="D30" s="3222"/>
      <c r="E30" s="2658"/>
      <c r="F30" s="2658"/>
      <c r="G30" s="2658"/>
      <c r="H30" s="2658"/>
      <c r="I30" s="2658"/>
      <c r="J30" s="2521"/>
      <c r="K30" s="2975"/>
      <c r="L30" s="2974"/>
      <c r="M30" s="2974"/>
      <c r="N30" s="2521"/>
      <c r="O30" s="2345"/>
      <c r="P30" s="2521"/>
      <c r="Q30" s="2521"/>
      <c r="R30" s="2521"/>
      <c r="S30" s="2521"/>
      <c r="T30" s="2521"/>
      <c r="U30" s="2521"/>
      <c r="V30" s="2521"/>
    </row>
    <row r="31" spans="1:28">
      <c r="A31" s="3225"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26"/>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26"/>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16" t="s">
        <v>546</v>
      </c>
      <c r="T34" s="304" t="str">
        <f>NUMBERSTRING(7-K34,1)&amp;"通"</f>
        <v>七通</v>
      </c>
      <c r="U34" s="2521"/>
      <c r="V34" s="2521"/>
    </row>
    <row r="35" spans="1:30">
      <c r="A35" s="2962"/>
      <c r="B35" s="3216" t="s">
        <v>547</v>
      </c>
      <c r="C35" s="3216"/>
      <c r="D35" s="3216"/>
      <c r="E35" s="3216"/>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16"/>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2">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2" sqref="M22"/>
    </sheetView>
  </sheetViews>
  <sheetFormatPr defaultColWidth="8.88671875" defaultRowHeight="13.8"/>
  <cols>
    <col min="1" max="1" width="10.6640625" style="2801" customWidth="1"/>
    <col min="2" max="2" width="11" style="2801" customWidth="1"/>
    <col min="3" max="3" width="10.33203125" style="2801" customWidth="1"/>
    <col min="4" max="4" width="9.109375" style="2801" customWidth="1"/>
    <col min="5" max="8" width="10" style="2801" customWidth="1"/>
    <col min="9" max="9" width="10.6640625" style="2801" customWidth="1"/>
    <col min="10" max="10" width="9.44140625" style="2801" customWidth="1"/>
    <col min="11" max="11" width="11" style="2801" customWidth="1"/>
    <col min="12" max="14" width="9.44140625" style="2801" customWidth="1"/>
    <col min="15" max="15" width="9.88671875" style="2801" customWidth="1"/>
    <col min="16" max="16" width="9.77734375" style="2801" customWidth="1"/>
    <col min="17" max="17" width="9.33203125" style="2801" customWidth="1"/>
    <col min="18" max="18" width="9.21875" style="2801" customWidth="1"/>
    <col min="19" max="19" width="10.88671875" style="2801" customWidth="1"/>
    <col min="20" max="21" width="10.77734375" style="2801" customWidth="1"/>
    <col min="22" max="22" width="10.88671875" style="2801" customWidth="1"/>
    <col min="23" max="27" width="10.77734375" style="2801" customWidth="1"/>
    <col min="28" max="28" width="10.88671875" style="2801" customWidth="1"/>
    <col min="29" max="29" width="11" style="2801" customWidth="1"/>
    <col min="30" max="30" width="10" style="2801" customWidth="1"/>
    <col min="31" max="31" width="9.77734375" style="2801" customWidth="1"/>
    <col min="32" max="46" width="9.44140625" style="2801" customWidth="1"/>
    <col min="47" max="47" width="18.109375" style="2801" customWidth="1"/>
    <col min="48" max="50" width="9.77734375" style="2801" customWidth="1"/>
    <col min="51" max="55" width="10.44140625" style="2801" customWidth="1"/>
    <col min="56" max="56" width="9.44140625" style="2801" customWidth="1"/>
    <col min="57" max="63" width="9.109375" style="2801" customWidth="1"/>
    <col min="64" max="64" width="9.44140625" style="2801" customWidth="1"/>
    <col min="65" max="65" width="9.109375" style="2801" customWidth="1"/>
    <col min="66" max="66" width="9.44140625" style="2801" customWidth="1"/>
    <col min="67" max="69" width="9.109375" style="2801" customWidth="1"/>
    <col min="70" max="70" width="9.44140625" style="2801" customWidth="1"/>
    <col min="71" max="71" width="9" style="2801" customWidth="1"/>
    <col min="72" max="72" width="9.109375" style="2801" customWidth="1"/>
    <col min="73" max="16384" width="8.88671875" style="2801"/>
  </cols>
  <sheetData>
    <row r="1" spans="1:72" ht="21">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3.2">
      <c r="A3" s="2804"/>
      <c r="B3" s="2805">
        <f>IF(C3="否",G5-AT5,G5)</f>
        <v>115.43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3.2">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3.2">
      <c r="A5" s="420" t="s">
        <v>577</v>
      </c>
      <c r="B5" s="2231"/>
      <c r="C5" s="2231"/>
      <c r="D5" s="2354"/>
      <c r="E5" s="2809" t="s">
        <v>124</v>
      </c>
      <c r="F5" s="2809">
        <f>SUM(F13:F587)</f>
        <v>0</v>
      </c>
      <c r="G5" s="2809">
        <f>SUM(G13:G587)</f>
        <v>115.43</v>
      </c>
      <c r="H5" s="2809">
        <f t="shared" ref="H5:AT5" si="0">SUM(H13:H656)</f>
        <v>115.43</v>
      </c>
      <c r="I5" s="2809">
        <f t="shared" si="0"/>
        <v>115.43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115.43</v>
      </c>
      <c r="BA5" s="2862">
        <f t="shared" si="1"/>
        <v>115.43</v>
      </c>
      <c r="BB5" s="2862">
        <f t="shared" si="1"/>
        <v>115.43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3.2">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5.2">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3.2">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3.2">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3.2">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3.2">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3.2">
      <c r="A13" s="1192"/>
      <c r="B13" s="1192"/>
      <c r="C13" s="3510">
        <v>1704</v>
      </c>
      <c r="D13" s="2823" t="s">
        <v>605</v>
      </c>
      <c r="E13" s="2809">
        <f>IF($C$3="是",ROUND($A$3*G13/$B$3,2),ROUND($A$3*(G13-AT13)/$B$3,2))</f>
        <v>0</v>
      </c>
      <c r="F13" s="2824"/>
      <c r="G13" s="2825">
        <f>H13+AC13+AT13</f>
        <v>115.43</v>
      </c>
      <c r="H13" s="2812">
        <f>SUMIF(I$12:AB$12,"总值",I13:AB13)</f>
        <v>115.43</v>
      </c>
      <c r="I13" s="2837">
        <v>115.43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115.43</v>
      </c>
      <c r="BA13" s="2809">
        <f>SUM(BB13:BK13)</f>
        <v>115.43</v>
      </c>
      <c r="BB13" s="2809">
        <f>IF($D13="是",I13-J13,0)</f>
        <v>115.43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3.2">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3.2">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3.2">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3.2">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9" sqref="K9"/>
    </sheetView>
  </sheetViews>
  <sheetFormatPr defaultColWidth="9.21875" defaultRowHeight="13.8"/>
  <cols>
    <col min="1" max="1" width="12.109375" style="2503" customWidth="1"/>
    <col min="2" max="2" width="10.21875" style="2503" customWidth="1"/>
    <col min="3" max="3" width="18.44140625" style="2503" customWidth="1"/>
    <col min="4" max="4" width="11.6640625" style="2503" customWidth="1"/>
    <col min="5" max="5" width="13.33203125" style="2503" customWidth="1"/>
    <col min="6" max="8" width="11.44140625" style="2503" customWidth="1"/>
    <col min="9" max="9" width="11.109375" style="2503" customWidth="1"/>
    <col min="10" max="10" width="3.109375" style="2503" customWidth="1"/>
    <col min="11" max="16" width="10" style="2503" customWidth="1"/>
    <col min="17" max="17" width="2.6640625" style="2503" customWidth="1"/>
    <col min="18" max="18" width="9.33203125" style="2503" customWidth="1"/>
    <col min="19" max="19" width="10.44140625" style="2503" customWidth="1"/>
    <col min="20" max="16384" width="9.21875" style="2503"/>
  </cols>
  <sheetData>
    <row r="1" spans="1:16" ht="17.399999999999999">
      <c r="A1" s="2223" t="s">
        <v>606</v>
      </c>
      <c r="B1" s="2292"/>
      <c r="C1" s="2292"/>
      <c r="D1" s="2292"/>
      <c r="E1" s="2292"/>
      <c r="F1" s="2292"/>
      <c r="G1" s="2292"/>
      <c r="H1" s="2292"/>
      <c r="I1" s="2292"/>
      <c r="J1" s="2292"/>
      <c r="K1" s="2292"/>
      <c r="L1" s="2292"/>
      <c r="M1" s="2292"/>
      <c r="N1" s="2292"/>
      <c r="O1" s="2292"/>
      <c r="P1" s="2292"/>
    </row>
    <row r="2" spans="1:16" ht="14.4">
      <c r="A2" s="3253" t="s">
        <v>607</v>
      </c>
      <c r="B2" s="3253"/>
      <c r="C2" s="3253"/>
      <c r="D2" s="2146" t="s">
        <v>608</v>
      </c>
      <c r="E2" s="2737" t="s">
        <v>609</v>
      </c>
      <c r="F2" s="2596"/>
      <c r="G2" s="2738"/>
      <c r="H2" s="2739"/>
      <c r="I2" s="2434" t="s">
        <v>610</v>
      </c>
      <c r="J2" s="2596"/>
      <c r="K2" s="2596"/>
      <c r="L2" s="2596"/>
      <c r="M2" s="2596"/>
      <c r="N2" s="1450"/>
      <c r="O2" s="2596"/>
      <c r="P2" s="2596"/>
    </row>
    <row r="3" spans="1:16" ht="14.4">
      <c r="A3" s="3254" t="s">
        <v>611</v>
      </c>
      <c r="B3" s="3254"/>
      <c r="C3" s="3254"/>
      <c r="D3" s="2740">
        <f>'数据-基础表'!AY6</f>
        <v>0</v>
      </c>
      <c r="E3" s="2740">
        <f>'数据-基础表'!AZ5</f>
        <v>115.43</v>
      </c>
      <c r="F3" s="2596"/>
      <c r="G3" s="2741"/>
      <c r="H3" s="2245" t="s">
        <v>612</v>
      </c>
      <c r="I3" s="1810" t="e">
        <f>ROUND('数据-基础表'!B3/'数据-基础表'!A3,2)</f>
        <v>#DIV/0!</v>
      </c>
      <c r="J3" s="2596"/>
      <c r="K3" s="2596"/>
      <c r="L3" s="2596"/>
      <c r="M3" s="2596"/>
      <c r="N3" s="1450"/>
      <c r="O3" s="2596"/>
      <c r="P3" s="2596"/>
    </row>
    <row r="4" spans="1:16" ht="14.4">
      <c r="A4" s="3255"/>
      <c r="B4" s="3256"/>
      <c r="C4" s="3257"/>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ht="14.4">
      <c r="A5" s="2741" t="s">
        <v>615</v>
      </c>
      <c r="B5" s="3258" t="s">
        <v>616</v>
      </c>
      <c r="C5" s="3258"/>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ht="14.4">
      <c r="A6" s="2746"/>
      <c r="B6" s="3258" t="s">
        <v>617</v>
      </c>
      <c r="C6" s="3258"/>
      <c r="D6" s="2245">
        <f>ROUND($D$3*E6/$E$3,2)</f>
        <v>0</v>
      </c>
      <c r="E6" s="2745">
        <f>E3-E5</f>
        <v>115.43</v>
      </c>
      <c r="F6" s="2596"/>
      <c r="G6" s="2747" t="s">
        <v>618</v>
      </c>
      <c r="H6" s="2748" t="s">
        <v>614</v>
      </c>
      <c r="I6" s="2787" t="e">
        <f>ROUND(F31/D31,2)</f>
        <v>#DIV/0!</v>
      </c>
      <c r="J6" s="2596"/>
      <c r="K6" s="2596"/>
      <c r="L6" s="2596"/>
      <c r="M6" s="2596"/>
      <c r="N6" s="2596"/>
      <c r="O6" s="2596"/>
      <c r="P6" s="2596"/>
    </row>
    <row r="7" spans="1:16" ht="14.4">
      <c r="A7" s="3244"/>
      <c r="B7" s="3245"/>
      <c r="C7" s="3246"/>
      <c r="D7" s="2742" t="s">
        <v>608</v>
      </c>
      <c r="E7" s="2749" t="s">
        <v>619</v>
      </c>
      <c r="F7" s="2596"/>
      <c r="G7" s="2750" t="s">
        <v>620</v>
      </c>
      <c r="H7" s="2715"/>
      <c r="I7" s="2788">
        <v>2</v>
      </c>
      <c r="J7" s="2596"/>
      <c r="K7" s="2596"/>
      <c r="L7" s="2596"/>
      <c r="M7" s="2596"/>
      <c r="N7" s="2596"/>
      <c r="O7" s="2596"/>
      <c r="P7" s="2596"/>
    </row>
    <row r="8" spans="1:16" ht="14.4">
      <c r="A8" s="2741" t="s">
        <v>621</v>
      </c>
      <c r="B8" s="2748" t="s">
        <v>622</v>
      </c>
      <c r="C8" s="2245" t="s">
        <v>623</v>
      </c>
      <c r="D8" s="2245">
        <f t="shared" ref="D8:D15" si="0">ROUND($D$3*E8/$E$3,2)</f>
        <v>0</v>
      </c>
      <c r="E8" s="2751">
        <f>SUMIF('数据-基础表'!BB10:BK10,"地上",'数据-基础表'!BB5:BK5)</f>
        <v>115.43</v>
      </c>
      <c r="F8" s="2596"/>
      <c r="G8" s="2596"/>
      <c r="H8" s="2596"/>
      <c r="I8" s="2596"/>
      <c r="J8" s="2596"/>
      <c r="K8" s="2596"/>
      <c r="L8" s="2596"/>
      <c r="M8" s="2596"/>
      <c r="N8" s="2596"/>
      <c r="O8" s="2596"/>
      <c r="P8" s="2596"/>
    </row>
    <row r="9" spans="1:16" ht="14.4">
      <c r="A9" s="2747"/>
      <c r="B9" s="2752"/>
      <c r="C9" s="2245" t="s">
        <v>624</v>
      </c>
      <c r="D9" s="2245">
        <f t="shared" si="0"/>
        <v>0</v>
      </c>
      <c r="E9" s="2753">
        <v>0</v>
      </c>
      <c r="F9" s="2596"/>
      <c r="G9" s="2596"/>
      <c r="H9" s="2596"/>
      <c r="I9" s="2596"/>
      <c r="J9" s="2596"/>
      <c r="K9" s="2596"/>
      <c r="L9" s="2596"/>
      <c r="M9" s="2596"/>
      <c r="N9" s="2596"/>
      <c r="O9" s="2596"/>
      <c r="P9" s="2596"/>
    </row>
    <row r="10" spans="1:16" ht="14.4">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ht="14.4">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ht="14.4">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ht="14.4">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ht="14.4">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ht="14.4">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4.4">
      <c r="A16" s="2746"/>
      <c r="B16" s="2752"/>
      <c r="C16" s="2748" t="s">
        <v>631</v>
      </c>
      <c r="D16" s="2748">
        <f>SUM(D8:D15)</f>
        <v>0</v>
      </c>
      <c r="E16" s="2754">
        <f>SUM(E8:E15)</f>
        <v>115.43</v>
      </c>
      <c r="F16" s="2596"/>
      <c r="G16" s="2596"/>
      <c r="H16" s="2755" t="s">
        <v>632</v>
      </c>
      <c r="I16" s="2789"/>
      <c r="J16" s="2292"/>
      <c r="K16" s="3247" t="s">
        <v>632</v>
      </c>
      <c r="L16" s="3248"/>
      <c r="M16" s="3248"/>
      <c r="N16" s="3248"/>
      <c r="O16" s="3248"/>
      <c r="P16" s="3249"/>
    </row>
    <row r="17" spans="1:19" ht="14.4">
      <c r="A17" s="2706" t="s">
        <v>633</v>
      </c>
      <c r="B17" s="2756" t="s">
        <v>634</v>
      </c>
      <c r="C17" s="2266" t="s">
        <v>635</v>
      </c>
      <c r="D17" s="2757" t="s">
        <v>608</v>
      </c>
      <c r="E17" s="2758" t="s">
        <v>609</v>
      </c>
      <c r="F17" s="2759"/>
      <c r="G17" s="2760"/>
      <c r="H17" s="2761" t="s">
        <v>636</v>
      </c>
      <c r="I17" s="2790" t="s">
        <v>637</v>
      </c>
      <c r="J17" s="2292"/>
      <c r="K17" s="3250" t="s">
        <v>638</v>
      </c>
      <c r="L17" s="3251"/>
      <c r="M17" s="3252"/>
      <c r="N17" s="3250" t="s">
        <v>639</v>
      </c>
      <c r="O17" s="3251"/>
      <c r="P17" s="3252"/>
      <c r="R17" s="2181" t="s">
        <v>640</v>
      </c>
      <c r="S17" s="2235"/>
    </row>
    <row r="18" spans="1:19" ht="14.4">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ht="14.4">
      <c r="A19" s="2767"/>
      <c r="B19" s="2748" t="s">
        <v>648</v>
      </c>
      <c r="C19" s="2768" t="s">
        <v>2782</v>
      </c>
      <c r="D19" s="2245">
        <f>ROUND($D$3*E19/$E$3,2)</f>
        <v>0</v>
      </c>
      <c r="E19" s="2769">
        <f t="shared" ref="E19:E26" si="1">SUM(F19:G19)</f>
        <v>115.43</v>
      </c>
      <c r="F19" s="2770">
        <f>'数据-基础表'!I13</f>
        <v>115.43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115.43</v>
      </c>
    </row>
    <row r="20" spans="1:19" ht="14.4">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ht="14.4">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ht="14.4">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ht="14.4">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ht="14.4">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ht="14.4">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ht="14.4">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4.4">
      <c r="A27" s="2767"/>
      <c r="B27" s="2245"/>
      <c r="C27" s="2437" t="s">
        <v>649</v>
      </c>
      <c r="D27" s="2775">
        <f>SUM(D19:D26)</f>
        <v>0</v>
      </c>
      <c r="E27" s="2776">
        <f>IF(SUM(E19:E26)='数据-基础表'!BA5,SUM(E19:E26),IF(F27="地上面积有误","面积有误","地下面积有误"))</f>
        <v>115.43</v>
      </c>
      <c r="F27" s="2775">
        <f>IF(SUM(F19:F26)=E8,SUM(F19:F26),"地上面积有误")</f>
        <v>115.43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115.43</v>
      </c>
    </row>
    <row r="28" spans="1:19" ht="14.4">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ht="14.4">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4.4">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4.4">
      <c r="A31" s="2781"/>
      <c r="B31" s="2705"/>
      <c r="C31" s="2188" t="s">
        <v>653</v>
      </c>
      <c r="D31" s="2782">
        <f>D27+D30</f>
        <v>0</v>
      </c>
      <c r="E31" s="2782">
        <f>E27+E30</f>
        <v>115.43</v>
      </c>
      <c r="F31" s="2783">
        <f>F27+F30</f>
        <v>115.43</v>
      </c>
      <c r="G31" s="2784">
        <f>G27+G30</f>
        <v>0</v>
      </c>
      <c r="H31" s="2596"/>
      <c r="I31" s="2596"/>
      <c r="J31" s="2596"/>
      <c r="K31" s="2596"/>
      <c r="L31" s="2596"/>
      <c r="M31" s="2596"/>
      <c r="N31" s="2596"/>
      <c r="O31" s="2596"/>
      <c r="P31" s="2596"/>
    </row>
    <row r="32" spans="1:19" ht="14.4">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Y7" sqref="Y7"/>
    </sheetView>
  </sheetViews>
  <sheetFormatPr defaultColWidth="13.77734375" defaultRowHeight="13.2"/>
  <cols>
    <col min="1" max="1" width="20.88671875" style="2560" customWidth="1"/>
    <col min="2" max="2" width="12" style="2221" customWidth="1"/>
    <col min="3" max="3" width="12.77734375" style="2221" customWidth="1"/>
    <col min="4" max="4" width="9.109375" style="2561" customWidth="1"/>
    <col min="5" max="5" width="15" style="2221" customWidth="1"/>
    <col min="6" max="10" width="8.88671875" style="2221" customWidth="1"/>
    <col min="11" max="12" width="12.33203125" style="2562" customWidth="1"/>
    <col min="13" max="13" width="8.6640625" style="2221" customWidth="1"/>
    <col min="14" max="14" width="11.88671875" style="2221" customWidth="1"/>
    <col min="15" max="15" width="8.44140625" style="2221" customWidth="1"/>
    <col min="16" max="17" width="10.88671875" style="2221" customWidth="1"/>
    <col min="18" max="19" width="12.44140625" style="2221" customWidth="1"/>
    <col min="20" max="20" width="12.109375" style="2221" customWidth="1"/>
    <col min="21" max="21" width="8.44140625" style="2221" customWidth="1"/>
    <col min="22" max="22" width="6.33203125" style="2221" customWidth="1"/>
    <col min="23" max="30" width="6.77734375" style="2221" customWidth="1"/>
    <col min="31" max="31" width="8" style="2221" customWidth="1"/>
    <col min="32" max="34" width="7.21875" style="2221" customWidth="1"/>
    <col min="35" max="39" width="8" style="2221" customWidth="1"/>
    <col min="40" max="40" width="13.77734375" style="1182"/>
    <col min="41" max="41" width="11.6640625" style="1182" customWidth="1"/>
    <col min="42" max="42" width="9.77734375" style="1182" customWidth="1"/>
    <col min="43" max="67" width="13.77734375" style="1182"/>
    <col min="68" max="16384" width="13.77734375" style="2221"/>
  </cols>
  <sheetData>
    <row r="1" spans="1:67" ht="17.399999999999999">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4.4">
      <c r="A2" s="2565" t="s">
        <v>656</v>
      </c>
      <c r="B2" s="2566">
        <f>项目基本情况!D3</f>
        <v>45882</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3.8">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4">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57.6">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3.8">
      <c r="A6" s="2576" t="str">
        <f>'数据-汇总表'!C19</f>
        <v>办公</v>
      </c>
      <c r="B6" s="2577" t="str">
        <f>IF(A6=0,"","经营性")</f>
        <v>经营性</v>
      </c>
      <c r="C6" s="2578" t="s">
        <v>230</v>
      </c>
      <c r="D6" s="2579">
        <f>SUMIF(项目基本情况!C$12:I$12,C6,项目基本情况!C$14:I$14)</f>
        <v>50</v>
      </c>
      <c r="E6" s="2580">
        <f>IF(B6="","",SUMIF(项目基本情况!C$12:I$12,C6,项目基本情况!C$13:I$13))</f>
        <v>59023</v>
      </c>
      <c r="F6" s="2581">
        <f>SUMIF(项目基本情况!C$12:I$12,C6,项目基本情况!C$15:I$15)</f>
        <v>36</v>
      </c>
      <c r="G6" s="2582">
        <f>IF(ISERROR(ROUND(POWER(1+H6,D6-F6)*(POWER(1+H6,F6)-1)/(POWER(1+H6,D6)-1),3)),0,ROUND(POWER(1+H6,D6-F6)*(POWER(1+H6,F6)-1)/(POWER(1+H6,D6)-1),3))</f>
        <v>0.90600000000000003</v>
      </c>
      <c r="H6" s="2583">
        <v>0.05</v>
      </c>
      <c r="I6" s="2583">
        <v>5.5E-2</v>
      </c>
      <c r="J6" s="2584">
        <v>7.0000000000000007E-2</v>
      </c>
      <c r="K6" s="2666">
        <f>SUMIF('数据-汇总表'!C$19:C$33,A6,'数据-汇总表'!E$19:E$33)</f>
        <v>115.43</v>
      </c>
      <c r="L6" s="2667">
        <v>4500</v>
      </c>
      <c r="M6" s="2668">
        <f t="shared" ref="M6:M14" si="0">ROUND(K6*L6/10000,0)</f>
        <v>52</v>
      </c>
      <c r="N6" s="2669">
        <f>ROUND(1-(2025-N17)/60,2)</f>
        <v>0.8</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518">
        <v>1.4</v>
      </c>
      <c r="V6" s="2690">
        <v>1.4999999999999999E-2</v>
      </c>
      <c r="W6" s="2690">
        <v>0.15</v>
      </c>
      <c r="X6" s="2691"/>
      <c r="Y6" s="2707">
        <f>N6</f>
        <v>0.8</v>
      </c>
      <c r="Z6" s="2708"/>
      <c r="AA6" s="2584"/>
      <c r="AB6" s="2584"/>
      <c r="AC6" s="2691"/>
      <c r="AD6" s="2709"/>
      <c r="AE6" s="2710">
        <f ca="1">IF(AN6="",0,SUMIF(INDIRECT("'"&amp;AN6&amp;"'"&amp;"!E:E"),$AE$5,INDIRECT("'"&amp;AN6&amp;"'"&amp;"!F:F")))</f>
        <v>36</v>
      </c>
      <c r="AF6" s="2232"/>
      <c r="AG6" s="1891">
        <f>IF(AF6="",0,AE6-AF6)</f>
        <v>0</v>
      </c>
      <c r="AH6" s="2718"/>
      <c r="AI6" s="2719">
        <v>365</v>
      </c>
      <c r="AJ6" s="2232"/>
      <c r="AK6" s="3516">
        <v>0.01</v>
      </c>
      <c r="AL6" s="3515">
        <v>1E-3</v>
      </c>
      <c r="AM6" s="2722">
        <v>0.01</v>
      </c>
      <c r="AN6" s="2723" t="s">
        <v>285</v>
      </c>
      <c r="AO6" s="1501">
        <f ca="1">SUMIF(INDIRECT("'"&amp;AN6&amp;"'"&amp;"!A:A"),"总价",INDIRECT("'"&amp;AN6&amp;"'"&amp;"!B:B"))</f>
        <v>73.862099999999998</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3.8">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3.8">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3.8">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3.8">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3.8">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3.8">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3.8">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4">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8.8">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4.4">
      <c r="A16" s="2588" t="s">
        <v>653</v>
      </c>
      <c r="B16" s="2589"/>
      <c r="C16" s="2186"/>
      <c r="D16" s="2590"/>
      <c r="E16" s="2589"/>
      <c r="F16" s="2589"/>
      <c r="G16" s="2591">
        <f>ROUND(SUMPRODUCT(G6:G13,K6:K13)/SUMPRODUCT((G6:G13&gt;0)*(K6:K13)),3)</f>
        <v>0.90600000000000003</v>
      </c>
      <c r="H16" s="2592">
        <f>ROUND(SUMPRODUCT(H6:H13,K6:K13)/SUMPRODUCT((H6:H13&gt;0)*(K6:K13)),3)</f>
        <v>0.05</v>
      </c>
      <c r="I16" s="2675"/>
      <c r="J16" s="2675"/>
      <c r="K16" s="2676">
        <f>SUM(K6:K15)</f>
        <v>115.43</v>
      </c>
      <c r="L16" s="2677">
        <f>ROUND(M16*10000/SUM(K6:K14),0)</f>
        <v>4505</v>
      </c>
      <c r="M16" s="2677">
        <f>SUM(M6:M14)</f>
        <v>52</v>
      </c>
      <c r="N16" s="2678">
        <f>ROUND(SUMPRODUCT(M6:M14,N6:N14)/M16,3)</f>
        <v>0.8</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2013</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4">
      <c r="A18" s="1705" t="s">
        <v>699</v>
      </c>
      <c r="B18" s="2595"/>
      <c r="C18" s="2596"/>
      <c r="D18" s="2597"/>
      <c r="E18" s="2596"/>
      <c r="F18" s="2596"/>
      <c r="G18" s="2596"/>
      <c r="H18" s="2596"/>
      <c r="I18" s="2596"/>
      <c r="J18" s="2596"/>
      <c r="K18" s="2679"/>
      <c r="L18" s="267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4">
      <c r="A19" s="2598" t="s">
        <v>700</v>
      </c>
      <c r="B19" s="2599"/>
      <c r="C19" s="2600" t="s">
        <v>701</v>
      </c>
      <c r="D19" s="2597"/>
      <c r="E19" s="2596"/>
      <c r="F19" s="2596"/>
      <c r="G19" s="2596"/>
      <c r="H19" s="2596"/>
      <c r="I19" s="2596"/>
      <c r="J19" s="2596"/>
      <c r="K19" s="2679"/>
      <c r="L19" s="267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4">
      <c r="A20" s="2601" t="s">
        <v>702</v>
      </c>
      <c r="B20" s="2602">
        <v>2</v>
      </c>
      <c r="C20" s="2603" t="s">
        <v>703</v>
      </c>
      <c r="D20" s="2597"/>
      <c r="E20" s="2596"/>
      <c r="F20" s="2596"/>
      <c r="G20" s="2596"/>
      <c r="H20" s="2596"/>
      <c r="I20" s="2596"/>
      <c r="J20" s="2596"/>
      <c r="K20" s="2679"/>
      <c r="L20" s="267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4">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4">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4">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4">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3.8">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4">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8.8">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8.8">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8.8">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8.8">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8.8">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8.8">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4">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4">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4">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4">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4">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4">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4">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3.8">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4">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4">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4">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4">
      <c r="A44" s="2642" t="s">
        <v>737</v>
      </c>
      <c r="B44" s="3511">
        <v>7.0000000000000007E-2</v>
      </c>
      <c r="C44" s="2627" t="s">
        <v>738</v>
      </c>
      <c r="D44" s="3172" t="s">
        <v>2790</v>
      </c>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4">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4">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4">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4">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4">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4">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4">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4">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8.8">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4">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4">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4">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4">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4">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4">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4">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4">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4">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4">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503" customWidth="1"/>
    <col min="2" max="3" width="24.44140625" style="1789" customWidth="1"/>
    <col min="4" max="4" width="2.6640625" style="1789" customWidth="1"/>
    <col min="5" max="5" width="5.88671875" style="1789" customWidth="1"/>
    <col min="6" max="7" width="27" style="1789" customWidth="1"/>
    <col min="8" max="8" width="11.88671875" style="2504" customWidth="1"/>
    <col min="9" max="9" width="16.77734375" style="2504" customWidth="1"/>
    <col min="10" max="10" width="2.6640625" style="2504" customWidth="1"/>
    <col min="11" max="11" width="11.88671875" style="2504" customWidth="1"/>
    <col min="12" max="12" width="16.77734375" style="2504" customWidth="1"/>
    <col min="13" max="13" width="2.6640625" style="2504" customWidth="1"/>
    <col min="14" max="14" width="11.88671875" style="2504" customWidth="1"/>
    <col min="15" max="15" width="16.77734375" style="2504" customWidth="1"/>
    <col min="16" max="16" width="2.6640625" style="2504" customWidth="1"/>
    <col min="17" max="17" width="11.88671875" style="2504" customWidth="1"/>
    <col min="18" max="18" width="16.77734375" style="2118" customWidth="1"/>
    <col min="19" max="29" width="9" style="2118"/>
    <col min="30" max="16384" width="9" style="2503"/>
  </cols>
  <sheetData>
    <row r="1" spans="1:29" s="2502" customFormat="1" ht="17.399999999999999">
      <c r="A1" s="3259" t="s">
        <v>764</v>
      </c>
      <c r="B1" s="3260"/>
      <c r="C1" s="3260"/>
      <c r="D1" s="3260"/>
      <c r="E1" s="3260"/>
      <c r="F1" s="3260"/>
      <c r="G1" s="3260"/>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39.6">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ht="24">
      <c r="A6" s="2515"/>
      <c r="B6" s="304" t="s">
        <v>772</v>
      </c>
      <c r="C6" s="2520"/>
      <c r="D6" s="2514"/>
      <c r="E6" s="2519"/>
      <c r="F6" s="304" t="s">
        <v>776</v>
      </c>
      <c r="G6" s="2520" t="s">
        <v>777</v>
      </c>
      <c r="H6" s="2118"/>
      <c r="I6" s="2118"/>
      <c r="J6" s="2118"/>
      <c r="K6" s="2118"/>
      <c r="L6" s="2118"/>
      <c r="M6" s="2118"/>
      <c r="N6" s="2118"/>
      <c r="O6" s="2118"/>
      <c r="P6" s="2118"/>
      <c r="Q6" s="2118"/>
    </row>
    <row r="7" spans="1:29" ht="36">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7.399999999999999">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4.4">
      <c r="A13" s="2531" t="s">
        <v>782</v>
      </c>
      <c r="B13" s="2529"/>
      <c r="C13" s="2529"/>
      <c r="D13" s="2528"/>
      <c r="E13" s="2529"/>
      <c r="F13" s="2529"/>
      <c r="G13" s="2529"/>
    </row>
    <row r="14" spans="1:29">
      <c r="A14" s="2532"/>
      <c r="B14" s="2532"/>
      <c r="C14" s="2533" t="s">
        <v>765</v>
      </c>
      <c r="D14" s="2514"/>
      <c r="E14" s="2534"/>
      <c r="F14" s="2534"/>
      <c r="G14" s="2508" t="s">
        <v>766</v>
      </c>
    </row>
    <row r="15" spans="1:29" ht="39.6">
      <c r="A15" s="2535" t="s">
        <v>767</v>
      </c>
      <c r="B15" s="2536" t="s">
        <v>768</v>
      </c>
      <c r="C15" s="2537">
        <f>C3</f>
        <v>0</v>
      </c>
      <c r="D15" s="2514"/>
      <c r="E15" s="2538" t="s">
        <v>767</v>
      </c>
      <c r="F15" s="2536" t="s">
        <v>769</v>
      </c>
      <c r="G15" s="2539" t="str">
        <f>G3</f>
        <v>估价对象位于XX开发区，园区建设成熟度XX，产业集聚程度XX</v>
      </c>
    </row>
    <row r="16" spans="1:29" ht="39.6">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39.6">
      <c r="A18" s="2540"/>
      <c r="B18" s="2544" t="s">
        <v>772</v>
      </c>
      <c r="C18" s="2545">
        <f>C6</f>
        <v>0</v>
      </c>
      <c r="D18" s="2521"/>
      <c r="E18" s="2543"/>
      <c r="F18" s="2544" t="s">
        <v>778</v>
      </c>
      <c r="G18" s="2545" t="str">
        <f>G7</f>
        <v>该园区内是否有污染型企业，绿化情况，卫生条件，整体环境状况判断</v>
      </c>
    </row>
    <row r="19" spans="1:17" ht="26.4">
      <c r="A19" s="2540"/>
      <c r="B19" s="2544" t="s">
        <v>783</v>
      </c>
      <c r="C19" s="2546"/>
      <c r="D19" s="2514"/>
      <c r="E19" s="2543"/>
      <c r="F19" s="304" t="s">
        <v>597</v>
      </c>
      <c r="G19" s="2545" t="str">
        <f>G5</f>
        <v>估价对象所在区域公共配套设施齐备情况</v>
      </c>
    </row>
    <row r="20" spans="1:17" ht="26.4">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M16" sqref="M16"/>
    </sheetView>
  </sheetViews>
  <sheetFormatPr defaultColWidth="9" defaultRowHeight="14.4"/>
  <cols>
    <col min="1" max="1" width="25" style="2488" customWidth="1"/>
    <col min="2" max="9" width="15.77734375" style="2488" customWidth="1"/>
    <col min="10" max="16384" width="9" style="2488"/>
  </cols>
  <sheetData>
    <row r="1" spans="1:11" ht="16.2">
      <c r="A1" s="2489" t="s">
        <v>786</v>
      </c>
      <c r="B1" s="2489">
        <f>SUM(B14:B23)</f>
        <v>755.51</v>
      </c>
      <c r="C1" s="2490"/>
      <c r="D1" s="2490"/>
      <c r="E1" s="2490"/>
      <c r="F1" s="2490"/>
      <c r="G1" s="2491"/>
      <c r="H1" s="2491"/>
      <c r="I1" s="2491"/>
      <c r="J1" s="2491"/>
      <c r="K1" s="2491"/>
    </row>
    <row r="2" spans="1:11" ht="16.2">
      <c r="A2" s="2489" t="s">
        <v>787</v>
      </c>
      <c r="B2" s="2489">
        <f>SUM(C14:C23)</f>
        <v>0</v>
      </c>
      <c r="C2" s="2490"/>
      <c r="D2" s="2490"/>
      <c r="E2" s="2490"/>
      <c r="F2" s="2490"/>
      <c r="G2" s="2491"/>
      <c r="H2" s="2491"/>
      <c r="I2" s="2491"/>
      <c r="J2" s="2491"/>
      <c r="K2" s="2491"/>
    </row>
    <row r="3" spans="1:11" ht="15.6">
      <c r="A3" s="2489" t="s">
        <v>788</v>
      </c>
      <c r="B3" s="2492">
        <f>项目基本情况!D3</f>
        <v>45882</v>
      </c>
      <c r="C3" s="2490"/>
      <c r="D3" s="2490"/>
      <c r="E3" s="2490"/>
      <c r="F3" s="2490"/>
      <c r="G3" s="2491"/>
      <c r="H3" s="2491"/>
      <c r="I3" s="2491"/>
      <c r="J3" s="2491"/>
      <c r="K3" s="2491"/>
    </row>
    <row r="4" spans="1:11" ht="31.2">
      <c r="A4" s="2489" t="s">
        <v>789</v>
      </c>
      <c r="B4" s="2489" t="s">
        <v>790</v>
      </c>
      <c r="C4" s="2489" t="s">
        <v>791</v>
      </c>
      <c r="D4" s="2489" t="s">
        <v>792</v>
      </c>
      <c r="E4" s="2490"/>
      <c r="F4" s="2491"/>
      <c r="G4" s="2491"/>
      <c r="H4" s="2491"/>
      <c r="I4" s="2491"/>
      <c r="J4" s="2491"/>
      <c r="K4" s="2491"/>
    </row>
    <row r="5" spans="1:11" ht="15.6">
      <c r="A5" s="2489" t="s">
        <v>793</v>
      </c>
      <c r="B5" s="2489">
        <f ca="1">SUM(D14:D23)</f>
        <v>837.86059999999998</v>
      </c>
      <c r="C5" s="2489">
        <f ca="1">IF(B5=D14,结果表!H102,ROUND(B5*10000/$B$1,0))</f>
        <v>11090</v>
      </c>
      <c r="D5" s="2489" t="e">
        <f ca="1">ROUND(B5*10000/$B$2,0)</f>
        <v>#DIV/0!</v>
      </c>
      <c r="E5" s="2490"/>
      <c r="F5" s="2491"/>
      <c r="G5" s="2491"/>
      <c r="H5" s="2491"/>
      <c r="I5" s="2491"/>
      <c r="J5" s="2491"/>
      <c r="K5" s="2491"/>
    </row>
    <row r="6" spans="1:11" ht="15.6">
      <c r="A6" s="2489" t="s">
        <v>794</v>
      </c>
      <c r="B6" s="2489">
        <f ca="1">SUM(G14:G23)</f>
        <v>837.86059999999998</v>
      </c>
      <c r="C6" s="2489">
        <f ca="1">IF(B6=G14,结果表!H108,ROUND(B6*10000/$B$1,0))</f>
        <v>11090</v>
      </c>
      <c r="D6" s="2489" t="e">
        <f ca="1">ROUND(B6*10000/$B$2,0)</f>
        <v>#DIV/0!</v>
      </c>
      <c r="E6" s="2490"/>
      <c r="F6" s="2491"/>
      <c r="G6" s="2491"/>
      <c r="H6" s="2491"/>
      <c r="I6" s="2491"/>
      <c r="J6" s="2491"/>
      <c r="K6" s="2491"/>
    </row>
    <row r="7" spans="1:11" ht="15.6">
      <c r="A7" s="2489" t="s">
        <v>795</v>
      </c>
      <c r="B7" s="2489">
        <f>SUM(H14:H23)</f>
        <v>0</v>
      </c>
      <c r="C7" s="2489" t="str">
        <f>IF(B7=H14,结果表!H110,ROUND(B7*10000/$B$1,0))</f>
        <v>——</v>
      </c>
      <c r="D7" s="2489" t="e">
        <f>ROUND(B7*10000/$B$2,0)</f>
        <v>#DIV/0!</v>
      </c>
      <c r="E7" s="2490"/>
      <c r="F7" s="2491"/>
      <c r="G7" s="2491"/>
      <c r="H7" s="2491"/>
      <c r="I7" s="2491"/>
      <c r="J7" s="2491"/>
      <c r="K7" s="2491"/>
    </row>
    <row r="8" spans="1:11" ht="15.6">
      <c r="A8" s="2489" t="s">
        <v>374</v>
      </c>
      <c r="B8" s="2489">
        <f>SUM(I14:I23)</f>
        <v>0</v>
      </c>
      <c r="C8" s="2489" t="str">
        <f>IF(B8=I14,结果表!H112,ROUND(B8*10000/$B$1,0))</f>
        <v>——</v>
      </c>
      <c r="D8" s="2489" t="e">
        <f>ROUND(B8*10000/$B$2,0)</f>
        <v>#DIV/0!</v>
      </c>
      <c r="E8" s="2490"/>
      <c r="F8" s="2491"/>
      <c r="G8" s="2491"/>
      <c r="H8" s="2491"/>
      <c r="I8" s="2491"/>
      <c r="J8" s="2491"/>
      <c r="K8" s="2491"/>
    </row>
    <row r="9" spans="1:11" ht="15.6">
      <c r="A9" s="2489" t="s">
        <v>796</v>
      </c>
      <c r="B9" s="2493"/>
      <c r="C9" s="2490"/>
      <c r="D9" s="2490"/>
      <c r="E9" s="2490"/>
      <c r="F9" s="2491"/>
      <c r="G9" s="2491"/>
      <c r="H9" s="2491"/>
      <c r="I9" s="2491"/>
      <c r="J9" s="2491"/>
      <c r="K9" s="2491"/>
    </row>
    <row r="10" spans="1:11" ht="15.6">
      <c r="A10" s="2489" t="s">
        <v>797</v>
      </c>
      <c r="B10" s="2489">
        <f>IF(E10="",0,ROUND(B1*(E10*365/G10)/10000,0))</f>
        <v>0</v>
      </c>
      <c r="C10" s="2489" t="s">
        <v>798</v>
      </c>
      <c r="D10" s="2489" t="s">
        <v>797</v>
      </c>
      <c r="E10" s="2494"/>
      <c r="F10" s="2495" t="s">
        <v>799</v>
      </c>
      <c r="G10" s="2496"/>
      <c r="H10" s="2491"/>
      <c r="I10" s="2491"/>
      <c r="J10" s="2491"/>
      <c r="K10" s="2491"/>
    </row>
    <row r="11" spans="1:11" ht="15.6">
      <c r="A11" s="2489" t="s">
        <v>800</v>
      </c>
      <c r="B11" s="2493"/>
      <c r="C11" s="2490"/>
      <c r="D11" s="2490"/>
      <c r="E11" s="2490"/>
      <c r="F11" s="2491"/>
      <c r="G11" s="2491"/>
      <c r="H11" s="2491"/>
      <c r="I11" s="2491"/>
      <c r="J11" s="2491"/>
      <c r="K11" s="2491"/>
    </row>
    <row r="12" spans="1:11" ht="15.6">
      <c r="A12" s="2490"/>
      <c r="B12" s="2490"/>
      <c r="C12" s="2490"/>
      <c r="D12" s="2490"/>
      <c r="E12" s="2490"/>
      <c r="F12" s="2491"/>
      <c r="G12" s="2491"/>
      <c r="H12" s="2491"/>
      <c r="I12" s="2491"/>
      <c r="J12" s="2491"/>
      <c r="K12" s="2491"/>
    </row>
    <row r="13" spans="1:11" ht="31.8">
      <c r="A13" s="2497" t="s">
        <v>801</v>
      </c>
      <c r="B13" s="2498" t="s">
        <v>786</v>
      </c>
      <c r="C13" s="2498" t="s">
        <v>787</v>
      </c>
      <c r="D13" s="2498" t="s">
        <v>802</v>
      </c>
      <c r="E13" s="2489" t="s">
        <v>791</v>
      </c>
      <c r="F13" s="2489" t="s">
        <v>792</v>
      </c>
      <c r="G13" s="2498" t="s">
        <v>803</v>
      </c>
      <c r="H13" s="2498" t="s">
        <v>804</v>
      </c>
      <c r="I13" s="2498" t="s">
        <v>805</v>
      </c>
      <c r="J13" s="2491"/>
      <c r="K13" s="2491"/>
    </row>
    <row r="14" spans="1:11" ht="15.6">
      <c r="A14" s="2499" t="s">
        <v>806</v>
      </c>
      <c r="B14" s="2500">
        <f>典型户型修正!B22</f>
        <v>755.51</v>
      </c>
      <c r="C14" s="2500"/>
      <c r="D14" s="2500">
        <f ca="1">ROUND(E14*B14/10000,4)</f>
        <v>837.86059999999998</v>
      </c>
      <c r="E14" s="2500">
        <f ca="1">结果表!C32</f>
        <v>11090</v>
      </c>
      <c r="F14" s="2500" t="e">
        <f ca="1">ROUND(D14*10000/C14,0)</f>
        <v>#DIV/0!</v>
      </c>
      <c r="G14" s="2500">
        <f ca="1">D14</f>
        <v>837.86059999999998</v>
      </c>
      <c r="H14" s="2500"/>
      <c r="I14" s="2500"/>
      <c r="J14" s="2491"/>
      <c r="K14" s="2491"/>
    </row>
    <row r="15" spans="1:11" ht="15.6">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5.6">
      <c r="A16" s="2499" t="s">
        <v>808</v>
      </c>
      <c r="B16" s="2501"/>
      <c r="C16" s="2501"/>
      <c r="D16" s="2501"/>
      <c r="E16" s="2500" t="e">
        <f t="shared" si="0"/>
        <v>#DIV/0!</v>
      </c>
      <c r="F16" s="2500" t="e">
        <f t="shared" si="1"/>
        <v>#DIV/0!</v>
      </c>
      <c r="G16" s="2493"/>
      <c r="H16" s="2493"/>
      <c r="I16" s="2501"/>
      <c r="J16" s="2491"/>
      <c r="K16" s="2491"/>
    </row>
    <row r="17" spans="1:11" ht="15.6">
      <c r="A17" s="2499" t="s">
        <v>809</v>
      </c>
      <c r="B17" s="2501"/>
      <c r="C17" s="2501"/>
      <c r="D17" s="2501"/>
      <c r="E17" s="2500" t="e">
        <f t="shared" si="0"/>
        <v>#DIV/0!</v>
      </c>
      <c r="F17" s="2500" t="e">
        <f t="shared" si="1"/>
        <v>#DIV/0!</v>
      </c>
      <c r="G17" s="2493"/>
      <c r="H17" s="2493"/>
      <c r="I17" s="2501"/>
      <c r="J17" s="2491"/>
      <c r="K17" s="2491"/>
    </row>
    <row r="18" spans="1:11" ht="15.6">
      <c r="A18" s="2499" t="s">
        <v>810</v>
      </c>
      <c r="B18" s="2501"/>
      <c r="C18" s="2501"/>
      <c r="D18" s="2501"/>
      <c r="E18" s="2500" t="e">
        <f t="shared" si="0"/>
        <v>#DIV/0!</v>
      </c>
      <c r="F18" s="2500" t="e">
        <f t="shared" si="1"/>
        <v>#DIV/0!</v>
      </c>
      <c r="G18" s="2501"/>
      <c r="H18" s="2501"/>
      <c r="I18" s="2501"/>
      <c r="J18" s="2491"/>
      <c r="K18" s="2491"/>
    </row>
    <row r="19" spans="1:11" ht="15.6">
      <c r="A19" s="2499" t="s">
        <v>811</v>
      </c>
      <c r="B19" s="2501"/>
      <c r="C19" s="2501"/>
      <c r="D19" s="2501"/>
      <c r="E19" s="2500" t="e">
        <f t="shared" si="0"/>
        <v>#DIV/0!</v>
      </c>
      <c r="F19" s="2500" t="e">
        <f t="shared" si="1"/>
        <v>#DIV/0!</v>
      </c>
      <c r="G19" s="2501"/>
      <c r="H19" s="2501"/>
      <c r="I19" s="2501"/>
      <c r="J19" s="2491"/>
      <c r="K19" s="2491"/>
    </row>
    <row r="20" spans="1:11" ht="15.6">
      <c r="A20" s="2499" t="s">
        <v>812</v>
      </c>
      <c r="B20" s="2501"/>
      <c r="C20" s="2501"/>
      <c r="D20" s="2501"/>
      <c r="E20" s="2500" t="e">
        <f t="shared" si="0"/>
        <v>#DIV/0!</v>
      </c>
      <c r="F20" s="2500" t="e">
        <f t="shared" si="1"/>
        <v>#DIV/0!</v>
      </c>
      <c r="G20" s="2501"/>
      <c r="H20" s="2501"/>
      <c r="I20" s="2501"/>
      <c r="J20" s="2491"/>
      <c r="K20" s="2491"/>
    </row>
    <row r="21" spans="1:11" ht="15.6">
      <c r="A21" s="2499" t="s">
        <v>813</v>
      </c>
      <c r="B21" s="2501"/>
      <c r="C21" s="2501"/>
      <c r="D21" s="2501"/>
      <c r="E21" s="2500" t="e">
        <f t="shared" si="0"/>
        <v>#DIV/0!</v>
      </c>
      <c r="F21" s="2500" t="e">
        <f t="shared" si="1"/>
        <v>#DIV/0!</v>
      </c>
      <c r="G21" s="2501"/>
      <c r="H21" s="2501"/>
      <c r="I21" s="2501"/>
      <c r="J21" s="2491"/>
      <c r="K21" s="2491"/>
    </row>
    <row r="22" spans="1:11" ht="15.6">
      <c r="A22" s="2499" t="s">
        <v>814</v>
      </c>
      <c r="B22" s="2501"/>
      <c r="C22" s="2501"/>
      <c r="D22" s="2501"/>
      <c r="E22" s="2500" t="e">
        <f t="shared" si="0"/>
        <v>#DIV/0!</v>
      </c>
      <c r="F22" s="2500" t="e">
        <f t="shared" si="1"/>
        <v>#DIV/0!</v>
      </c>
      <c r="G22" s="2501"/>
      <c r="H22" s="2501"/>
      <c r="I22" s="2501"/>
      <c r="J22" s="2491"/>
      <c r="K22" s="2491"/>
    </row>
    <row r="23" spans="1:11" ht="15.6">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H24" sqref="H24"/>
    </sheetView>
  </sheetViews>
  <sheetFormatPr defaultColWidth="12.6640625" defaultRowHeight="21.75" customHeight="1"/>
  <cols>
    <col min="1" max="2" width="12.6640625" style="2221"/>
    <col min="3" max="4" width="12.6640625" style="2221" customWidth="1"/>
    <col min="5" max="9" width="12.6640625" style="2221"/>
    <col min="10" max="11" width="12.6640625" style="1183" customWidth="1"/>
    <col min="12" max="12" width="12.6640625" style="1183"/>
    <col min="13" max="13" width="14.109375" style="1183" customWidth="1"/>
    <col min="14" max="26" width="12.6640625" style="1183"/>
    <col min="27" max="35" width="12.6640625" style="2222"/>
    <col min="36" max="16384" width="12.6640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335" t="str">
        <f>项目基本情况!S2</f>
        <v>北京市房地产</v>
      </c>
      <c r="B2" s="3336"/>
      <c r="C2" s="3336"/>
      <c r="D2" s="3336"/>
      <c r="E2" s="3336"/>
      <c r="F2" s="3336"/>
      <c r="G2" s="3336"/>
      <c r="H2" s="3336"/>
      <c r="I2" s="3337"/>
    </row>
    <row r="3" spans="1:12" ht="13.2">
      <c r="A3" s="3338" t="s">
        <v>818</v>
      </c>
      <c r="B3" s="3339"/>
      <c r="C3" s="3339"/>
      <c r="D3" s="3339"/>
      <c r="E3" s="3339"/>
      <c r="F3" s="3339"/>
      <c r="G3" s="3339"/>
      <c r="H3" s="3339"/>
      <c r="I3" s="3339"/>
    </row>
    <row r="4" spans="1:12" ht="14.4">
      <c r="A4" s="2227" t="s">
        <v>819</v>
      </c>
      <c r="B4" s="2228" t="s">
        <v>820</v>
      </c>
      <c r="C4" s="2229" t="s">
        <v>2787</v>
      </c>
      <c r="D4" s="2229" t="s">
        <v>285</v>
      </c>
      <c r="E4" s="3340" t="s">
        <v>821</v>
      </c>
      <c r="F4" s="3341"/>
      <c r="G4" s="3341"/>
      <c r="H4" s="3341"/>
      <c r="I4" s="3342"/>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3.2">
      <c r="A5" s="3262" t="s">
        <v>822</v>
      </c>
      <c r="B5" s="3270">
        <v>25</v>
      </c>
      <c r="C5" s="3352"/>
      <c r="D5" s="3273"/>
      <c r="E5" s="302" t="s">
        <v>823</v>
      </c>
      <c r="F5" s="2233"/>
      <c r="G5" s="2233"/>
      <c r="H5" s="2233"/>
      <c r="I5" s="2113"/>
    </row>
    <row r="6" spans="1:12" ht="13.2">
      <c r="A6" s="3262"/>
      <c r="B6" s="3270"/>
      <c r="C6" s="3353"/>
      <c r="D6" s="3273"/>
      <c r="E6" s="302" t="s">
        <v>824</v>
      </c>
      <c r="F6" s="2233"/>
      <c r="G6" s="2233"/>
      <c r="H6" s="2233"/>
      <c r="I6" s="2113"/>
    </row>
    <row r="7" spans="1:12" ht="13.2">
      <c r="A7" s="3262"/>
      <c r="B7" s="3270"/>
      <c r="C7" s="3354"/>
      <c r="D7" s="3273"/>
      <c r="E7" s="302" t="s">
        <v>825</v>
      </c>
      <c r="F7" s="2233"/>
      <c r="G7" s="2233"/>
      <c r="H7" s="2233"/>
      <c r="I7" s="2113"/>
    </row>
    <row r="8" spans="1:12" ht="13.2">
      <c r="A8" s="3262" t="s">
        <v>826</v>
      </c>
      <c r="B8" s="3270">
        <v>15</v>
      </c>
      <c r="C8" s="3352"/>
      <c r="D8" s="3273"/>
      <c r="E8" s="302" t="s">
        <v>827</v>
      </c>
      <c r="F8" s="2233"/>
      <c r="G8" s="2233"/>
      <c r="H8" s="2233"/>
      <c r="I8" s="2113"/>
    </row>
    <row r="9" spans="1:12" ht="13.2">
      <c r="A9" s="3262"/>
      <c r="B9" s="3270"/>
      <c r="C9" s="3354"/>
      <c r="D9" s="3273"/>
      <c r="E9" s="302" t="s">
        <v>828</v>
      </c>
      <c r="F9" s="2233"/>
      <c r="G9" s="2233"/>
      <c r="H9" s="2233"/>
      <c r="I9" s="2113"/>
    </row>
    <row r="10" spans="1:12" ht="13.2">
      <c r="A10" s="3262" t="s">
        <v>829</v>
      </c>
      <c r="B10" s="3270">
        <v>15</v>
      </c>
      <c r="C10" s="3352"/>
      <c r="D10" s="3273"/>
      <c r="E10" s="302" t="s">
        <v>830</v>
      </c>
      <c r="F10" s="2233"/>
      <c r="G10" s="2233"/>
      <c r="H10" s="2233"/>
      <c r="I10" s="2113"/>
    </row>
    <row r="11" spans="1:12" ht="13.2">
      <c r="A11" s="3262"/>
      <c r="B11" s="3270"/>
      <c r="C11" s="3354"/>
      <c r="D11" s="3273"/>
      <c r="E11" s="302" t="s">
        <v>831</v>
      </c>
      <c r="F11" s="2233"/>
      <c r="G11" s="2233"/>
      <c r="H11" s="2233"/>
      <c r="I11" s="2113"/>
    </row>
    <row r="12" spans="1:12" ht="13.2">
      <c r="A12" s="3262" t="s">
        <v>832</v>
      </c>
      <c r="B12" s="3270">
        <v>15</v>
      </c>
      <c r="C12" s="3352"/>
      <c r="D12" s="3273"/>
      <c r="E12" s="302" t="s">
        <v>833</v>
      </c>
      <c r="F12" s="2233"/>
      <c r="G12" s="2233"/>
      <c r="H12" s="2233"/>
      <c r="I12" s="2113"/>
    </row>
    <row r="13" spans="1:12" ht="13.2">
      <c r="A13" s="3262"/>
      <c r="B13" s="3270"/>
      <c r="C13" s="3354"/>
      <c r="D13" s="3273"/>
      <c r="E13" s="302" t="s">
        <v>834</v>
      </c>
      <c r="F13" s="2233"/>
      <c r="G13" s="2233"/>
      <c r="H13" s="2233"/>
      <c r="I13" s="2113"/>
    </row>
    <row r="14" spans="1:12" ht="13.2">
      <c r="A14" s="3262" t="s">
        <v>835</v>
      </c>
      <c r="B14" s="3270">
        <v>30</v>
      </c>
      <c r="C14" s="3352">
        <v>6</v>
      </c>
      <c r="D14" s="3273">
        <v>4</v>
      </c>
      <c r="E14" s="302" t="s">
        <v>836</v>
      </c>
      <c r="F14" s="2233"/>
      <c r="G14" s="2233"/>
      <c r="H14" s="2233"/>
      <c r="I14" s="2113"/>
    </row>
    <row r="15" spans="1:12" ht="13.2">
      <c r="A15" s="3262"/>
      <c r="B15" s="3270"/>
      <c r="C15" s="3353"/>
      <c r="D15" s="3273"/>
      <c r="E15" s="302" t="s">
        <v>837</v>
      </c>
      <c r="F15" s="2233"/>
      <c r="G15" s="2233"/>
      <c r="H15" s="2233"/>
      <c r="I15" s="2113"/>
    </row>
    <row r="16" spans="1:12" ht="13.2">
      <c r="A16" s="3262"/>
      <c r="B16" s="3270"/>
      <c r="C16" s="3354"/>
      <c r="D16" s="3273"/>
      <c r="E16" s="302" t="s">
        <v>838</v>
      </c>
      <c r="F16" s="2233"/>
      <c r="G16" s="2233"/>
      <c r="H16" s="2233"/>
      <c r="I16" s="2113"/>
    </row>
    <row r="17" spans="1:36" ht="14.4">
      <c r="A17" s="2234" t="s">
        <v>839</v>
      </c>
      <c r="B17" s="2235"/>
      <c r="C17" s="2236">
        <f>SUM(C5:C16)</f>
        <v>6</v>
      </c>
      <c r="D17" s="2236">
        <f>SUM(D5:D16)</f>
        <v>4</v>
      </c>
      <c r="E17" s="340"/>
      <c r="F17" s="340"/>
      <c r="G17" s="340"/>
      <c r="H17" s="340"/>
      <c r="I17" s="340"/>
      <c r="K17" s="260"/>
      <c r="L17" s="260" t="s">
        <v>840</v>
      </c>
      <c r="M17" s="260" t="s">
        <v>841</v>
      </c>
    </row>
    <row r="18" spans="1:36" ht="31.95" customHeight="1">
      <c r="A18" s="2237" t="s">
        <v>842</v>
      </c>
      <c r="B18" s="2238"/>
      <c r="C18" s="2239">
        <f>ROUND(C17/SUM(C17:D17),2)</f>
        <v>0.6</v>
      </c>
      <c r="D18" s="2239">
        <f>1-C18</f>
        <v>0.4</v>
      </c>
      <c r="E18" s="3343" t="s">
        <v>843</v>
      </c>
      <c r="F18" s="3344"/>
      <c r="G18" s="3344"/>
      <c r="H18" s="3344"/>
      <c r="I18" s="3344"/>
      <c r="K18" s="260" t="s">
        <v>504</v>
      </c>
      <c r="L18" s="260">
        <f>IF(C1="",'数据-汇总表'!E3,SUMIF(项目类型,C1,'数据-汇总表'!E17:E26)+SUMIF(项目类型,C1,'数据-汇总表'!I17:I26))</f>
        <v>115.43</v>
      </c>
      <c r="M18" s="260">
        <f>IF(C1="",'数据-汇总表'!E3,SUMIF(项目类型,C1,'数据-汇总表'!E17:E26))</f>
        <v>115.43</v>
      </c>
    </row>
    <row r="19" spans="1:36" ht="14.4">
      <c r="A19" s="1504" t="s">
        <v>844</v>
      </c>
      <c r="B19" s="2240" t="s">
        <v>845</v>
      </c>
      <c r="C19" s="2241">
        <f ca="1">SUMIF(INDIRECT("'"&amp;C4&amp;"'"&amp;"!A:A"),结果表!B19,INDIRECT("'"&amp;C4&amp;"'"&amp;"!B:B"))</f>
        <v>164.11840000000001</v>
      </c>
      <c r="D19" s="1622">
        <f ca="1">SUMIF(INDIRECT("'"&amp;D4&amp;"'"&amp;"!A:A"),结果表!B19,INDIRECT("'"&amp;D4&amp;"'"&amp;"!B:B"))</f>
        <v>73.862099999999998</v>
      </c>
      <c r="E19" s="1504" t="s">
        <v>846</v>
      </c>
      <c r="F19" s="2240" t="s">
        <v>845</v>
      </c>
      <c r="G19" s="2242">
        <f ca="1">ROUND(C19*$C$18+D19*$D$18,0)</f>
        <v>128</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4.4">
      <c r="A20" s="2244"/>
      <c r="B20" s="2245" t="s">
        <v>848</v>
      </c>
      <c r="C20" s="1888">
        <f ca="1">SUMIF(INDIRECT("'"&amp;C4&amp;"'"&amp;"!A:A"),结果表!B20,INDIRECT("'"&amp;C4&amp;"'"&amp;"!B:B"))</f>
        <v>14218</v>
      </c>
      <c r="D20" s="1891">
        <f ca="1">SUMIF(INDIRECT("'"&amp;D4&amp;"'"&amp;"!A:A"),结果表!B20,INDIRECT("'"&amp;D4&amp;"'"&amp;"!B:B"))</f>
        <v>6399</v>
      </c>
      <c r="E20" s="2244"/>
      <c r="F20" s="2245" t="s">
        <v>848</v>
      </c>
      <c r="G20" s="2246">
        <f ca="1">ROUND(C20*$C$18+D20*$D$18,0)</f>
        <v>11090</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4">
      <c r="A22" s="2252" t="s">
        <v>851</v>
      </c>
      <c r="B22" s="2253"/>
      <c r="C22" s="2254"/>
      <c r="D22" s="2255">
        <f ca="1">IF(C19&lt;D19,D19/C19-1,C19/D19-1)</f>
        <v>1.2219568628565938</v>
      </c>
      <c r="E22" s="340"/>
      <c r="F22" s="340"/>
      <c r="G22" s="340"/>
      <c r="H22" s="340"/>
      <c r="I22" s="340"/>
    </row>
    <row r="23" spans="1:36" ht="13.2">
      <c r="A23" s="413"/>
      <c r="B23" s="413"/>
      <c r="C23" s="413"/>
      <c r="D23" s="413"/>
      <c r="E23" s="340"/>
      <c r="F23" s="340"/>
      <c r="G23" s="340"/>
      <c r="H23" s="340"/>
      <c r="I23" s="340"/>
    </row>
    <row r="24" spans="1:36" ht="14.4">
      <c r="A24" s="3263" t="s">
        <v>852</v>
      </c>
      <c r="B24" s="2240" t="s">
        <v>845</v>
      </c>
      <c r="C24" s="2242">
        <f>IF(B30=0,0,D30)</f>
        <v>0</v>
      </c>
      <c r="D24" s="2256"/>
      <c r="E24" s="340"/>
      <c r="F24" s="340"/>
      <c r="G24" s="340"/>
      <c r="H24" s="340"/>
      <c r="I24" s="340"/>
    </row>
    <row r="25" spans="1:36" ht="14.4">
      <c r="A25" s="3264"/>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3.8">
      <c r="A27" s="2259"/>
      <c r="B27" s="2260">
        <v>0</v>
      </c>
      <c r="C27" s="2260">
        <v>0</v>
      </c>
      <c r="D27" s="2261">
        <f>ROUND(C27*B27/10000,0)</f>
        <v>0</v>
      </c>
      <c r="E27" s="340"/>
      <c r="F27" s="340"/>
      <c r="G27" s="340"/>
      <c r="H27" s="340"/>
      <c r="I27" s="340"/>
    </row>
    <row r="28" spans="1:36" ht="13.8">
      <c r="A28" s="2259"/>
      <c r="B28" s="2260"/>
      <c r="C28" s="2260"/>
      <c r="D28" s="2261"/>
      <c r="E28" s="340"/>
      <c r="F28" s="340"/>
      <c r="G28" s="340"/>
      <c r="H28" s="340"/>
      <c r="I28" s="340"/>
    </row>
    <row r="29" spans="1:36" ht="13.8">
      <c r="A29" s="2259"/>
      <c r="B29" s="2260"/>
      <c r="C29" s="2260"/>
      <c r="D29" s="2261"/>
      <c r="E29" s="340"/>
      <c r="F29" s="340"/>
      <c r="G29" s="340"/>
      <c r="H29" s="340"/>
      <c r="I29" s="340"/>
    </row>
    <row r="30" spans="1:36" ht="14.4">
      <c r="A30" s="2260" t="s">
        <v>857</v>
      </c>
      <c r="B30" s="2260"/>
      <c r="C30" s="2260"/>
      <c r="D30" s="2260"/>
      <c r="E30" s="2262" t="s">
        <v>858</v>
      </c>
      <c r="F30" s="340"/>
      <c r="G30" s="340"/>
      <c r="H30" s="340"/>
      <c r="I30" s="340"/>
    </row>
    <row r="31" spans="1:36" s="2220" customFormat="1" ht="26.4"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4.4">
      <c r="A32" s="2265" t="s">
        <v>860</v>
      </c>
      <c r="B32" s="2266"/>
      <c r="C32" s="2267">
        <f ca="1">IF(D32="总价",G19-C24,G20-C25)</f>
        <v>11090</v>
      </c>
      <c r="D32" s="2268" t="s">
        <v>861</v>
      </c>
      <c r="E32" s="340"/>
      <c r="F32" s="340"/>
      <c r="G32" s="340"/>
      <c r="H32" s="340"/>
      <c r="I32" s="340"/>
    </row>
    <row r="33" spans="1:15" ht="14.4">
      <c r="A33" s="2134" t="s">
        <v>862</v>
      </c>
      <c r="B33" s="302"/>
      <c r="C33" s="2269" t="s">
        <v>863</v>
      </c>
      <c r="D33" s="2270" t="s">
        <v>285</v>
      </c>
      <c r="E33" s="2271" t="s">
        <v>864</v>
      </c>
      <c r="F33" s="2272" t="str">
        <f>IF(D32="楼面单价","取值（单价）","取值（总价）")</f>
        <v>取值（单价）</v>
      </c>
      <c r="G33" s="340"/>
      <c r="H33" s="340"/>
      <c r="I33" s="340"/>
    </row>
    <row r="34" spans="1:15" ht="14.4">
      <c r="A34" s="2273"/>
      <c r="B34" s="2274" t="s">
        <v>865</v>
      </c>
      <c r="C34" s="2275">
        <f ca="1">IF(C33="自定义",F34,C32-C35)</f>
        <v>-1331</v>
      </c>
      <c r="D34" s="2276">
        <f ca="1">IF(C33="自定义",ROUND(C34/C32,3),IF(C33="收益比率",SUMIF(INDIRECT("'"&amp;D33&amp;"'"&amp;"!b:b"),"土地收益比率",INDIRECT("'"&amp;D33&amp;"'"&amp;"!c:c")),SUMIF(INDIRECT("'"&amp;D33&amp;"'"&amp;"!b:b"),"土地成本比率",INDIRECT("'"&amp;D33&amp;"'"&amp;"!c:c"))))</f>
        <v>-0.12000000000000011</v>
      </c>
      <c r="E34" s="2277" t="s">
        <v>866</v>
      </c>
      <c r="F34" s="2278"/>
      <c r="G34" s="340"/>
      <c r="H34" s="340"/>
      <c r="I34" s="340"/>
    </row>
    <row r="35" spans="1:15" ht="14.4">
      <c r="A35" s="2279"/>
      <c r="B35" s="2280" t="s">
        <v>867</v>
      </c>
      <c r="C35" s="2281">
        <f ca="1">IF(C33="自定义",F35,ROUND(C32*D35,0))</f>
        <v>12421</v>
      </c>
      <c r="D35" s="2282">
        <f ca="1">IF(C33="自定义",ROUND(C35/C32,3),IF(C33="收益比率",SUMIF(INDIRECT("'"&amp;D33&amp;"'"&amp;"!b:b"),"建筑物收益比率",INDIRECT("'"&amp;D33&amp;"'"&amp;"!c:c")),SUMIF(INDIRECT("'"&amp;D33&amp;"'"&amp;"!b:b"),"建筑物成本比率",INDIRECT("'"&amp;D33&amp;"'"&amp;"!c:c"))))</f>
        <v>1.1200000000000001</v>
      </c>
      <c r="E35" s="2283" t="s">
        <v>868</v>
      </c>
      <c r="F35" s="2284"/>
      <c r="G35" s="340"/>
      <c r="H35" s="340"/>
      <c r="I35" s="340"/>
    </row>
    <row r="36" spans="1:15" ht="14.4">
      <c r="A36" s="3265" t="s">
        <v>869</v>
      </c>
      <c r="B36" s="2285" t="s">
        <v>870</v>
      </c>
      <c r="C36" s="2286"/>
      <c r="D36" s="2287"/>
      <c r="E36" s="2288"/>
      <c r="F36" s="2289"/>
      <c r="G36" s="340"/>
      <c r="H36" s="340"/>
      <c r="I36" s="340"/>
    </row>
    <row r="37" spans="1:15" ht="14.4">
      <c r="A37" s="3266"/>
      <c r="B37" s="2290" t="s">
        <v>871</v>
      </c>
      <c r="C37" s="2291"/>
      <c r="D37" s="2292"/>
      <c r="E37" s="2292"/>
      <c r="F37" s="2289"/>
      <c r="G37" s="340"/>
      <c r="H37" s="340"/>
      <c r="I37" s="340"/>
    </row>
    <row r="38" spans="1:15" ht="14.4">
      <c r="A38" s="3267"/>
      <c r="B38" s="2293" t="s">
        <v>872</v>
      </c>
      <c r="C38" s="2294"/>
      <c r="D38" s="2295" t="s">
        <v>873</v>
      </c>
      <c r="E38" s="2292"/>
      <c r="F38" s="2289"/>
      <c r="G38" s="340"/>
      <c r="H38" s="340"/>
      <c r="I38" s="340"/>
    </row>
    <row r="39" spans="1:15" ht="14.4">
      <c r="A39" s="2244" t="s">
        <v>874</v>
      </c>
      <c r="B39" s="2296" t="s">
        <v>854</v>
      </c>
      <c r="C39" s="2297" t="s">
        <v>855</v>
      </c>
      <c r="D39" s="2297" t="s">
        <v>875</v>
      </c>
      <c r="E39" s="2298" t="s">
        <v>856</v>
      </c>
      <c r="F39" s="2289"/>
      <c r="G39" s="340"/>
      <c r="H39" s="340"/>
      <c r="I39" s="340"/>
    </row>
    <row r="40" spans="1:15" ht="13.8">
      <c r="A40" s="2299" t="s">
        <v>876</v>
      </c>
      <c r="B40" s="2300"/>
      <c r="C40" s="1234"/>
      <c r="D40" s="1234"/>
      <c r="E40" s="2301"/>
      <c r="F40" s="2289"/>
      <c r="G40" s="340"/>
      <c r="H40" s="340"/>
      <c r="I40" s="340"/>
    </row>
    <row r="41" spans="1:15" ht="13.8">
      <c r="A41" s="2299" t="s">
        <v>877</v>
      </c>
      <c r="B41" s="2300"/>
      <c r="C41" s="1234"/>
      <c r="D41" s="1234"/>
      <c r="E41" s="2301"/>
      <c r="F41" s="2289"/>
      <c r="G41" s="340"/>
      <c r="H41" s="340"/>
      <c r="I41" s="340"/>
    </row>
    <row r="42" spans="1:15" ht="13.8">
      <c r="A42" s="2302"/>
      <c r="B42" s="2303"/>
      <c r="C42" s="2304"/>
      <c r="D42" s="2304"/>
      <c r="E42" s="2284"/>
      <c r="F42" s="2289"/>
      <c r="G42" s="340"/>
      <c r="H42" s="340"/>
      <c r="I42" s="340"/>
    </row>
    <row r="43" spans="1:15" ht="13.2">
      <c r="A43" s="2305"/>
      <c r="B43" s="2305"/>
      <c r="C43" s="2305"/>
      <c r="D43" s="2305"/>
      <c r="E43" s="2305"/>
      <c r="F43" s="2306"/>
      <c r="G43" s="2306"/>
      <c r="H43" s="2306"/>
      <c r="I43" s="2358"/>
    </row>
    <row r="44" spans="1:15" ht="17.399999999999999">
      <c r="A44" s="2307" t="s">
        <v>878</v>
      </c>
      <c r="B44" s="2308"/>
      <c r="C44" s="2308"/>
      <c r="D44" s="2309"/>
      <c r="E44" s="2309"/>
      <c r="F44" s="2310"/>
      <c r="G44" s="2310"/>
      <c r="H44" s="2310"/>
      <c r="I44" s="2310"/>
      <c r="J44" s="1137" t="s">
        <v>879</v>
      </c>
      <c r="K44" s="968"/>
      <c r="L44" s="968"/>
      <c r="M44" s="968"/>
      <c r="N44" s="968"/>
      <c r="O44" s="968"/>
    </row>
    <row r="45" spans="1:15" ht="14.25" customHeight="1">
      <c r="A45" s="3345" t="s">
        <v>880</v>
      </c>
      <c r="B45" s="3346"/>
      <c r="C45" s="3347"/>
      <c r="D45" s="259">
        <f ca="1">ROUND(H101*F45,0)</f>
        <v>128</v>
      </c>
      <c r="E45" s="2311" t="s">
        <v>881</v>
      </c>
      <c r="F45" s="2312">
        <v>1</v>
      </c>
      <c r="G45" s="271" t="s">
        <v>882</v>
      </c>
      <c r="H45" s="340"/>
      <c r="I45" s="340"/>
      <c r="J45" s="3334" t="s">
        <v>883</v>
      </c>
      <c r="K45" s="3334"/>
      <c r="L45" s="3334"/>
      <c r="M45" s="3334"/>
      <c r="N45" s="3334"/>
      <c r="O45" s="3334"/>
    </row>
    <row r="46" spans="1:15" ht="14.25" customHeight="1">
      <c r="A46" s="3348" t="s">
        <v>884</v>
      </c>
      <c r="B46" s="3349"/>
      <c r="C46" s="3349"/>
      <c r="D46" s="3349"/>
      <c r="E46" s="3349"/>
      <c r="F46" s="3349"/>
      <c r="G46" s="3350"/>
      <c r="H46" s="2313"/>
      <c r="I46" s="1222"/>
      <c r="J46" s="867">
        <v>1</v>
      </c>
      <c r="K46" s="3324" t="s">
        <v>885</v>
      </c>
      <c r="L46" s="3324"/>
      <c r="M46" s="3351"/>
      <c r="N46" s="3351"/>
      <c r="O46" s="3351"/>
    </row>
    <row r="47" spans="1:15" ht="12" customHeight="1">
      <c r="A47" s="2314" t="s">
        <v>886</v>
      </c>
      <c r="B47" s="2315"/>
      <c r="C47" s="2316"/>
      <c r="D47" s="313" t="s">
        <v>887</v>
      </c>
      <c r="E47" s="260" t="s">
        <v>888</v>
      </c>
      <c r="F47" s="2317" t="s">
        <v>889</v>
      </c>
      <c r="G47" s="2318" t="s">
        <v>890</v>
      </c>
      <c r="H47" s="2319"/>
      <c r="I47" s="1222"/>
      <c r="J47" s="867">
        <v>2</v>
      </c>
      <c r="K47" s="3324" t="s">
        <v>891</v>
      </c>
      <c r="L47" s="3324"/>
      <c r="M47" s="3331">
        <f>'数据-取费表'!B2</f>
        <v>45882</v>
      </c>
      <c r="N47" s="3331"/>
      <c r="O47" s="3331"/>
    </row>
    <row r="48" spans="1:15" ht="26.4">
      <c r="A48" s="3332" t="s">
        <v>892</v>
      </c>
      <c r="B48" s="3326"/>
      <c r="C48" s="3326"/>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324" t="s">
        <v>894</v>
      </c>
      <c r="L48" s="3324"/>
      <c r="M48" s="3333">
        <f ca="1">H101</f>
        <v>128</v>
      </c>
      <c r="N48" s="3333"/>
      <c r="O48" s="3333"/>
    </row>
    <row r="49" spans="1:35" ht="25.5" customHeight="1">
      <c r="A49" s="2320" t="s">
        <v>895</v>
      </c>
      <c r="B49" s="3300" t="s">
        <v>896</v>
      </c>
      <c r="C49" s="3300"/>
      <c r="D49" s="2324">
        <v>0</v>
      </c>
      <c r="E49" s="323" t="s">
        <v>897</v>
      </c>
      <c r="F49" s="2325" t="s">
        <v>124</v>
      </c>
      <c r="G49" s="3327"/>
      <c r="H49" s="2326" t="s">
        <v>898</v>
      </c>
      <c r="I49" s="2360"/>
      <c r="J49" s="867">
        <v>4</v>
      </c>
      <c r="K49" s="3324" t="str">
        <f>IF(项目基本情况!E8="房地产抵押价值","房地产抵押价值","抵押担保权已注销时的房地产抵押价值")</f>
        <v>房地产抵押价值</v>
      </c>
      <c r="L49" s="3324"/>
      <c r="M49" s="3333">
        <f ca="1">IF(项目基本情况!E8="房地产抵押价值",H107,H109)</f>
        <v>128</v>
      </c>
      <c r="N49" s="3333"/>
      <c r="O49" s="3333"/>
    </row>
    <row r="50" spans="1:35" ht="25.5" customHeight="1">
      <c r="A50" s="2327"/>
      <c r="B50" s="3300" t="s">
        <v>899</v>
      </c>
      <c r="C50" s="3300"/>
      <c r="D50" s="2328"/>
      <c r="E50" s="338"/>
      <c r="F50" s="2325"/>
      <c r="G50" s="3328"/>
      <c r="H50" s="2329" t="s">
        <v>900</v>
      </c>
      <c r="I50" s="2360"/>
      <c r="J50" s="3334" t="s">
        <v>901</v>
      </c>
      <c r="K50" s="3334"/>
      <c r="L50" s="3334"/>
      <c r="M50" s="3334"/>
      <c r="N50" s="3334"/>
      <c r="O50" s="3334"/>
    </row>
    <row r="51" spans="1:35" ht="20.399999999999999" customHeight="1">
      <c r="A51" s="2330"/>
      <c r="B51" s="3300" t="s">
        <v>902</v>
      </c>
      <c r="C51" s="3300"/>
      <c r="D51" s="313"/>
      <c r="E51" s="327"/>
      <c r="F51" s="2325"/>
      <c r="G51" s="3329"/>
      <c r="H51" s="2329" t="s">
        <v>903</v>
      </c>
      <c r="I51" s="2360"/>
      <c r="J51" s="2359" t="s">
        <v>904</v>
      </c>
      <c r="K51" s="3324" t="s">
        <v>905</v>
      </c>
      <c r="L51" s="3324"/>
      <c r="M51" s="2359" t="s">
        <v>906</v>
      </c>
      <c r="N51" s="2359" t="s">
        <v>907</v>
      </c>
      <c r="O51" s="2359" t="s">
        <v>908</v>
      </c>
    </row>
    <row r="52" spans="1:35" ht="24" customHeight="1">
      <c r="A52" s="2331" t="s">
        <v>909</v>
      </c>
      <c r="B52" s="3300" t="s">
        <v>910</v>
      </c>
      <c r="C52" s="3300"/>
      <c r="D52" s="313">
        <f ca="1">ROUND(D45*'数据-取费表'!B41/(1+'数据-取费表'!C42),0)</f>
        <v>7</v>
      </c>
      <c r="E52" s="317" t="s">
        <v>911</v>
      </c>
      <c r="F52" s="2332">
        <f>'数据-取费表'!B41</f>
        <v>5.6000000000000001E-2</v>
      </c>
      <c r="G52" s="2333"/>
      <c r="H52" s="434"/>
      <c r="I52" s="2361"/>
      <c r="J52" s="867">
        <v>1</v>
      </c>
      <c r="K52" s="3320" t="s">
        <v>912</v>
      </c>
      <c r="L52" s="3320"/>
      <c r="M52" s="2362" t="b">
        <f>D48</f>
        <v>0</v>
      </c>
      <c r="N52" s="867" t="str">
        <f>E48</f>
        <v>销售额×税（费）率</v>
      </c>
      <c r="O52" s="2363">
        <f>F48</f>
        <v>5.6000000000000001E-2</v>
      </c>
    </row>
    <row r="53" spans="1:35" ht="12" customHeight="1">
      <c r="A53" s="2331" t="s">
        <v>913</v>
      </c>
      <c r="B53" s="3299" t="s">
        <v>914</v>
      </c>
      <c r="C53" s="3316"/>
      <c r="D53" s="313">
        <f ca="1">ROUND(D45*'数据-取费表'!B41/(1+'数据-取费表'!C42),0)</f>
        <v>7</v>
      </c>
      <c r="E53" s="317" t="s">
        <v>911</v>
      </c>
      <c r="F53" s="2332">
        <f>'数据-取费表'!B41</f>
        <v>5.6000000000000001E-2</v>
      </c>
      <c r="G53" s="2333"/>
      <c r="H53" s="434"/>
      <c r="I53" s="2361"/>
      <c r="J53" s="867">
        <v>2</v>
      </c>
      <c r="K53" s="3320" t="s">
        <v>915</v>
      </c>
      <c r="L53" s="3320"/>
      <c r="M53" s="2362">
        <f t="shared" ref="M53:O54" ca="1" si="0">D55</f>
        <v>0</v>
      </c>
      <c r="N53" s="867" t="str">
        <f t="shared" si="0"/>
        <v>销售额×税（费）率</v>
      </c>
      <c r="O53" s="2363" t="str">
        <f t="shared" si="0"/>
        <v>免征</v>
      </c>
    </row>
    <row r="54" spans="1:35" ht="12" customHeight="1">
      <c r="A54" s="2331" t="s">
        <v>916</v>
      </c>
      <c r="B54" s="3299" t="s">
        <v>917</v>
      </c>
      <c r="C54" s="3316"/>
      <c r="D54" s="313">
        <f ca="1">C68</f>
        <v>7</v>
      </c>
      <c r="E54" s="327" t="s">
        <v>918</v>
      </c>
      <c r="F54" s="2332">
        <f>'数据-取费表'!B41</f>
        <v>5.6000000000000001E-2</v>
      </c>
      <c r="G54" s="2333"/>
      <c r="H54" s="2334"/>
      <c r="I54" s="2361"/>
      <c r="J54" s="867">
        <v>3</v>
      </c>
      <c r="K54" s="3320" t="s">
        <v>919</v>
      </c>
      <c r="L54" s="3320"/>
      <c r="M54" s="2362">
        <f t="shared" ca="1" si="0"/>
        <v>72</v>
      </c>
      <c r="N54" s="867" t="str">
        <f t="shared" si="0"/>
        <v>增值额×税（费）率</v>
      </c>
      <c r="O54" s="2364" t="str">
        <f t="shared" si="0"/>
        <v>免征</v>
      </c>
    </row>
    <row r="55" spans="1:35" ht="24" customHeight="1">
      <c r="A55" s="3325" t="s">
        <v>920</v>
      </c>
      <c r="B55" s="3326"/>
      <c r="C55" s="3326"/>
      <c r="D55" s="420">
        <f ca="1">IF(H55="个人住宅",0,ROUND(D45*I55,0))</f>
        <v>0</v>
      </c>
      <c r="E55" s="317" t="s">
        <v>921</v>
      </c>
      <c r="F55" s="2332" t="str">
        <f>IF(H55="正常",I55,"免征")</f>
        <v>免征</v>
      </c>
      <c r="G55" s="2333"/>
      <c r="H55" s="2323"/>
      <c r="I55" s="2365">
        <f>'数据-取费表'!B49</f>
        <v>5.0000000000000001E-4</v>
      </c>
      <c r="J55" s="867">
        <f>IF(H59="非个人房产","",4)</f>
        <v>4</v>
      </c>
      <c r="K55" s="3320" t="str">
        <f>IF(H59="非个人房产","——","个人所得税")</f>
        <v>个人所得税</v>
      </c>
      <c r="L55" s="3320"/>
      <c r="M55" s="2366">
        <f ca="1">D59</f>
        <v>1</v>
      </c>
      <c r="N55" s="848" t="str">
        <f>E59</f>
        <v>差额计税</v>
      </c>
      <c r="O55" s="2367">
        <f>F59</f>
        <v>0.01</v>
      </c>
    </row>
    <row r="56" spans="1:35" ht="25.2">
      <c r="A56" s="3325" t="s">
        <v>922</v>
      </c>
      <c r="B56" s="3326"/>
      <c r="C56" s="3326"/>
      <c r="D56" s="420">
        <f ca="1">IF(H56="个人住宅",D57,D58)</f>
        <v>72</v>
      </c>
      <c r="E56" s="317" t="s">
        <v>923</v>
      </c>
      <c r="F56" s="2332" t="str">
        <f>IF(H56="正常",F58,"免征")</f>
        <v>免征</v>
      </c>
      <c r="G56" s="2335" t="s">
        <v>924</v>
      </c>
      <c r="H56" s="2336"/>
      <c r="I56" s="2345"/>
      <c r="J56" s="867" t="str">
        <f>IF(项目基本情况!K6="上海银行",IF(J55="",4,J55+1),"")</f>
        <v/>
      </c>
      <c r="K56" s="3314" t="str">
        <f>IF(项目基本情况!K6="上海银行","其他处置费用","")</f>
        <v/>
      </c>
      <c r="L56" s="3330"/>
      <c r="M56" s="2362" t="str">
        <f>IF(项目基本情况!K6="上海银行",M69,"")</f>
        <v/>
      </c>
      <c r="N56" s="3314" t="str">
        <f>IF(项目基本情况!K6="上海银行","包含处置中涉及的律师、诉讼、拍卖、评估等费用","")</f>
        <v/>
      </c>
      <c r="O56" s="3315"/>
    </row>
    <row r="57" spans="1:35" ht="13.2">
      <c r="A57" s="2331" t="s">
        <v>895</v>
      </c>
      <c r="B57" s="3299" t="s">
        <v>925</v>
      </c>
      <c r="C57" s="3316"/>
      <c r="D57" s="2324">
        <v>0</v>
      </c>
      <c r="E57" s="323" t="s">
        <v>897</v>
      </c>
      <c r="F57" s="260"/>
      <c r="G57" s="2333"/>
      <c r="H57" s="2337"/>
      <c r="I57" s="2345"/>
      <c r="J57" s="3320">
        <f>IF(AND(J55="",J56=""),4,IF(项目基本情况!K6="上海银行",结果表!J56+1,结果表!J55+1))</f>
        <v>5</v>
      </c>
      <c r="K57" s="3320" t="s">
        <v>926</v>
      </c>
      <c r="L57" s="2368" t="s">
        <v>927</v>
      </c>
      <c r="M57" s="2369"/>
      <c r="N57" s="2370">
        <f ca="1">SUMIF(M52:M56,"&lt;9e307")</f>
        <v>73</v>
      </c>
      <c r="O57" s="2371"/>
      <c r="P57" s="2372">
        <f ca="1">N57/M49</f>
        <v>0.5703125</v>
      </c>
    </row>
    <row r="58" spans="1:35" ht="25.2">
      <c r="A58" s="2331" t="s">
        <v>909</v>
      </c>
      <c r="B58" s="3299" t="s">
        <v>928</v>
      </c>
      <c r="C58" s="3300"/>
      <c r="D58" s="420">
        <f ca="1">IF(H58="转让取得",C81,C97)</f>
        <v>72</v>
      </c>
      <c r="E58" s="317" t="s">
        <v>923</v>
      </c>
      <c r="F58" s="260" t="s">
        <v>124</v>
      </c>
      <c r="G58" s="2333"/>
      <c r="H58" s="2336"/>
      <c r="I58" s="2345"/>
      <c r="J58" s="3320"/>
      <c r="K58" s="3320"/>
      <c r="L58" s="2368" t="s">
        <v>929</v>
      </c>
      <c r="M58" s="2373"/>
      <c r="N58" s="2374" t="str">
        <f ca="1">NUMBERSTRING(INT(N57*10000),2)&amp;"元整"</f>
        <v>柒拾叁万元整</v>
      </c>
      <c r="O58" s="2375"/>
    </row>
    <row r="59" spans="1:35" ht="24">
      <c r="A59" s="3317" t="s">
        <v>930</v>
      </c>
      <c r="B59" s="3318"/>
      <c r="C59" s="3318"/>
      <c r="D59" s="2338">
        <f ca="1">IF(H59="非个人房产","——",IF(H59="个人住宅（满五唯一有凭证）",0,IF(H59="个人其他（无凭证）",ROUND(D45*F59,0),ROUND(C67*F59,0))))</f>
        <v>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21">
        <f>J57+1</f>
        <v>6</v>
      </c>
      <c r="K59" s="3320" t="s">
        <v>932</v>
      </c>
      <c r="L59" s="867" t="s">
        <v>927</v>
      </c>
      <c r="M59" s="2377"/>
      <c r="N59" s="2378">
        <f ca="1">M49-N57</f>
        <v>55</v>
      </c>
      <c r="O59" s="2379"/>
    </row>
    <row r="60" spans="1:35" ht="12" customHeight="1">
      <c r="A60" s="2343"/>
      <c r="B60" s="413"/>
      <c r="C60" s="413"/>
      <c r="D60" s="413"/>
      <c r="E60" s="2344"/>
      <c r="F60" s="2345"/>
      <c r="G60" s="2345"/>
      <c r="H60" s="1222"/>
      <c r="I60" s="340"/>
      <c r="J60" s="3322"/>
      <c r="K60" s="3320"/>
      <c r="L60" s="2368" t="s">
        <v>929</v>
      </c>
      <c r="M60" s="2373"/>
      <c r="N60" s="2374" t="str">
        <f ca="1">NUMBERSTRING(INT(N59*10000),2)&amp;"元整"</f>
        <v>伍拾伍万元整</v>
      </c>
      <c r="O60" s="2375"/>
    </row>
    <row r="61" spans="1:35" ht="13.2">
      <c r="A61" s="3319" t="s">
        <v>933</v>
      </c>
      <c r="B61" s="3319"/>
      <c r="C61" s="3319"/>
      <c r="D61" s="3319"/>
      <c r="E61" s="3319"/>
      <c r="F61" s="2345"/>
      <c r="G61" s="2345"/>
      <c r="H61" s="1222"/>
      <c r="I61" s="340"/>
      <c r="J61" s="867">
        <f>J59+1</f>
        <v>7</v>
      </c>
      <c r="K61" s="3320" t="s">
        <v>934</v>
      </c>
      <c r="L61" s="3320"/>
      <c r="M61" s="2380"/>
      <c r="N61" s="2381">
        <f ca="1">ROUND(N59*10000/'数据-汇总表'!E3,0)</f>
        <v>4765</v>
      </c>
      <c r="O61" s="2382"/>
    </row>
    <row r="62" spans="1:35" ht="13.2">
      <c r="A62" s="3297" t="s">
        <v>935</v>
      </c>
      <c r="B62" s="3298"/>
      <c r="C62" s="819"/>
      <c r="D62" s="819" t="s">
        <v>936</v>
      </c>
      <c r="E62" s="2346" t="s">
        <v>890</v>
      </c>
      <c r="F62" s="2345"/>
      <c r="G62" s="2345"/>
      <c r="H62" s="1222"/>
      <c r="I62" s="340"/>
    </row>
    <row r="63" spans="1:35" ht="13.2">
      <c r="A63" s="2347" t="s">
        <v>937</v>
      </c>
      <c r="B63" s="877" t="s">
        <v>938</v>
      </c>
      <c r="C63" s="2348">
        <f ca="1">ROUND((C64+C65)/(1+'数据-取费表'!C42),0)</f>
        <v>122</v>
      </c>
      <c r="D63" s="877"/>
      <c r="E63" s="2349"/>
      <c r="F63" s="2345"/>
      <c r="G63" s="2345"/>
      <c r="H63" s="1222"/>
      <c r="I63" s="340"/>
      <c r="J63" s="3323" t="s">
        <v>939</v>
      </c>
      <c r="K63" s="2383" t="s">
        <v>940</v>
      </c>
      <c r="L63" s="2383">
        <f ca="1">IF(M49&gt;10000,M49*0.5%,IF(AND(M49&gt;1000,M49&lt;=10000),M49*1%,IF(AND(M49&gt;100,M49&lt;=1000),M49*3%,IF(AND(M49&gt;10,M49&lt;=100),M49*5%,M49*8%))))</f>
        <v>3.84</v>
      </c>
      <c r="M63" s="260">
        <f ca="1">ROUND(L63,1)</f>
        <v>3.8</v>
      </c>
      <c r="N63" s="2384"/>
      <c r="Z63" s="2222"/>
      <c r="AI63" s="2221"/>
    </row>
    <row r="64" spans="1:35" ht="14.25" customHeight="1">
      <c r="A64" s="2350" t="s">
        <v>941</v>
      </c>
      <c r="B64" s="800" t="s">
        <v>942</v>
      </c>
      <c r="C64" s="2351">
        <f ca="1">D45</f>
        <v>128</v>
      </c>
      <c r="D64" s="800" t="s">
        <v>124</v>
      </c>
      <c r="E64" s="2352"/>
      <c r="F64" s="2345"/>
      <c r="G64" s="2345"/>
      <c r="H64" s="1222"/>
      <c r="I64" s="340"/>
      <c r="J64" s="3323"/>
      <c r="K64" s="2383" t="s">
        <v>943</v>
      </c>
      <c r="L64" s="2383">
        <f ca="1">IF(M49&gt;2000,M49*0.5%,IF(AND(M49&gt;1000,M49&lt;=2000),M49*0.6%,IF(AND(M49&gt;500,M49&lt;=1000),M49*0.7%,IF(AND(M49&gt;200,M49&lt;=500),M49*0.8%,IF(AND(M49&gt;100,M49&lt;=200),M49*0.9%,IF(AND(M49&gt;50,M49&lt;=100),M49*1%,IF(AND(M49&gt;20,M49&lt;=50),M49*1.5%,IF(AND(M49&gt;10,M49&lt;=20),M49*2%,IF(AND(M49&gt;1,M49&lt;=10),M49*2.5%)))))))))</f>
        <v>1.1520000000000001</v>
      </c>
      <c r="M64" s="260">
        <f t="shared" ref="M64:M65" ca="1" si="1">ROUND(L64,1)</f>
        <v>1.2</v>
      </c>
      <c r="N64" s="434" t="s">
        <v>944</v>
      </c>
      <c r="Z64" s="2222"/>
      <c r="AI64" s="2221"/>
    </row>
    <row r="65" spans="1:35" ht="14.25" customHeight="1">
      <c r="A65" s="2350" t="s">
        <v>945</v>
      </c>
      <c r="B65" s="800" t="s">
        <v>946</v>
      </c>
      <c r="C65" s="2386"/>
      <c r="D65" s="800"/>
      <c r="E65" s="2352"/>
      <c r="F65" s="2345"/>
      <c r="G65" s="2345"/>
      <c r="H65" s="1222"/>
      <c r="I65" s="340"/>
      <c r="J65" s="3323"/>
      <c r="K65" s="2383" t="s">
        <v>947</v>
      </c>
      <c r="L65" s="2383">
        <f ca="1">IF(M49&gt;1000,M49*0.1%,IF(AND(M49&gt;500,M49&lt;=1000),M49*0.5%,IF(AND(M49&gt;50,M49&lt;=500),M49*1%,IF(AND(M49&gt;1,M49&lt;=50),M49*1.5%))))</f>
        <v>1.28</v>
      </c>
      <c r="M65" s="260">
        <f t="shared" ca="1" si="1"/>
        <v>1.3</v>
      </c>
      <c r="N65" s="434" t="s">
        <v>944</v>
      </c>
      <c r="Z65" s="2222"/>
      <c r="AI65" s="2221"/>
    </row>
    <row r="66" spans="1:35" ht="14.25" customHeight="1">
      <c r="A66" s="2347" t="s">
        <v>948</v>
      </c>
      <c r="B66" s="2387" t="s">
        <v>949</v>
      </c>
      <c r="C66" s="2388"/>
      <c r="D66" s="2387" t="s">
        <v>124</v>
      </c>
      <c r="E66" s="2389" t="s">
        <v>950</v>
      </c>
      <c r="F66" s="2345"/>
      <c r="G66" s="2345"/>
      <c r="H66" s="1222"/>
      <c r="I66" s="340"/>
      <c r="J66" s="3323"/>
      <c r="K66" s="2383" t="s">
        <v>951</v>
      </c>
      <c r="L66" s="2383">
        <f ca="1">M49*0.5%</f>
        <v>0.64</v>
      </c>
      <c r="M66" s="260">
        <f ca="1">IF(L66&gt;0.5,0.5,ROUND(L66,0))</f>
        <v>0.5</v>
      </c>
      <c r="N66" s="434" t="s">
        <v>952</v>
      </c>
      <c r="Z66" s="2222"/>
      <c r="AI66" s="2221"/>
    </row>
    <row r="67" spans="1:35" ht="14.25" customHeight="1">
      <c r="A67" s="2347" t="s">
        <v>953</v>
      </c>
      <c r="B67" s="2387" t="s">
        <v>954</v>
      </c>
      <c r="C67" s="2390">
        <f ca="1">C63-C66</f>
        <v>122</v>
      </c>
      <c r="D67" s="800" t="s">
        <v>124</v>
      </c>
      <c r="E67" s="2352"/>
      <c r="F67" s="2345"/>
      <c r="G67" s="2345"/>
      <c r="H67" s="1222"/>
      <c r="I67" s="340"/>
      <c r="J67" s="3323"/>
      <c r="K67" s="2383" t="s">
        <v>955</v>
      </c>
      <c r="L67" s="2383">
        <f ca="1">IF(M49&gt;=10000,(8.25+(M49-10000)*0.01%),IF(AND(M49&gt;=8000,M49&lt;10000),(7.85+(M49-8000)*0.02%),IF(AND(M49&gt;=5000,M49&lt;8000),(6.65+(M49-5000)*0.04%),IF(AND(M49&gt;=2000,M49&lt;5000),(4.25+(PM49-2000)*0.08%),IF(AND(M49&gt;=1000,M49&lt;2000),(2.75+(M49-1000)*0.15%),IF(AND(M49&gt;=100,M49&lt;1000),(0.5+(M49-100)*0.25%),IF(AND(M49&gt;0,M49&lt;100),M49*0.5%)))))))</f>
        <v>0.57000000000000006</v>
      </c>
      <c r="M67" s="260">
        <f ca="1">ROUND(L67*0.9,1)</f>
        <v>0.5</v>
      </c>
      <c r="N67" s="2384"/>
      <c r="Z67" s="2222"/>
      <c r="AI67" s="2221"/>
    </row>
    <row r="68" spans="1:35" ht="14.25" customHeight="1">
      <c r="A68" s="2391" t="s">
        <v>956</v>
      </c>
      <c r="B68" s="2392" t="s">
        <v>957</v>
      </c>
      <c r="C68" s="2393">
        <f ca="1">IF(C67&lt;=0,0,ROUND(C67*D68,0))</f>
        <v>7</v>
      </c>
      <c r="D68" s="1061">
        <f>'数据-取费表'!B41</f>
        <v>5.6000000000000001E-2</v>
      </c>
      <c r="E68" s="2394"/>
      <c r="F68" s="2345"/>
      <c r="G68" s="2345"/>
      <c r="H68" s="1222"/>
      <c r="I68" s="340"/>
      <c r="J68" s="3323"/>
      <c r="K68" s="2383" t="s">
        <v>958</v>
      </c>
      <c r="L68" s="2383">
        <f ca="1">IF(M49&gt;10000,M49*0.5%,IF(AND(M49&gt;5000,M49&lt;=10000),M49*1%,IF(AND(M49&gt;1000,M49&lt;=5000),M49*2%,IF(AND(M49&gt;200,M49&lt;=1000),M49*3%,M49*5%))))</f>
        <v>6.4</v>
      </c>
      <c r="M68" s="260">
        <f ca="1">ROUND(L68,1)</f>
        <v>6.4</v>
      </c>
      <c r="N68" s="2384"/>
      <c r="Z68" s="2222"/>
      <c r="AI68" s="2221"/>
    </row>
    <row r="69" spans="1:35" ht="16.5" customHeight="1">
      <c r="A69" s="2395"/>
      <c r="B69" s="2396"/>
      <c r="C69" s="2397"/>
      <c r="D69" s="984"/>
      <c r="E69" s="2398"/>
      <c r="F69" s="2344"/>
      <c r="G69" s="2344"/>
      <c r="H69" s="2305"/>
      <c r="I69" s="413"/>
      <c r="J69" s="3323"/>
      <c r="K69" s="2383" t="s">
        <v>959</v>
      </c>
      <c r="L69" s="2383"/>
      <c r="M69" s="260">
        <f ca="1">ROUND(SUM(M63:M68),0)</f>
        <v>14</v>
      </c>
      <c r="N69" s="2458">
        <f ca="1">M69/M49</f>
        <v>0.109375</v>
      </c>
      <c r="Z69" s="2222"/>
      <c r="AI69" s="2221"/>
    </row>
    <row r="70" spans="1:35" s="1166" customFormat="1" ht="13.8">
      <c r="A70" s="3295" t="s">
        <v>960</v>
      </c>
      <c r="B70" s="3296"/>
      <c r="C70" s="3296"/>
      <c r="D70" s="3296"/>
      <c r="E70" s="3296"/>
      <c r="F70" s="3296"/>
      <c r="G70" s="3296"/>
      <c r="H70" s="3296"/>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3.8">
      <c r="A71" s="3297" t="s">
        <v>935</v>
      </c>
      <c r="B71" s="3298"/>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3.8">
      <c r="A72" s="2347" t="s">
        <v>937</v>
      </c>
      <c r="B72" s="2387" t="s">
        <v>961</v>
      </c>
      <c r="C72" s="2390">
        <f ca="1">ROUND(D45/(1+'数据-取费表'!C42),0)</f>
        <v>122</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3.8">
      <c r="A73" s="2347" t="s">
        <v>948</v>
      </c>
      <c r="B73" s="2317" t="s">
        <v>962</v>
      </c>
      <c r="C73" s="2390">
        <f ca="1">C74+C78</f>
        <v>1</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28.8">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9" t="s">
        <v>970</v>
      </c>
      <c r="F76" s="3300"/>
      <c r="G76" s="3300"/>
      <c r="H76" s="3301"/>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1</v>
      </c>
      <c r="D78" s="2413">
        <f>'数据-取费表'!B43</f>
        <v>6.000000000000001E-3</v>
      </c>
      <c r="E78" s="3277" t="s">
        <v>975</v>
      </c>
      <c r="F78" s="3278"/>
      <c r="G78" s="3278"/>
      <c r="H78" s="3279"/>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3.8">
      <c r="A79" s="2347" t="s">
        <v>953</v>
      </c>
      <c r="B79" s="2387" t="s">
        <v>976</v>
      </c>
      <c r="C79" s="2390">
        <f ca="1">C72-C73</f>
        <v>121</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121</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72</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3.8">
      <c r="A83" s="3295" t="s">
        <v>980</v>
      </c>
      <c r="B83" s="3296"/>
      <c r="C83" s="3296"/>
      <c r="D83" s="3296"/>
      <c r="E83" s="3296"/>
      <c r="F83" s="3296"/>
      <c r="G83" s="3296"/>
      <c r="H83" s="3296"/>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3.8">
      <c r="A84" s="3297" t="s">
        <v>935</v>
      </c>
      <c r="B84" s="3298"/>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3.8">
      <c r="A85" s="2347" t="s">
        <v>937</v>
      </c>
      <c r="B85" s="2387" t="s">
        <v>961</v>
      </c>
      <c r="C85" s="2390">
        <f ca="1">ROUND(D45/(1+'数据-取费表'!C42),0)</f>
        <v>122</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3.8">
      <c r="A86" s="2347" t="s">
        <v>948</v>
      </c>
      <c r="B86" s="2317" t="s">
        <v>962</v>
      </c>
      <c r="C86" s="2390">
        <f ca="1">IF(H88="仅含出让金",C87+C90+C91+C92+C93+C94,C87+C91+C92+C93+C94)</f>
        <v>1</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3.8">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4">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3.8">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4">
      <c r="A90" s="2350" t="s">
        <v>945</v>
      </c>
      <c r="B90" s="800" t="s">
        <v>987</v>
      </c>
      <c r="C90" s="2427"/>
      <c r="D90" s="2413"/>
      <c r="E90" s="2428" t="str">
        <f>IF(H88="-","土地取得成本中已包含该笔费用"," ")</f>
        <v xml:space="preserve"> </v>
      </c>
      <c r="F90" s="2415"/>
      <c r="G90" s="3309" t="s">
        <v>988</v>
      </c>
      <c r="H90" s="3310"/>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277" t="s">
        <v>992</v>
      </c>
      <c r="F91" s="3278"/>
      <c r="G91" s="3278"/>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277" t="s">
        <v>995</v>
      </c>
      <c r="F92" s="3278"/>
      <c r="G92" s="3278"/>
      <c r="H92" s="3279"/>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1</v>
      </c>
      <c r="D93" s="2413">
        <f>'数据-取费表'!B43</f>
        <v>6.000000000000001E-3</v>
      </c>
      <c r="E93" s="3277" t="s">
        <v>975</v>
      </c>
      <c r="F93" s="3278"/>
      <c r="G93" s="3278"/>
      <c r="H93" s="3279"/>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280" t="s">
        <v>1000</v>
      </c>
      <c r="F94" s="3281"/>
      <c r="G94" s="3281"/>
      <c r="H94" s="3282"/>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3.8">
      <c r="A95" s="2347" t="s">
        <v>953</v>
      </c>
      <c r="B95" s="2387" t="s">
        <v>976</v>
      </c>
      <c r="C95" s="2390">
        <f ca="1">ROUND(C85-C86,0)</f>
        <v>121</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121</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72</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55" t="s">
        <v>1002</v>
      </c>
      <c r="B100" s="3256"/>
      <c r="C100" s="3256"/>
      <c r="D100" s="3283"/>
      <c r="E100" s="3256" t="s">
        <v>1003</v>
      </c>
      <c r="F100" s="3256"/>
      <c r="G100" s="3256"/>
      <c r="H100" s="3283"/>
      <c r="I100" s="340"/>
    </row>
    <row r="101" spans="1:35" ht="18.75" customHeight="1">
      <c r="A101" s="3284" t="s">
        <v>1004</v>
      </c>
      <c r="B101" s="3285"/>
      <c r="C101" s="2435" t="str">
        <f>C4</f>
        <v>比较法-办公</v>
      </c>
      <c r="D101" s="2436" t="str">
        <f>D4</f>
        <v>收益法 (元)</v>
      </c>
      <c r="E101" s="3308" t="s">
        <v>1005</v>
      </c>
      <c r="F101" s="3303"/>
      <c r="G101" s="2438" t="s">
        <v>1006</v>
      </c>
      <c r="H101" s="2439">
        <f ca="1">H118</f>
        <v>128</v>
      </c>
      <c r="I101" s="340"/>
    </row>
    <row r="102" spans="1:35" ht="18.75" customHeight="1">
      <c r="A102" s="3268" t="s">
        <v>1007</v>
      </c>
      <c r="B102" s="2440" t="s">
        <v>1006</v>
      </c>
      <c r="C102" s="2435">
        <f ca="1">IF(D32="楼面单价",ROUND(C19,0),C19)</f>
        <v>164</v>
      </c>
      <c r="D102" s="2436">
        <f ca="1">IF(D32="楼面单价",ROUND(D19,0),D19)</f>
        <v>74</v>
      </c>
      <c r="E102" s="3308"/>
      <c r="F102" s="3303"/>
      <c r="G102" s="2438" t="s">
        <v>99</v>
      </c>
      <c r="H102" s="2333">
        <f ca="1">I118</f>
        <v>11090</v>
      </c>
      <c r="I102" s="340"/>
    </row>
    <row r="103" spans="1:35" ht="42.75" customHeight="1">
      <c r="A103" s="3268"/>
      <c r="B103" s="2440" t="s">
        <v>99</v>
      </c>
      <c r="C103" s="2441">
        <f ca="1">C20</f>
        <v>14218</v>
      </c>
      <c r="D103" s="2442">
        <f ca="1">D20</f>
        <v>6399</v>
      </c>
      <c r="E103" s="3286" t="s">
        <v>1008</v>
      </c>
      <c r="F103" s="3287"/>
      <c r="G103" s="2443" t="s">
        <v>102</v>
      </c>
      <c r="H103" s="2439">
        <f>IF(D36="正常操作",H104+H105+H106,H105+H106)</f>
        <v>0</v>
      </c>
      <c r="I103" s="340"/>
    </row>
    <row r="104" spans="1:35" ht="18.75" customHeight="1">
      <c r="A104" s="3268" t="s">
        <v>1009</v>
      </c>
      <c r="B104" s="2444" t="s">
        <v>1006</v>
      </c>
      <c r="C104" s="2445">
        <f ca="1">H118</f>
        <v>128</v>
      </c>
      <c r="D104" s="2446"/>
      <c r="E104" s="2290" t="s">
        <v>1010</v>
      </c>
      <c r="F104" s="2447"/>
      <c r="G104" s="2443" t="s">
        <v>102</v>
      </c>
      <c r="H104" s="2448">
        <f>IF(D36="同一抵押权人同一抵押物续贷",C36&amp;"（续贷，未扣减，详见特别提示）",C36)</f>
        <v>0</v>
      </c>
      <c r="I104" s="340"/>
    </row>
    <row r="105" spans="1:35" ht="18.75" customHeight="1">
      <c r="A105" s="3269"/>
      <c r="B105" s="2449" t="s">
        <v>99</v>
      </c>
      <c r="C105" s="2450">
        <f ca="1">I118</f>
        <v>11090</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1280118.7000000002</v>
      </c>
      <c r="E107" s="3302" t="str">
        <f>IF(项目基本情况!E8="已注销","——","3.房地产抵押价值")</f>
        <v>3.房地产抵押价值</v>
      </c>
      <c r="F107" s="3303"/>
      <c r="G107" s="2438" t="s">
        <v>1006</v>
      </c>
      <c r="H107" s="2439">
        <f ca="1">IF(E107="——","——",H101-H103)</f>
        <v>128</v>
      </c>
      <c r="I107" s="340"/>
    </row>
    <row r="108" spans="1:35" ht="18.75" customHeight="1">
      <c r="A108" s="340"/>
      <c r="B108" s="340"/>
      <c r="C108" s="340"/>
      <c r="D108" s="340"/>
      <c r="E108" s="3302"/>
      <c r="F108" s="3303"/>
      <c r="G108" s="2438" t="s">
        <v>99</v>
      </c>
      <c r="H108" s="2333">
        <f ca="1">IF(H107=H101,H102,ROUND(H107*10000/'数据-汇总表'!E3,0))</f>
        <v>11090</v>
      </c>
      <c r="I108" s="340"/>
    </row>
    <row r="109" spans="1:35" ht="18.75" customHeight="1">
      <c r="A109" s="340"/>
      <c r="B109" s="340"/>
      <c r="C109" s="340"/>
      <c r="D109" s="340"/>
      <c r="E109" s="3302" t="str">
        <f>IF(项目基本情况!E8="已注销及未注销","4.抵押担保权已注销时的房地产抵押价值",IF(项目基本情况!E8="已注销","3.抵押担保权已注销时的房地产抵押价值","——"))</f>
        <v>——</v>
      </c>
      <c r="F109" s="3303"/>
      <c r="G109" s="2438" t="s">
        <v>1006</v>
      </c>
      <c r="H109" s="2454" t="str">
        <f>IF(E109="——","——",H101-H105-H106)</f>
        <v>——</v>
      </c>
      <c r="I109" s="340"/>
    </row>
    <row r="110" spans="1:35" ht="18.75" customHeight="1">
      <c r="A110" s="340"/>
      <c r="B110" s="340"/>
      <c r="C110" s="340"/>
      <c r="D110" s="340"/>
      <c r="E110" s="3302"/>
      <c r="F110" s="3303"/>
      <c r="G110" s="2438" t="s">
        <v>99</v>
      </c>
      <c r="H110" s="2333" t="str">
        <f>IF(H109="——","——",ROUND(H109*10000/'数据-汇总表'!E3,0))</f>
        <v>——</v>
      </c>
      <c r="I110" s="340"/>
    </row>
    <row r="111" spans="1:35" ht="18.75" customHeight="1">
      <c r="A111" s="340"/>
      <c r="B111" s="340"/>
      <c r="C111" s="340"/>
      <c r="D111" s="340"/>
      <c r="E111" s="3304" t="str">
        <f>IF(项目基本情况!E9="抵押净值",IF(OR(项目基本情况!E8="已注销",项目基本情况!E8="房地产抵押价值"),"4.抵押净值","5.抵押净值"),"——")</f>
        <v>——</v>
      </c>
      <c r="F111" s="3305"/>
      <c r="G111" s="2438" t="s">
        <v>1006</v>
      </c>
      <c r="H111" s="2439" t="str">
        <f>IF(E111="——","——",N59)</f>
        <v>——</v>
      </c>
      <c r="I111" s="340"/>
    </row>
    <row r="112" spans="1:35" ht="18.75" customHeight="1">
      <c r="A112" s="340"/>
      <c r="B112" s="340"/>
      <c r="C112" s="340"/>
      <c r="D112" s="340"/>
      <c r="E112" s="3306"/>
      <c r="F112" s="3307"/>
      <c r="G112" s="2455" t="s">
        <v>99</v>
      </c>
      <c r="H112" s="2456" t="str">
        <f>IF(E111="——","——",N61)</f>
        <v>——</v>
      </c>
      <c r="I112" s="340"/>
    </row>
    <row r="113" spans="1:27" ht="18.75" customHeight="1">
      <c r="A113" s="340"/>
      <c r="B113" s="340"/>
      <c r="C113" s="340"/>
      <c r="D113" s="340"/>
      <c r="E113" s="3288" t="s">
        <v>1012</v>
      </c>
      <c r="F113" s="3288"/>
      <c r="G113" s="3288"/>
      <c r="H113" s="3288"/>
      <c r="I113" s="340"/>
    </row>
    <row r="114" spans="1:27" ht="3.75" customHeight="1">
      <c r="A114" s="413"/>
      <c r="B114" s="413"/>
      <c r="C114" s="413"/>
      <c r="D114" s="413"/>
      <c r="E114" s="2343"/>
      <c r="F114" s="2343"/>
      <c r="G114" s="2343"/>
      <c r="H114" s="2343"/>
      <c r="I114" s="413"/>
    </row>
    <row r="115" spans="1:27" ht="18.75" customHeight="1">
      <c r="A115" s="3289" t="s">
        <v>1014</v>
      </c>
      <c r="B115" s="3290"/>
      <c r="C115" s="3290"/>
      <c r="D115" s="3290"/>
      <c r="E115" s="3290"/>
      <c r="F115" s="3290"/>
      <c r="G115" s="3290"/>
      <c r="H115" s="3290"/>
      <c r="I115" s="3291"/>
    </row>
    <row r="116" spans="1:27" ht="27" customHeight="1">
      <c r="A116" s="3262" t="s">
        <v>1015</v>
      </c>
      <c r="B116" s="3271" t="s">
        <v>1016</v>
      </c>
      <c r="C116" s="3271" t="s">
        <v>1017</v>
      </c>
      <c r="D116" s="3292" t="s">
        <v>1018</v>
      </c>
      <c r="E116" s="3293"/>
      <c r="F116" s="3294" t="s">
        <v>1019</v>
      </c>
      <c r="G116" s="3294"/>
      <c r="H116" s="3262" t="s">
        <v>1020</v>
      </c>
      <c r="I116" s="3262"/>
    </row>
    <row r="117" spans="1:27" ht="18.75" customHeight="1">
      <c r="A117" s="3262"/>
      <c r="B117" s="3272"/>
      <c r="C117" s="3272"/>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115.43</v>
      </c>
      <c r="C118" s="1158">
        <f>M19</f>
        <v>0</v>
      </c>
      <c r="D118" s="1158">
        <f ca="1">ROUND(IF(D32="总价",C34,E118*B118/10000),0)</f>
        <v>-15</v>
      </c>
      <c r="E118" s="1158">
        <f ca="1">ROUND(IF(C33="自定义",IF(D32="楼面单价",C34,D118*10000/B118),I118-G118),0)</f>
        <v>-1331</v>
      </c>
      <c r="F118" s="1158">
        <f ca="1">ROUND(IF(D32="总价",C35,G118*B118/10000),0)</f>
        <v>143</v>
      </c>
      <c r="G118" s="1158">
        <f ca="1">ROUND(IF(D32="楼面单价",C35,F118*10000/B118),0)</f>
        <v>12421</v>
      </c>
      <c r="H118" s="1158">
        <f ca="1">ROUND(IF(D32="总价",C32,I118*B118/10000),0)</f>
        <v>128</v>
      </c>
      <c r="I118" s="1158">
        <f ca="1">ROUND(IF(D32="楼面单价",C32,H118*10000/B118),0)</f>
        <v>11090</v>
      </c>
    </row>
    <row r="119" spans="1:27" ht="18.75" customHeight="1">
      <c r="A119" s="3262" t="s">
        <v>1022</v>
      </c>
      <c r="B119" s="3262"/>
      <c r="C119" s="3262"/>
      <c r="D119" s="3274" t="e">
        <f ca="1">NUMBERSTRING(INT(D118*10000),2)&amp;"元整"</f>
        <v>#NUM!</v>
      </c>
      <c r="E119" s="3276"/>
      <c r="F119" s="3274" t="str">
        <f ca="1">NUMBERSTRING(INT(F118*10000),2)&amp;"元整"</f>
        <v>壹佰肆拾叁万元整</v>
      </c>
      <c r="G119" s="3276"/>
      <c r="H119" s="3274" t="str">
        <f ca="1">NUMBERSTRING(INT(H118*10000),2)&amp;"元整"</f>
        <v>壹佰贰拾捌万元整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274" t="s">
        <v>1022</v>
      </c>
      <c r="B121" s="3275"/>
      <c r="C121" s="3276"/>
      <c r="D121" s="3274" t="str">
        <f>IF(D120=0,"零元整",NUMBERSTRING(INT(D120*10000),2)&amp;"元整")</f>
        <v>零元整</v>
      </c>
      <c r="E121" s="3275"/>
      <c r="F121" s="3275"/>
      <c r="G121" s="3275"/>
      <c r="H121" s="3275"/>
      <c r="I121" s="3276"/>
      <c r="AA121" s="1183"/>
    </row>
    <row r="122" spans="1:27" ht="18.75" customHeight="1">
      <c r="A122" s="3305" t="str">
        <f>IF(项目基本情况!B9="房地产市场价值","",MID(E107,3,LEN(E107)-2))</f>
        <v>房地产抵押价值</v>
      </c>
      <c r="B122" s="3305"/>
      <c r="C122" s="3305"/>
      <c r="D122" s="3311">
        <f ca="1">H107</f>
        <v>128</v>
      </c>
      <c r="E122" s="3312"/>
      <c r="F122" s="3312"/>
      <c r="G122" s="3312"/>
      <c r="H122" s="3312"/>
      <c r="I122" s="3313"/>
      <c r="AA122" s="1183"/>
    </row>
    <row r="123" spans="1:27" ht="18.75" customHeight="1">
      <c r="A123" s="3262" t="s">
        <v>1022</v>
      </c>
      <c r="B123" s="3262"/>
      <c r="C123" s="3262"/>
      <c r="D123" s="3274" t="str">
        <f ca="1">NUMBERSTRING(INT(D122*10000),2)&amp;"元整"</f>
        <v>壹佰贰拾捌万元整</v>
      </c>
      <c r="E123" s="3275"/>
      <c r="F123" s="3275"/>
      <c r="G123" s="3275"/>
      <c r="H123" s="3275"/>
      <c r="I123" s="3276"/>
      <c r="AA123" s="1183"/>
    </row>
    <row r="124" spans="1:27" ht="18.75" customHeight="1">
      <c r="A124" s="3305" t="str">
        <f>IF(项目基本情况!B9="房地产市场价值","",MID(E109,3,LEN(E109)-2))</f>
        <v/>
      </c>
      <c r="B124" s="3305"/>
      <c r="C124" s="3305"/>
      <c r="D124" s="3311" t="str">
        <f>H109</f>
        <v>——</v>
      </c>
      <c r="E124" s="3312"/>
      <c r="F124" s="3312"/>
      <c r="G124" s="3312"/>
      <c r="H124" s="3312"/>
      <c r="I124" s="3313"/>
      <c r="AA124" s="1183"/>
    </row>
    <row r="125" spans="1:27" ht="18.75" customHeight="1">
      <c r="A125" s="3262" t="s">
        <v>1022</v>
      </c>
      <c r="B125" s="3262"/>
      <c r="C125" s="3262"/>
      <c r="D125" s="3274" t="e">
        <f>NUMBERSTRING(INT(D124*10000),2)&amp;"元整"</f>
        <v>#VALUE!</v>
      </c>
      <c r="E125" s="3275"/>
      <c r="F125" s="3275"/>
      <c r="G125" s="3275"/>
      <c r="H125" s="3275"/>
      <c r="I125" s="3276"/>
      <c r="AA125" s="1183"/>
    </row>
    <row r="126" spans="1:27" ht="18.75" customHeight="1">
      <c r="A126" s="3305" t="str">
        <f>IF(项目基本情况!B9="房地产市场价值","",MID(E111,3,LEN(E111)-2))</f>
        <v/>
      </c>
      <c r="B126" s="3305"/>
      <c r="C126" s="3305"/>
      <c r="D126" s="3311" t="str">
        <f>H111</f>
        <v>——</v>
      </c>
      <c r="E126" s="3312"/>
      <c r="F126" s="3312"/>
      <c r="G126" s="3312"/>
      <c r="H126" s="3312"/>
      <c r="I126" s="3313"/>
      <c r="AA126" s="1183"/>
    </row>
    <row r="127" spans="1:27" ht="18.75" customHeight="1">
      <c r="A127" s="3262" t="s">
        <v>1022</v>
      </c>
      <c r="B127" s="3262"/>
      <c r="C127" s="3262"/>
      <c r="D127" s="3274" t="e">
        <f>NUMBERSTRING(INT(D126*10000),2)&amp;"元整"</f>
        <v>#VALUE!</v>
      </c>
      <c r="E127" s="3275"/>
      <c r="F127" s="3275"/>
      <c r="G127" s="3275"/>
      <c r="H127" s="3275"/>
      <c r="I127" s="3276"/>
      <c r="AA127" s="1183"/>
    </row>
    <row r="128" spans="1:27" ht="21.75" customHeight="1">
      <c r="A128" s="3261" t="s">
        <v>113</v>
      </c>
      <c r="B128" s="3261"/>
      <c r="C128" s="3261"/>
      <c r="D128" s="3261"/>
      <c r="E128" s="3261"/>
      <c r="F128" s="3261"/>
      <c r="G128" s="3261"/>
      <c r="H128" s="3261"/>
      <c r="I128" s="3261"/>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I13" sqref="I13"/>
    </sheetView>
  </sheetViews>
  <sheetFormatPr defaultColWidth="8.33203125" defaultRowHeight="13.2"/>
  <cols>
    <col min="1" max="1" width="10.33203125" style="630" customWidth="1"/>
    <col min="2" max="2" width="29.21875" style="631" customWidth="1"/>
    <col min="3" max="3" width="12.109375" style="631" customWidth="1"/>
    <col min="4" max="5" width="11.21875" style="632" customWidth="1"/>
    <col min="6" max="6" width="9.44140625" style="631" customWidth="1"/>
    <col min="7" max="7" width="31.88671875" style="631" customWidth="1"/>
    <col min="8" max="254" width="9" style="631" customWidth="1"/>
    <col min="255" max="16384" width="8.33203125" style="631"/>
  </cols>
  <sheetData>
    <row r="1" spans="1:9" s="626" customFormat="1" ht="21">
      <c r="A1" s="633" t="s">
        <v>1030</v>
      </c>
      <c r="B1" s="2208"/>
      <c r="C1" s="635"/>
      <c r="D1" s="635"/>
      <c r="E1" s="635"/>
      <c r="F1" s="635"/>
      <c r="G1" s="2210">
        <f>MATCH(B1,'数据-取费表'!A6:A16,0)+5</f>
        <v>7</v>
      </c>
    </row>
    <row r="2" spans="1:9" s="626" customFormat="1" ht="18" customHeight="1">
      <c r="A2" s="637" t="s">
        <v>1031</v>
      </c>
      <c r="B2" s="638">
        <f ca="1">IF(D2="——",C52,C52-E2)</f>
        <v>64</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5544</v>
      </c>
      <c r="C3" s="636" t="s">
        <v>1034</v>
      </c>
      <c r="D3" s="636"/>
      <c r="E3" s="636"/>
      <c r="F3" s="636"/>
      <c r="G3" s="636"/>
    </row>
    <row r="4" spans="1:9" s="627" customFormat="1" ht="16.2">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2</v>
      </c>
      <c r="D10" s="663">
        <f ca="1">IF(B1="",'数据-汇总表'!E6,IF(INDIRECT("'数据-取费表'!c"&amp;$G$1)="住宅",INDIRECT("'数据-取费表'!s"&amp;$G$1),INDIRECT("'数据-取费表'!k"&amp;$G$1)+INDIRECT("'数据-取费表'!s"&amp;$G$1)))</f>
        <v>115.43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2</v>
      </c>
      <c r="D19" s="648">
        <f ca="1">D9+D10</f>
        <v>115.43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6.4">
      <c r="A27" s="645" t="s">
        <v>1086</v>
      </c>
      <c r="B27" s="684" t="s">
        <v>1087</v>
      </c>
      <c r="C27" s="685">
        <f ca="1">C28</f>
        <v>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0</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v>
      </c>
      <c r="D31" s="691"/>
      <c r="E31" s="647"/>
      <c r="F31" s="692"/>
      <c r="G31" s="674" t="s">
        <v>1095</v>
      </c>
    </row>
    <row r="32" spans="1:7" s="627" customFormat="1" ht="16.2">
      <c r="A32" s="693" t="s">
        <v>1096</v>
      </c>
      <c r="B32" s="694"/>
      <c r="C32" s="694"/>
      <c r="D32" s="694"/>
      <c r="E32" s="694"/>
      <c r="F32" s="694"/>
      <c r="G32" s="695"/>
    </row>
    <row r="33" spans="1:7" s="628" customFormat="1" ht="13.5" customHeight="1">
      <c r="A33" s="645" t="s">
        <v>1036</v>
      </c>
      <c r="B33" s="646" t="s">
        <v>1097</v>
      </c>
      <c r="C33" s="696">
        <f ca="1">SUM(C34:C38)</f>
        <v>58</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52</v>
      </c>
      <c r="D34" s="653"/>
      <c r="E34" s="656"/>
      <c r="F34" s="697">
        <f ca="1">IF('数据-取费表'!B24=0,1,IF(B1="",'数据-取费表'!N16,INDIRECT("'数据-取费表'!n"&amp;$G$1)))</f>
        <v>1</v>
      </c>
      <c r="G34" s="655" t="s">
        <v>1099</v>
      </c>
    </row>
    <row r="35" spans="1:7" ht="13.5" customHeight="1">
      <c r="A35" s="677" t="s">
        <v>1042</v>
      </c>
      <c r="B35" s="651" t="s">
        <v>1100</v>
      </c>
      <c r="C35" s="656">
        <f ca="1">ROUND(C34*F35,0)</f>
        <v>3</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2</v>
      </c>
      <c r="D37" s="653">
        <f ca="1">D19</f>
        <v>115.43</v>
      </c>
      <c r="E37" s="689">
        <f>'数据-取费表'!B35</f>
        <v>200</v>
      </c>
      <c r="F37" s="698"/>
      <c r="G37" s="700" t="s">
        <v>1105</v>
      </c>
    </row>
    <row r="38" spans="1:7" ht="13.5" customHeight="1">
      <c r="A38" s="677" t="s">
        <v>1106</v>
      </c>
      <c r="B38" s="651" t="s">
        <v>972</v>
      </c>
      <c r="C38" s="656">
        <f ca="1">ROUND(C34*F38,0)</f>
        <v>1</v>
      </c>
      <c r="D38" s="656"/>
      <c r="E38" s="656"/>
      <c r="F38" s="698">
        <f>'数据-取费表'!B36</f>
        <v>0.02</v>
      </c>
      <c r="G38" s="655" t="s">
        <v>1101</v>
      </c>
    </row>
    <row r="39" spans="1:7" s="628" customFormat="1" ht="13.5" customHeight="1">
      <c r="A39" s="645" t="s">
        <v>1067</v>
      </c>
      <c r="B39" s="646" t="s">
        <v>1070</v>
      </c>
      <c r="C39" s="387">
        <f ca="1">ROUND(C33*F20,0)</f>
        <v>2</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2</v>
      </c>
      <c r="D42" s="392"/>
      <c r="E42" s="392"/>
      <c r="F42" s="679"/>
      <c r="G42" s="3355" t="s">
        <v>1110</v>
      </c>
    </row>
    <row r="43" spans="1:7" ht="13.5" customHeight="1">
      <c r="A43" s="677" t="s">
        <v>1042</v>
      </c>
      <c r="B43" s="651" t="s">
        <v>1080</v>
      </c>
      <c r="C43" s="392">
        <f ca="1">ROUND(IF('数据-取费表'!B22&lt;=1,C39*F22*'数据-取费表'!B21/2,C39*(POWER((1+F22),'数据-取费表'!B21/2)-1)),0)</f>
        <v>0</v>
      </c>
      <c r="D43" s="392"/>
      <c r="E43" s="392"/>
      <c r="F43" s="679"/>
      <c r="G43" s="3356"/>
    </row>
    <row r="44" spans="1:7" ht="13.5" customHeight="1">
      <c r="A44" s="677" t="s">
        <v>1044</v>
      </c>
      <c r="B44" s="651" t="s">
        <v>1082</v>
      </c>
      <c r="C44" s="392">
        <f ca="1">ROUND(IF('数据-取费表'!B22&lt;=1,C40*F22*'数据-取费表'!B21/2,C40*(POWER((1+F22),'数据-取费表'!B21/2)-1)),4)</f>
        <v>5.9999999999999995E-4</v>
      </c>
      <c r="D44" s="392"/>
      <c r="E44" s="392"/>
      <c r="F44" s="679"/>
      <c r="G44" s="3357"/>
    </row>
    <row r="45" spans="1:7" s="628" customFormat="1" ht="13.5" customHeight="1">
      <c r="A45" s="645" t="s">
        <v>1076</v>
      </c>
      <c r="B45" s="684" t="s">
        <v>1087</v>
      </c>
      <c r="C45" s="685">
        <f ca="1">C46</f>
        <v>9</v>
      </c>
      <c r="D45" s="672">
        <f ca="1">C47</f>
        <v>3.0000000000000001E-3</v>
      </c>
      <c r="E45" s="673" t="s">
        <v>1108</v>
      </c>
      <c r="F45" s="686">
        <f ca="1">F27</f>
        <v>0.15</v>
      </c>
      <c r="G45" s="687" t="s">
        <v>1111</v>
      </c>
    </row>
    <row r="46" spans="1:7" s="628" customFormat="1" ht="13.5" customHeight="1">
      <c r="A46" s="677" t="s">
        <v>1040</v>
      </c>
      <c r="B46" s="688" t="s">
        <v>1112</v>
      </c>
      <c r="C46" s="689">
        <f ca="1">ROUND((C33+C39)*F27,0)</f>
        <v>9</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77</v>
      </c>
      <c r="D49" s="387"/>
      <c r="E49" s="387"/>
      <c r="F49" s="703"/>
      <c r="G49" s="674" t="s">
        <v>1116</v>
      </c>
    </row>
    <row r="50" spans="1:7" s="225" customFormat="1" ht="24">
      <c r="A50" s="645" t="s">
        <v>1117</v>
      </c>
      <c r="B50" s="646" t="s">
        <v>1118</v>
      </c>
      <c r="C50" s="387"/>
      <c r="D50" s="387"/>
      <c r="E50" s="387"/>
      <c r="F50" s="703">
        <f>IF('数据-取费表'!B24=0,'数据-取费表'!N16,1)</f>
        <v>0.8</v>
      </c>
      <c r="G50" s="687" t="s">
        <v>1119</v>
      </c>
    </row>
    <row r="51" spans="1:7" ht="16.5" customHeight="1">
      <c r="A51" s="645" t="s">
        <v>1120</v>
      </c>
      <c r="B51" s="646" t="s">
        <v>1121</v>
      </c>
      <c r="C51" s="387">
        <f ca="1">ROUND(C49*F50,0)</f>
        <v>62</v>
      </c>
      <c r="D51" s="387"/>
      <c r="E51" s="387"/>
      <c r="F51" s="703"/>
      <c r="G51" s="674" t="s">
        <v>1122</v>
      </c>
    </row>
    <row r="52" spans="1:7" s="627" customFormat="1" ht="16.2">
      <c r="A52" s="704" t="s">
        <v>1123</v>
      </c>
      <c r="B52" s="705"/>
      <c r="C52" s="706">
        <f ca="1">C31+C51</f>
        <v>64</v>
      </c>
      <c r="D52" s="705"/>
      <c r="E52" s="705"/>
      <c r="F52" s="705"/>
      <c r="G52" s="707"/>
    </row>
    <row r="55" spans="1:7" ht="15">
      <c r="B55" s="511" t="s">
        <v>1124</v>
      </c>
      <c r="C55" s="708"/>
    </row>
    <row r="56" spans="1:7">
      <c r="B56" s="503" t="s">
        <v>1125</v>
      </c>
      <c r="C56" s="514">
        <f ca="1">1-C57</f>
        <v>3.1000000000000028E-2</v>
      </c>
    </row>
    <row r="57" spans="1:7">
      <c r="B57" s="503" t="s">
        <v>1126</v>
      </c>
      <c r="C57" s="513">
        <f ca="1">ROUND(C51/C52,3)</f>
        <v>0.96899999999999997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8" customWidth="1"/>
    <col min="2" max="9" width="10" style="3148" customWidth="1"/>
    <col min="10" max="16384" width="9" style="3148"/>
  </cols>
  <sheetData>
    <row r="36" spans="1:9">
      <c r="A36" s="3147" t="s">
        <v>75</v>
      </c>
      <c r="B36" s="3147" t="s">
        <v>76</v>
      </c>
    </row>
    <row r="37" spans="1:9" ht="27.75" customHeight="1">
      <c r="A37" s="3147"/>
      <c r="B37" s="3173" t="str">
        <f>项目基本情况!B1</f>
        <v>北京市房地产抵押价值预评估</v>
      </c>
      <c r="C37" s="3173"/>
      <c r="D37" s="3173"/>
      <c r="E37" s="3173"/>
      <c r="F37" s="3173"/>
      <c r="G37" s="3173"/>
      <c r="H37" s="3173"/>
      <c r="I37" s="3173"/>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13" sqref="I13"/>
    </sheetView>
  </sheetViews>
  <sheetFormatPr defaultColWidth="6.6640625" defaultRowHeight="13.2"/>
  <cols>
    <col min="1" max="1" width="9.77734375" style="1263" customWidth="1"/>
    <col min="2" max="2" width="25.77734375" style="2124" customWidth="1"/>
    <col min="3" max="3" width="10.33203125" style="2125" customWidth="1"/>
    <col min="4" max="4" width="9.88671875" style="2124" customWidth="1"/>
    <col min="5" max="5" width="9.44140625" style="1263" customWidth="1"/>
    <col min="6" max="6" width="10.109375" style="2124" customWidth="1"/>
    <col min="7" max="7" width="10.77734375" style="2124" customWidth="1"/>
    <col min="8" max="8" width="10" style="2124" customWidth="1"/>
    <col min="9" max="11" width="9.44140625" style="2124" customWidth="1"/>
    <col min="12" max="12" width="9" style="2124" customWidth="1"/>
    <col min="13" max="13" width="10.44140625" style="2124" customWidth="1"/>
    <col min="14" max="254" width="9" style="2124" customWidth="1"/>
    <col min="255" max="16384" width="6.6640625" style="2124"/>
  </cols>
  <sheetData>
    <row r="1" spans="1:33" ht="21">
      <c r="A1" s="633" t="s">
        <v>1133</v>
      </c>
      <c r="B1" s="340"/>
      <c r="C1" s="2126"/>
      <c r="D1" s="2127"/>
      <c r="E1" s="2128"/>
      <c r="F1" s="2128"/>
      <c r="G1" s="2129"/>
      <c r="H1" s="2128"/>
      <c r="I1" s="2128"/>
      <c r="J1" s="2128"/>
      <c r="K1" s="2196">
        <f>MATCH(C1,'数据-取费表'!A6:A16,0)+5</f>
        <v>7</v>
      </c>
    </row>
    <row r="2" spans="1:33" ht="18" customHeight="1">
      <c r="A2" s="637" t="s">
        <v>1031</v>
      </c>
      <c r="B2" s="641">
        <f ca="1">C32</f>
        <v>-2</v>
      </c>
      <c r="C2" s="2130" t="s">
        <v>1134</v>
      </c>
      <c r="D2" s="2130"/>
      <c r="E2" s="2128"/>
      <c r="F2" s="2128"/>
      <c r="G2" s="2128"/>
      <c r="H2" s="2128"/>
      <c r="I2" s="2128"/>
      <c r="J2" s="2128"/>
      <c r="K2" s="2128"/>
    </row>
    <row r="3" spans="1:33" ht="18" customHeight="1">
      <c r="A3" s="640" t="s">
        <v>1033</v>
      </c>
      <c r="B3" s="641">
        <f ca="1">ROUND(B2*10000/IF(C1="",'数据-汇总表'!E3,INDIRECT("'数据-取费表'!K"&amp;$K$1)),0)</f>
        <v>-173</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4.4">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115.43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115.43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2</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2</v>
      </c>
      <c r="D20" s="2153">
        <f ca="1">IF(C1="",'数据-汇总表'!E6,IF(INDIRECT("'数据-取费表'!c"&amp;$K$1)="住宅",INDIRECT("'数据-取费表'!s"&amp;$K$1),INDIRECT("'数据-取费表'!k"&amp;$K$1)+INDIRECT("'数据-取费表'!s"&amp;$K$1)))</f>
        <v>115.43</v>
      </c>
      <c r="E20" s="295">
        <f>'数据-取费表'!B28</f>
        <v>200</v>
      </c>
      <c r="F20" s="2154"/>
      <c r="G20" s="420"/>
      <c r="H20" s="2161"/>
      <c r="I20" s="2161"/>
      <c r="J20" s="2161"/>
      <c r="K20" s="2204"/>
    </row>
    <row r="21" spans="1:33" s="2119" customFormat="1" ht="13.5" customHeight="1">
      <c r="A21" s="2137" t="s">
        <v>941</v>
      </c>
      <c r="B21" s="2162" t="s">
        <v>1165</v>
      </c>
      <c r="C21" s="2163">
        <f ca="1">C16+C17+C18</f>
        <v>2</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0</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0</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-2</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I13" sqref="I13"/>
    </sheetView>
  </sheetViews>
  <sheetFormatPr defaultColWidth="9" defaultRowHeight="13.2"/>
  <cols>
    <col min="1" max="1" width="9" style="225" customWidth="1"/>
    <col min="2" max="2" width="20.6640625" style="226" customWidth="1"/>
    <col min="3" max="3" width="11.88671875" style="226"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227" customWidth="1"/>
    <col min="12" max="12" width="16.33203125" style="225" customWidth="1"/>
    <col min="13" max="13" width="13" style="225" customWidth="1"/>
    <col min="14" max="14" width="13.77734375" style="224" customWidth="1"/>
    <col min="15" max="15" width="5.109375" style="224" customWidth="1"/>
    <col min="16" max="16" width="25.77734375" style="224" customWidth="1"/>
    <col min="17" max="17" width="13.77734375" style="224" customWidth="1"/>
    <col min="18" max="18" width="20.44140625" style="224" customWidth="1"/>
    <col min="19" max="19" width="13.21875" style="224" customWidth="1"/>
    <col min="20" max="37" width="9" style="224"/>
    <col min="38" max="16384" width="9" style="225"/>
  </cols>
  <sheetData>
    <row r="1" spans="1:37" s="222" customFormat="1" ht="21.6">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0" t="s">
        <v>1200</v>
      </c>
      <c r="C6" s="258">
        <f ca="1">ROUND(F6*F8*F7*(1-F9)/10000,0)</f>
        <v>0</v>
      </c>
      <c r="D6" s="259" t="s">
        <v>1201</v>
      </c>
      <c r="E6" s="260" t="s">
        <v>1202</v>
      </c>
      <c r="F6" s="261">
        <f ca="1">INDIRECT("'数据-取费表'!u"&amp;$G$1)</f>
        <v>0</v>
      </c>
      <c r="G6" s="224"/>
      <c r="H6" s="257" t="s">
        <v>941</v>
      </c>
      <c r="I6" s="3360" t="s">
        <v>1200</v>
      </c>
      <c r="J6" s="335">
        <f ca="1">ROUND(M6*M8*M7*(1-M9)/10000,0)</f>
        <v>0</v>
      </c>
      <c r="K6" s="259" t="s">
        <v>1203</v>
      </c>
      <c r="L6" s="260" t="s">
        <v>1202</v>
      </c>
      <c r="M6" s="261">
        <f ca="1">INDIRECT("'数据-取费表'!z"&amp;$G$1)</f>
        <v>0</v>
      </c>
    </row>
    <row r="7" spans="1:37" ht="18" customHeight="1">
      <c r="A7" s="262"/>
      <c r="B7" s="3361"/>
      <c r="C7" s="263"/>
      <c r="D7" s="264"/>
      <c r="E7" s="265" t="s">
        <v>1204</v>
      </c>
      <c r="F7" s="261">
        <f ca="1">IF(INDIRECT("'数据-取费表'!ah"&amp;$G$1)="",INDIRECT("'数据-取费表'!k"&amp;$G$1),INDIRECT("'数据-取费表'!ah"&amp;$G$1))</f>
        <v>0</v>
      </c>
      <c r="G7" s="224"/>
      <c r="H7" s="266"/>
      <c r="I7" s="3361"/>
      <c r="J7" s="267"/>
      <c r="K7" s="264"/>
      <c r="L7" s="260" t="s">
        <v>1204</v>
      </c>
      <c r="M7" s="261">
        <f ca="1">F7</f>
        <v>0</v>
      </c>
    </row>
    <row r="8" spans="1:37" ht="18" customHeight="1">
      <c r="A8" s="266"/>
      <c r="B8" s="3361"/>
      <c r="C8" s="267"/>
      <c r="D8" s="264"/>
      <c r="E8" s="260" t="s">
        <v>1205</v>
      </c>
      <c r="F8" s="261">
        <f ca="1">INDIRECT("'数据-取费表'!ai"&amp;$G$1)</f>
        <v>0</v>
      </c>
      <c r="G8" s="224"/>
      <c r="H8" s="266"/>
      <c r="I8" s="3361"/>
      <c r="J8" s="267"/>
      <c r="K8" s="264"/>
      <c r="L8" s="260" t="s">
        <v>1205</v>
      </c>
      <c r="M8" s="261">
        <f ca="1">INDIRECT("'数据-取费表'!ai"&amp;$G$1)</f>
        <v>0</v>
      </c>
    </row>
    <row r="9" spans="1:37" ht="18" customHeight="1">
      <c r="A9" s="266"/>
      <c r="B9" s="3362"/>
      <c r="C9" s="267"/>
      <c r="D9" s="264"/>
      <c r="E9" s="260" t="s">
        <v>1206</v>
      </c>
      <c r="F9" s="268">
        <f ca="1">INDIRECT("'数据-取费表'!w"&amp;$G$1)</f>
        <v>0</v>
      </c>
      <c r="G9" s="224"/>
      <c r="H9" s="266"/>
      <c r="I9" s="3362"/>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39.6">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36">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58" t="s">
        <v>1324</v>
      </c>
      <c r="L53" s="3359"/>
      <c r="O53" s="448" t="s">
        <v>1149</v>
      </c>
      <c r="P53" s="449" t="s">
        <v>1325</v>
      </c>
      <c r="Q53" s="486" t="e">
        <f ca="1">Q47+Q48</f>
        <v>#DIV/0!</v>
      </c>
      <c r="R53" s="486" t="s">
        <v>1326</v>
      </c>
    </row>
    <row r="54" spans="1:18" s="224" customFormat="1" ht="24">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36">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6">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6">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24">
      <c r="A67" s="385" t="s">
        <v>1259</v>
      </c>
      <c r="B67" s="488" t="s">
        <v>1260</v>
      </c>
      <c r="C67" s="270">
        <f ca="1">C48-C58</f>
        <v>0</v>
      </c>
      <c r="D67" s="399" t="s">
        <v>1261</v>
      </c>
      <c r="E67" s="489"/>
      <c r="F67" s="490"/>
      <c r="O67" s="456" t="s">
        <v>1307</v>
      </c>
      <c r="P67" s="449" t="s">
        <v>1338</v>
      </c>
      <c r="Q67" s="516">
        <f ca="1">L51</f>
        <v>0</v>
      </c>
      <c r="R67" s="486" t="s">
        <v>1355</v>
      </c>
    </row>
    <row r="68" spans="1:18" s="224" customFormat="1" ht="15.6">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6">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I13" sqref="I13"/>
    </sheetView>
  </sheetViews>
  <sheetFormatPr defaultColWidth="9" defaultRowHeight="13.2" customHeight="1"/>
  <cols>
    <col min="1" max="1" width="9.44140625" style="1940" customWidth="1"/>
    <col min="2" max="2" width="8.88671875" style="1940"/>
    <col min="3" max="5" width="12.88671875" style="1940" customWidth="1"/>
    <col min="6" max="6" width="47.44140625" style="1940" customWidth="1"/>
    <col min="7" max="7" width="13" style="1941" customWidth="1"/>
    <col min="8" max="8" width="8.88671875" style="1941"/>
    <col min="9" max="9" width="8.88671875" style="1942"/>
    <col min="10" max="10" width="5.77734375" style="1943" customWidth="1"/>
    <col min="11" max="11" width="11.77734375" style="1943" customWidth="1"/>
    <col min="12" max="13" width="10.77734375" style="1943" customWidth="1"/>
    <col min="14" max="14" width="10" style="1943" customWidth="1"/>
    <col min="15" max="16" width="10.44140625" style="1943" customWidth="1"/>
    <col min="17" max="17" width="10" style="1943" customWidth="1"/>
    <col min="18" max="18" width="10.109375" style="1943" customWidth="1"/>
    <col min="19" max="19" width="10" style="1943" customWidth="1"/>
    <col min="20" max="20" width="26.109375" style="1943" customWidth="1"/>
    <col min="21" max="21" width="8.88671875" style="1943"/>
    <col min="22" max="22" width="8.88671875" style="1942"/>
    <col min="23" max="256" width="8.88671875" style="1940"/>
    <col min="257" max="257" width="9.44140625" style="1940" customWidth="1"/>
    <col min="258" max="258" width="8.88671875" style="1940"/>
    <col min="259" max="261" width="12.88671875" style="1940" customWidth="1"/>
    <col min="262" max="262" width="47.44140625" style="1940" customWidth="1"/>
    <col min="263" max="263" width="13" style="1940" customWidth="1"/>
    <col min="264" max="265" width="8.88671875" style="1940"/>
    <col min="266" max="266" width="5.77734375" style="1940" customWidth="1"/>
    <col min="267" max="267" width="11.77734375" style="1940" customWidth="1"/>
    <col min="268" max="269" width="10.77734375" style="1940" customWidth="1"/>
    <col min="270" max="270" width="10" style="1940" customWidth="1"/>
    <col min="271" max="272" width="10.44140625" style="1940" customWidth="1"/>
    <col min="273" max="273" width="10" style="1940" customWidth="1"/>
    <col min="274" max="274" width="10.109375" style="1940" customWidth="1"/>
    <col min="275" max="275" width="10" style="1940" customWidth="1"/>
    <col min="276" max="276" width="26.109375" style="1940" customWidth="1"/>
    <col min="277" max="512" width="8.88671875" style="1940"/>
    <col min="513" max="513" width="9.44140625" style="1940" customWidth="1"/>
    <col min="514" max="514" width="8.88671875" style="1940"/>
    <col min="515" max="517" width="12.88671875" style="1940" customWidth="1"/>
    <col min="518" max="518" width="47.44140625" style="1940" customWidth="1"/>
    <col min="519" max="519" width="13" style="1940" customWidth="1"/>
    <col min="520" max="521" width="8.88671875" style="1940"/>
    <col min="522" max="522" width="5.77734375" style="1940" customWidth="1"/>
    <col min="523" max="523" width="11.77734375" style="1940" customWidth="1"/>
    <col min="524" max="525" width="10.77734375" style="1940" customWidth="1"/>
    <col min="526" max="526" width="10" style="1940" customWidth="1"/>
    <col min="527" max="528" width="10.44140625" style="1940" customWidth="1"/>
    <col min="529" max="529" width="10" style="1940" customWidth="1"/>
    <col min="530" max="530" width="10.109375" style="1940" customWidth="1"/>
    <col min="531" max="531" width="10" style="1940" customWidth="1"/>
    <col min="532" max="532" width="26.109375" style="1940" customWidth="1"/>
    <col min="533" max="768" width="8.88671875" style="1940"/>
    <col min="769" max="769" width="9.44140625" style="1940" customWidth="1"/>
    <col min="770" max="770" width="8.88671875" style="1940"/>
    <col min="771" max="773" width="12.88671875" style="1940" customWidth="1"/>
    <col min="774" max="774" width="47.44140625" style="1940" customWidth="1"/>
    <col min="775" max="775" width="13" style="1940" customWidth="1"/>
    <col min="776" max="777" width="8.88671875" style="1940"/>
    <col min="778" max="778" width="5.77734375" style="1940" customWidth="1"/>
    <col min="779" max="779" width="11.77734375" style="1940" customWidth="1"/>
    <col min="780" max="781" width="10.77734375" style="1940" customWidth="1"/>
    <col min="782" max="782" width="10" style="1940" customWidth="1"/>
    <col min="783" max="784" width="10.44140625" style="1940" customWidth="1"/>
    <col min="785" max="785" width="10" style="1940" customWidth="1"/>
    <col min="786" max="786" width="10.109375" style="1940" customWidth="1"/>
    <col min="787" max="787" width="10" style="1940" customWidth="1"/>
    <col min="788" max="788" width="26.109375" style="1940" customWidth="1"/>
    <col min="789" max="1024" width="8.88671875" style="1940"/>
    <col min="1025" max="1025" width="9.44140625" style="1940" customWidth="1"/>
    <col min="1026" max="1026" width="8.88671875" style="1940"/>
    <col min="1027" max="1029" width="12.88671875" style="1940" customWidth="1"/>
    <col min="1030" max="1030" width="47.44140625" style="1940" customWidth="1"/>
    <col min="1031" max="1031" width="13" style="1940" customWidth="1"/>
    <col min="1032" max="1033" width="8.88671875" style="1940"/>
    <col min="1034" max="1034" width="5.77734375" style="1940" customWidth="1"/>
    <col min="1035" max="1035" width="11.77734375" style="1940" customWidth="1"/>
    <col min="1036" max="1037" width="10.77734375" style="1940" customWidth="1"/>
    <col min="1038" max="1038" width="10" style="1940" customWidth="1"/>
    <col min="1039" max="1040" width="10.44140625" style="1940" customWidth="1"/>
    <col min="1041" max="1041" width="10" style="1940" customWidth="1"/>
    <col min="1042" max="1042" width="10.109375" style="1940" customWidth="1"/>
    <col min="1043" max="1043" width="10" style="1940" customWidth="1"/>
    <col min="1044" max="1044" width="26.109375" style="1940" customWidth="1"/>
    <col min="1045" max="1280" width="8.88671875" style="1940"/>
    <col min="1281" max="1281" width="9.44140625" style="1940" customWidth="1"/>
    <col min="1282" max="1282" width="8.88671875" style="1940"/>
    <col min="1283" max="1285" width="12.88671875" style="1940" customWidth="1"/>
    <col min="1286" max="1286" width="47.44140625" style="1940" customWidth="1"/>
    <col min="1287" max="1287" width="13" style="1940" customWidth="1"/>
    <col min="1288" max="1289" width="8.88671875" style="1940"/>
    <col min="1290" max="1290" width="5.77734375" style="1940" customWidth="1"/>
    <col min="1291" max="1291" width="11.77734375" style="1940" customWidth="1"/>
    <col min="1292" max="1293" width="10.77734375" style="1940" customWidth="1"/>
    <col min="1294" max="1294" width="10" style="1940" customWidth="1"/>
    <col min="1295" max="1296" width="10.44140625" style="1940" customWidth="1"/>
    <col min="1297" max="1297" width="10" style="1940" customWidth="1"/>
    <col min="1298" max="1298" width="10.109375" style="1940" customWidth="1"/>
    <col min="1299" max="1299" width="10" style="1940" customWidth="1"/>
    <col min="1300" max="1300" width="26.109375" style="1940" customWidth="1"/>
    <col min="1301" max="1536" width="8.88671875" style="1940"/>
    <col min="1537" max="1537" width="9.44140625" style="1940" customWidth="1"/>
    <col min="1538" max="1538" width="8.88671875" style="1940"/>
    <col min="1539" max="1541" width="12.88671875" style="1940" customWidth="1"/>
    <col min="1542" max="1542" width="47.44140625" style="1940" customWidth="1"/>
    <col min="1543" max="1543" width="13" style="1940" customWidth="1"/>
    <col min="1544" max="1545" width="8.88671875" style="1940"/>
    <col min="1546" max="1546" width="5.77734375" style="1940" customWidth="1"/>
    <col min="1547" max="1547" width="11.77734375" style="1940" customWidth="1"/>
    <col min="1548" max="1549" width="10.77734375" style="1940" customWidth="1"/>
    <col min="1550" max="1550" width="10" style="1940" customWidth="1"/>
    <col min="1551" max="1552" width="10.44140625" style="1940" customWidth="1"/>
    <col min="1553" max="1553" width="10" style="1940" customWidth="1"/>
    <col min="1554" max="1554" width="10.109375" style="1940" customWidth="1"/>
    <col min="1555" max="1555" width="10" style="1940" customWidth="1"/>
    <col min="1556" max="1556" width="26.109375" style="1940" customWidth="1"/>
    <col min="1557" max="1792" width="8.88671875" style="1940"/>
    <col min="1793" max="1793" width="9.44140625" style="1940" customWidth="1"/>
    <col min="1794" max="1794" width="8.88671875" style="1940"/>
    <col min="1795" max="1797" width="12.88671875" style="1940" customWidth="1"/>
    <col min="1798" max="1798" width="47.44140625" style="1940" customWidth="1"/>
    <col min="1799" max="1799" width="13" style="1940" customWidth="1"/>
    <col min="1800" max="1801" width="8.88671875" style="1940"/>
    <col min="1802" max="1802" width="5.77734375" style="1940" customWidth="1"/>
    <col min="1803" max="1803" width="11.77734375" style="1940" customWidth="1"/>
    <col min="1804" max="1805" width="10.77734375" style="1940" customWidth="1"/>
    <col min="1806" max="1806" width="10" style="1940" customWidth="1"/>
    <col min="1807" max="1808" width="10.44140625" style="1940" customWidth="1"/>
    <col min="1809" max="1809" width="10" style="1940" customWidth="1"/>
    <col min="1810" max="1810" width="10.109375" style="1940" customWidth="1"/>
    <col min="1811" max="1811" width="10" style="1940" customWidth="1"/>
    <col min="1812" max="1812" width="26.109375" style="1940" customWidth="1"/>
    <col min="1813" max="2048" width="8.88671875" style="1940"/>
    <col min="2049" max="2049" width="9.44140625" style="1940" customWidth="1"/>
    <col min="2050" max="2050" width="8.88671875" style="1940"/>
    <col min="2051" max="2053" width="12.88671875" style="1940" customWidth="1"/>
    <col min="2054" max="2054" width="47.44140625" style="1940" customWidth="1"/>
    <col min="2055" max="2055" width="13" style="1940" customWidth="1"/>
    <col min="2056" max="2057" width="8.88671875" style="1940"/>
    <col min="2058" max="2058" width="5.77734375" style="1940" customWidth="1"/>
    <col min="2059" max="2059" width="11.77734375" style="1940" customWidth="1"/>
    <col min="2060" max="2061" width="10.77734375" style="1940" customWidth="1"/>
    <col min="2062" max="2062" width="10" style="1940" customWidth="1"/>
    <col min="2063" max="2064" width="10.44140625" style="1940" customWidth="1"/>
    <col min="2065" max="2065" width="10" style="1940" customWidth="1"/>
    <col min="2066" max="2066" width="10.109375" style="1940" customWidth="1"/>
    <col min="2067" max="2067" width="10" style="1940" customWidth="1"/>
    <col min="2068" max="2068" width="26.109375" style="1940" customWidth="1"/>
    <col min="2069" max="2304" width="8.88671875" style="1940"/>
    <col min="2305" max="2305" width="9.44140625" style="1940" customWidth="1"/>
    <col min="2306" max="2306" width="8.88671875" style="1940"/>
    <col min="2307" max="2309" width="12.88671875" style="1940" customWidth="1"/>
    <col min="2310" max="2310" width="47.44140625" style="1940" customWidth="1"/>
    <col min="2311" max="2311" width="13" style="1940" customWidth="1"/>
    <col min="2312" max="2313" width="8.88671875" style="1940"/>
    <col min="2314" max="2314" width="5.77734375" style="1940" customWidth="1"/>
    <col min="2315" max="2315" width="11.77734375" style="1940" customWidth="1"/>
    <col min="2316" max="2317" width="10.77734375" style="1940" customWidth="1"/>
    <col min="2318" max="2318" width="10" style="1940" customWidth="1"/>
    <col min="2319" max="2320" width="10.44140625" style="1940" customWidth="1"/>
    <col min="2321" max="2321" width="10" style="1940" customWidth="1"/>
    <col min="2322" max="2322" width="10.109375" style="1940" customWidth="1"/>
    <col min="2323" max="2323" width="10" style="1940" customWidth="1"/>
    <col min="2324" max="2324" width="26.109375" style="1940" customWidth="1"/>
    <col min="2325" max="2560" width="8.88671875" style="1940"/>
    <col min="2561" max="2561" width="9.44140625" style="1940" customWidth="1"/>
    <col min="2562" max="2562" width="8.88671875" style="1940"/>
    <col min="2563" max="2565" width="12.88671875" style="1940" customWidth="1"/>
    <col min="2566" max="2566" width="47.44140625" style="1940" customWidth="1"/>
    <col min="2567" max="2567" width="13" style="1940" customWidth="1"/>
    <col min="2568" max="2569" width="8.88671875" style="1940"/>
    <col min="2570" max="2570" width="5.77734375" style="1940" customWidth="1"/>
    <col min="2571" max="2571" width="11.77734375" style="1940" customWidth="1"/>
    <col min="2572" max="2573" width="10.77734375" style="1940" customWidth="1"/>
    <col min="2574" max="2574" width="10" style="1940" customWidth="1"/>
    <col min="2575" max="2576" width="10.44140625" style="1940" customWidth="1"/>
    <col min="2577" max="2577" width="10" style="1940" customWidth="1"/>
    <col min="2578" max="2578" width="10.109375" style="1940" customWidth="1"/>
    <col min="2579" max="2579" width="10" style="1940" customWidth="1"/>
    <col min="2580" max="2580" width="26.109375" style="1940" customWidth="1"/>
    <col min="2581" max="2816" width="8.88671875" style="1940"/>
    <col min="2817" max="2817" width="9.44140625" style="1940" customWidth="1"/>
    <col min="2818" max="2818" width="8.88671875" style="1940"/>
    <col min="2819" max="2821" width="12.88671875" style="1940" customWidth="1"/>
    <col min="2822" max="2822" width="47.44140625" style="1940" customWidth="1"/>
    <col min="2823" max="2823" width="13" style="1940" customWidth="1"/>
    <col min="2824" max="2825" width="8.88671875" style="1940"/>
    <col min="2826" max="2826" width="5.77734375" style="1940" customWidth="1"/>
    <col min="2827" max="2827" width="11.77734375" style="1940" customWidth="1"/>
    <col min="2828" max="2829" width="10.77734375" style="1940" customWidth="1"/>
    <col min="2830" max="2830" width="10" style="1940" customWidth="1"/>
    <col min="2831" max="2832" width="10.44140625" style="1940" customWidth="1"/>
    <col min="2833" max="2833" width="10" style="1940" customWidth="1"/>
    <col min="2834" max="2834" width="10.109375" style="1940" customWidth="1"/>
    <col min="2835" max="2835" width="10" style="1940" customWidth="1"/>
    <col min="2836" max="2836" width="26.109375" style="1940" customWidth="1"/>
    <col min="2837" max="3072" width="8.88671875" style="1940"/>
    <col min="3073" max="3073" width="9.44140625" style="1940" customWidth="1"/>
    <col min="3074" max="3074" width="8.88671875" style="1940"/>
    <col min="3075" max="3077" width="12.88671875" style="1940" customWidth="1"/>
    <col min="3078" max="3078" width="47.44140625" style="1940" customWidth="1"/>
    <col min="3079" max="3079" width="13" style="1940" customWidth="1"/>
    <col min="3080" max="3081" width="8.88671875" style="1940"/>
    <col min="3082" max="3082" width="5.77734375" style="1940" customWidth="1"/>
    <col min="3083" max="3083" width="11.77734375" style="1940" customWidth="1"/>
    <col min="3084" max="3085" width="10.77734375" style="1940" customWidth="1"/>
    <col min="3086" max="3086" width="10" style="1940" customWidth="1"/>
    <col min="3087" max="3088" width="10.44140625" style="1940" customWidth="1"/>
    <col min="3089" max="3089" width="10" style="1940" customWidth="1"/>
    <col min="3090" max="3090" width="10.109375" style="1940" customWidth="1"/>
    <col min="3091" max="3091" width="10" style="1940" customWidth="1"/>
    <col min="3092" max="3092" width="26.109375" style="1940" customWidth="1"/>
    <col min="3093" max="3328" width="8.88671875" style="1940"/>
    <col min="3329" max="3329" width="9.44140625" style="1940" customWidth="1"/>
    <col min="3330" max="3330" width="8.88671875" style="1940"/>
    <col min="3331" max="3333" width="12.88671875" style="1940" customWidth="1"/>
    <col min="3334" max="3334" width="47.44140625" style="1940" customWidth="1"/>
    <col min="3335" max="3335" width="13" style="1940" customWidth="1"/>
    <col min="3336" max="3337" width="8.88671875" style="1940"/>
    <col min="3338" max="3338" width="5.77734375" style="1940" customWidth="1"/>
    <col min="3339" max="3339" width="11.77734375" style="1940" customWidth="1"/>
    <col min="3340" max="3341" width="10.77734375" style="1940" customWidth="1"/>
    <col min="3342" max="3342" width="10" style="1940" customWidth="1"/>
    <col min="3343" max="3344" width="10.44140625" style="1940" customWidth="1"/>
    <col min="3345" max="3345" width="10" style="1940" customWidth="1"/>
    <col min="3346" max="3346" width="10.109375" style="1940" customWidth="1"/>
    <col min="3347" max="3347" width="10" style="1940" customWidth="1"/>
    <col min="3348" max="3348" width="26.109375" style="1940" customWidth="1"/>
    <col min="3349" max="3584" width="8.88671875" style="1940"/>
    <col min="3585" max="3585" width="9.44140625" style="1940" customWidth="1"/>
    <col min="3586" max="3586" width="8.88671875" style="1940"/>
    <col min="3587" max="3589" width="12.88671875" style="1940" customWidth="1"/>
    <col min="3590" max="3590" width="47.44140625" style="1940" customWidth="1"/>
    <col min="3591" max="3591" width="13" style="1940" customWidth="1"/>
    <col min="3592" max="3593" width="8.88671875" style="1940"/>
    <col min="3594" max="3594" width="5.77734375" style="1940" customWidth="1"/>
    <col min="3595" max="3595" width="11.77734375" style="1940" customWidth="1"/>
    <col min="3596" max="3597" width="10.77734375" style="1940" customWidth="1"/>
    <col min="3598" max="3598" width="10" style="1940" customWidth="1"/>
    <col min="3599" max="3600" width="10.44140625" style="1940" customWidth="1"/>
    <col min="3601" max="3601" width="10" style="1940" customWidth="1"/>
    <col min="3602" max="3602" width="10.109375" style="1940" customWidth="1"/>
    <col min="3603" max="3603" width="10" style="1940" customWidth="1"/>
    <col min="3604" max="3604" width="26.109375" style="1940" customWidth="1"/>
    <col min="3605" max="3840" width="8.88671875" style="1940"/>
    <col min="3841" max="3841" width="9.44140625" style="1940" customWidth="1"/>
    <col min="3842" max="3842" width="8.88671875" style="1940"/>
    <col min="3843" max="3845" width="12.88671875" style="1940" customWidth="1"/>
    <col min="3846" max="3846" width="47.44140625" style="1940" customWidth="1"/>
    <col min="3847" max="3847" width="13" style="1940" customWidth="1"/>
    <col min="3848" max="3849" width="8.88671875" style="1940"/>
    <col min="3850" max="3850" width="5.77734375" style="1940" customWidth="1"/>
    <col min="3851" max="3851" width="11.77734375" style="1940" customWidth="1"/>
    <col min="3852" max="3853" width="10.77734375" style="1940" customWidth="1"/>
    <col min="3854" max="3854" width="10" style="1940" customWidth="1"/>
    <col min="3855" max="3856" width="10.44140625" style="1940" customWidth="1"/>
    <col min="3857" max="3857" width="10" style="1940" customWidth="1"/>
    <col min="3858" max="3858" width="10.109375" style="1940" customWidth="1"/>
    <col min="3859" max="3859" width="10" style="1940" customWidth="1"/>
    <col min="3860" max="3860" width="26.109375" style="1940" customWidth="1"/>
    <col min="3861" max="4096" width="8.88671875" style="1940"/>
    <col min="4097" max="4097" width="9.44140625" style="1940" customWidth="1"/>
    <col min="4098" max="4098" width="8.88671875" style="1940"/>
    <col min="4099" max="4101" width="12.88671875" style="1940" customWidth="1"/>
    <col min="4102" max="4102" width="47.44140625" style="1940" customWidth="1"/>
    <col min="4103" max="4103" width="13" style="1940" customWidth="1"/>
    <col min="4104" max="4105" width="8.88671875" style="1940"/>
    <col min="4106" max="4106" width="5.77734375" style="1940" customWidth="1"/>
    <col min="4107" max="4107" width="11.77734375" style="1940" customWidth="1"/>
    <col min="4108" max="4109" width="10.77734375" style="1940" customWidth="1"/>
    <col min="4110" max="4110" width="10" style="1940" customWidth="1"/>
    <col min="4111" max="4112" width="10.44140625" style="1940" customWidth="1"/>
    <col min="4113" max="4113" width="10" style="1940" customWidth="1"/>
    <col min="4114" max="4114" width="10.109375" style="1940" customWidth="1"/>
    <col min="4115" max="4115" width="10" style="1940" customWidth="1"/>
    <col min="4116" max="4116" width="26.109375" style="1940" customWidth="1"/>
    <col min="4117" max="4352" width="8.88671875" style="1940"/>
    <col min="4353" max="4353" width="9.44140625" style="1940" customWidth="1"/>
    <col min="4354" max="4354" width="8.88671875" style="1940"/>
    <col min="4355" max="4357" width="12.88671875" style="1940" customWidth="1"/>
    <col min="4358" max="4358" width="47.44140625" style="1940" customWidth="1"/>
    <col min="4359" max="4359" width="13" style="1940" customWidth="1"/>
    <col min="4360" max="4361" width="8.88671875" style="1940"/>
    <col min="4362" max="4362" width="5.77734375" style="1940" customWidth="1"/>
    <col min="4363" max="4363" width="11.77734375" style="1940" customWidth="1"/>
    <col min="4364" max="4365" width="10.77734375" style="1940" customWidth="1"/>
    <col min="4366" max="4366" width="10" style="1940" customWidth="1"/>
    <col min="4367" max="4368" width="10.44140625" style="1940" customWidth="1"/>
    <col min="4369" max="4369" width="10" style="1940" customWidth="1"/>
    <col min="4370" max="4370" width="10.109375" style="1940" customWidth="1"/>
    <col min="4371" max="4371" width="10" style="1940" customWidth="1"/>
    <col min="4372" max="4372" width="26.109375" style="1940" customWidth="1"/>
    <col min="4373" max="4608" width="8.88671875" style="1940"/>
    <col min="4609" max="4609" width="9.44140625" style="1940" customWidth="1"/>
    <col min="4610" max="4610" width="8.88671875" style="1940"/>
    <col min="4611" max="4613" width="12.88671875" style="1940" customWidth="1"/>
    <col min="4614" max="4614" width="47.44140625" style="1940" customWidth="1"/>
    <col min="4615" max="4615" width="13" style="1940" customWidth="1"/>
    <col min="4616" max="4617" width="8.88671875" style="1940"/>
    <col min="4618" max="4618" width="5.77734375" style="1940" customWidth="1"/>
    <col min="4619" max="4619" width="11.77734375" style="1940" customWidth="1"/>
    <col min="4620" max="4621" width="10.77734375" style="1940" customWidth="1"/>
    <col min="4622" max="4622" width="10" style="1940" customWidth="1"/>
    <col min="4623" max="4624" width="10.44140625" style="1940" customWidth="1"/>
    <col min="4625" max="4625" width="10" style="1940" customWidth="1"/>
    <col min="4626" max="4626" width="10.109375" style="1940" customWidth="1"/>
    <col min="4627" max="4627" width="10" style="1940" customWidth="1"/>
    <col min="4628" max="4628" width="26.109375" style="1940" customWidth="1"/>
    <col min="4629" max="4864" width="8.88671875" style="1940"/>
    <col min="4865" max="4865" width="9.44140625" style="1940" customWidth="1"/>
    <col min="4866" max="4866" width="8.88671875" style="1940"/>
    <col min="4867" max="4869" width="12.88671875" style="1940" customWidth="1"/>
    <col min="4870" max="4870" width="47.44140625" style="1940" customWidth="1"/>
    <col min="4871" max="4871" width="13" style="1940" customWidth="1"/>
    <col min="4872" max="4873" width="8.88671875" style="1940"/>
    <col min="4874" max="4874" width="5.77734375" style="1940" customWidth="1"/>
    <col min="4875" max="4875" width="11.77734375" style="1940" customWidth="1"/>
    <col min="4876" max="4877" width="10.77734375" style="1940" customWidth="1"/>
    <col min="4878" max="4878" width="10" style="1940" customWidth="1"/>
    <col min="4879" max="4880" width="10.44140625" style="1940" customWidth="1"/>
    <col min="4881" max="4881" width="10" style="1940" customWidth="1"/>
    <col min="4882" max="4882" width="10.109375" style="1940" customWidth="1"/>
    <col min="4883" max="4883" width="10" style="1940" customWidth="1"/>
    <col min="4884" max="4884" width="26.109375" style="1940" customWidth="1"/>
    <col min="4885" max="5120" width="8.88671875" style="1940"/>
    <col min="5121" max="5121" width="9.44140625" style="1940" customWidth="1"/>
    <col min="5122" max="5122" width="8.88671875" style="1940"/>
    <col min="5123" max="5125" width="12.88671875" style="1940" customWidth="1"/>
    <col min="5126" max="5126" width="47.44140625" style="1940" customWidth="1"/>
    <col min="5127" max="5127" width="13" style="1940" customWidth="1"/>
    <col min="5128" max="5129" width="8.88671875" style="1940"/>
    <col min="5130" max="5130" width="5.77734375" style="1940" customWidth="1"/>
    <col min="5131" max="5131" width="11.77734375" style="1940" customWidth="1"/>
    <col min="5132" max="5133" width="10.77734375" style="1940" customWidth="1"/>
    <col min="5134" max="5134" width="10" style="1940" customWidth="1"/>
    <col min="5135" max="5136" width="10.44140625" style="1940" customWidth="1"/>
    <col min="5137" max="5137" width="10" style="1940" customWidth="1"/>
    <col min="5138" max="5138" width="10.109375" style="1940" customWidth="1"/>
    <col min="5139" max="5139" width="10" style="1940" customWidth="1"/>
    <col min="5140" max="5140" width="26.109375" style="1940" customWidth="1"/>
    <col min="5141" max="5376" width="8.88671875" style="1940"/>
    <col min="5377" max="5377" width="9.44140625" style="1940" customWidth="1"/>
    <col min="5378" max="5378" width="8.88671875" style="1940"/>
    <col min="5379" max="5381" width="12.88671875" style="1940" customWidth="1"/>
    <col min="5382" max="5382" width="47.44140625" style="1940" customWidth="1"/>
    <col min="5383" max="5383" width="13" style="1940" customWidth="1"/>
    <col min="5384" max="5385" width="8.88671875" style="1940"/>
    <col min="5386" max="5386" width="5.77734375" style="1940" customWidth="1"/>
    <col min="5387" max="5387" width="11.77734375" style="1940" customWidth="1"/>
    <col min="5388" max="5389" width="10.77734375" style="1940" customWidth="1"/>
    <col min="5390" max="5390" width="10" style="1940" customWidth="1"/>
    <col min="5391" max="5392" width="10.44140625" style="1940" customWidth="1"/>
    <col min="5393" max="5393" width="10" style="1940" customWidth="1"/>
    <col min="5394" max="5394" width="10.109375" style="1940" customWidth="1"/>
    <col min="5395" max="5395" width="10" style="1940" customWidth="1"/>
    <col min="5396" max="5396" width="26.109375" style="1940" customWidth="1"/>
    <col min="5397" max="5632" width="8.88671875" style="1940"/>
    <col min="5633" max="5633" width="9.44140625" style="1940" customWidth="1"/>
    <col min="5634" max="5634" width="8.88671875" style="1940"/>
    <col min="5635" max="5637" width="12.88671875" style="1940" customWidth="1"/>
    <col min="5638" max="5638" width="47.44140625" style="1940" customWidth="1"/>
    <col min="5639" max="5639" width="13" style="1940" customWidth="1"/>
    <col min="5640" max="5641" width="8.88671875" style="1940"/>
    <col min="5642" max="5642" width="5.77734375" style="1940" customWidth="1"/>
    <col min="5643" max="5643" width="11.77734375" style="1940" customWidth="1"/>
    <col min="5644" max="5645" width="10.77734375" style="1940" customWidth="1"/>
    <col min="5646" max="5646" width="10" style="1940" customWidth="1"/>
    <col min="5647" max="5648" width="10.44140625" style="1940" customWidth="1"/>
    <col min="5649" max="5649" width="10" style="1940" customWidth="1"/>
    <col min="5650" max="5650" width="10.109375" style="1940" customWidth="1"/>
    <col min="5651" max="5651" width="10" style="1940" customWidth="1"/>
    <col min="5652" max="5652" width="26.109375" style="1940" customWidth="1"/>
    <col min="5653" max="5888" width="8.88671875" style="1940"/>
    <col min="5889" max="5889" width="9.44140625" style="1940" customWidth="1"/>
    <col min="5890" max="5890" width="8.88671875" style="1940"/>
    <col min="5891" max="5893" width="12.88671875" style="1940" customWidth="1"/>
    <col min="5894" max="5894" width="47.44140625" style="1940" customWidth="1"/>
    <col min="5895" max="5895" width="13" style="1940" customWidth="1"/>
    <col min="5896" max="5897" width="8.88671875" style="1940"/>
    <col min="5898" max="5898" width="5.77734375" style="1940" customWidth="1"/>
    <col min="5899" max="5899" width="11.77734375" style="1940" customWidth="1"/>
    <col min="5900" max="5901" width="10.77734375" style="1940" customWidth="1"/>
    <col min="5902" max="5902" width="10" style="1940" customWidth="1"/>
    <col min="5903" max="5904" width="10.44140625" style="1940" customWidth="1"/>
    <col min="5905" max="5905" width="10" style="1940" customWidth="1"/>
    <col min="5906" max="5906" width="10.109375" style="1940" customWidth="1"/>
    <col min="5907" max="5907" width="10" style="1940" customWidth="1"/>
    <col min="5908" max="5908" width="26.109375" style="1940" customWidth="1"/>
    <col min="5909" max="6144" width="8.88671875" style="1940"/>
    <col min="6145" max="6145" width="9.44140625" style="1940" customWidth="1"/>
    <col min="6146" max="6146" width="8.88671875" style="1940"/>
    <col min="6147" max="6149" width="12.88671875" style="1940" customWidth="1"/>
    <col min="6150" max="6150" width="47.44140625" style="1940" customWidth="1"/>
    <col min="6151" max="6151" width="13" style="1940" customWidth="1"/>
    <col min="6152" max="6153" width="8.88671875" style="1940"/>
    <col min="6154" max="6154" width="5.77734375" style="1940" customWidth="1"/>
    <col min="6155" max="6155" width="11.77734375" style="1940" customWidth="1"/>
    <col min="6156" max="6157" width="10.77734375" style="1940" customWidth="1"/>
    <col min="6158" max="6158" width="10" style="1940" customWidth="1"/>
    <col min="6159" max="6160" width="10.44140625" style="1940" customWidth="1"/>
    <col min="6161" max="6161" width="10" style="1940" customWidth="1"/>
    <col min="6162" max="6162" width="10.109375" style="1940" customWidth="1"/>
    <col min="6163" max="6163" width="10" style="1940" customWidth="1"/>
    <col min="6164" max="6164" width="26.109375" style="1940" customWidth="1"/>
    <col min="6165" max="6400" width="8.88671875" style="1940"/>
    <col min="6401" max="6401" width="9.44140625" style="1940" customWidth="1"/>
    <col min="6402" max="6402" width="8.88671875" style="1940"/>
    <col min="6403" max="6405" width="12.88671875" style="1940" customWidth="1"/>
    <col min="6406" max="6406" width="47.44140625" style="1940" customWidth="1"/>
    <col min="6407" max="6407" width="13" style="1940" customWidth="1"/>
    <col min="6408" max="6409" width="8.88671875" style="1940"/>
    <col min="6410" max="6410" width="5.77734375" style="1940" customWidth="1"/>
    <col min="6411" max="6411" width="11.77734375" style="1940" customWidth="1"/>
    <col min="6412" max="6413" width="10.77734375" style="1940" customWidth="1"/>
    <col min="6414" max="6414" width="10" style="1940" customWidth="1"/>
    <col min="6415" max="6416" width="10.44140625" style="1940" customWidth="1"/>
    <col min="6417" max="6417" width="10" style="1940" customWidth="1"/>
    <col min="6418" max="6418" width="10.109375" style="1940" customWidth="1"/>
    <col min="6419" max="6419" width="10" style="1940" customWidth="1"/>
    <col min="6420" max="6420" width="26.109375" style="1940" customWidth="1"/>
    <col min="6421" max="6656" width="8.88671875" style="1940"/>
    <col min="6657" max="6657" width="9.44140625" style="1940" customWidth="1"/>
    <col min="6658" max="6658" width="8.88671875" style="1940"/>
    <col min="6659" max="6661" width="12.88671875" style="1940" customWidth="1"/>
    <col min="6662" max="6662" width="47.44140625" style="1940" customWidth="1"/>
    <col min="6663" max="6663" width="13" style="1940" customWidth="1"/>
    <col min="6664" max="6665" width="8.88671875" style="1940"/>
    <col min="6666" max="6666" width="5.77734375" style="1940" customWidth="1"/>
    <col min="6667" max="6667" width="11.77734375" style="1940" customWidth="1"/>
    <col min="6668" max="6669" width="10.77734375" style="1940" customWidth="1"/>
    <col min="6670" max="6670" width="10" style="1940" customWidth="1"/>
    <col min="6671" max="6672" width="10.44140625" style="1940" customWidth="1"/>
    <col min="6673" max="6673" width="10" style="1940" customWidth="1"/>
    <col min="6674" max="6674" width="10.109375" style="1940" customWidth="1"/>
    <col min="6675" max="6675" width="10" style="1940" customWidth="1"/>
    <col min="6676" max="6676" width="26.109375" style="1940" customWidth="1"/>
    <col min="6677" max="6912" width="8.88671875" style="1940"/>
    <col min="6913" max="6913" width="9.44140625" style="1940" customWidth="1"/>
    <col min="6914" max="6914" width="8.88671875" style="1940"/>
    <col min="6915" max="6917" width="12.88671875" style="1940" customWidth="1"/>
    <col min="6918" max="6918" width="47.44140625" style="1940" customWidth="1"/>
    <col min="6919" max="6919" width="13" style="1940" customWidth="1"/>
    <col min="6920" max="6921" width="8.88671875" style="1940"/>
    <col min="6922" max="6922" width="5.77734375" style="1940" customWidth="1"/>
    <col min="6923" max="6923" width="11.77734375" style="1940" customWidth="1"/>
    <col min="6924" max="6925" width="10.77734375" style="1940" customWidth="1"/>
    <col min="6926" max="6926" width="10" style="1940" customWidth="1"/>
    <col min="6927" max="6928" width="10.44140625" style="1940" customWidth="1"/>
    <col min="6929" max="6929" width="10" style="1940" customWidth="1"/>
    <col min="6930" max="6930" width="10.109375" style="1940" customWidth="1"/>
    <col min="6931" max="6931" width="10" style="1940" customWidth="1"/>
    <col min="6932" max="6932" width="26.109375" style="1940" customWidth="1"/>
    <col min="6933" max="7168" width="8.88671875" style="1940"/>
    <col min="7169" max="7169" width="9.44140625" style="1940" customWidth="1"/>
    <col min="7170" max="7170" width="8.88671875" style="1940"/>
    <col min="7171" max="7173" width="12.88671875" style="1940" customWidth="1"/>
    <col min="7174" max="7174" width="47.44140625" style="1940" customWidth="1"/>
    <col min="7175" max="7175" width="13" style="1940" customWidth="1"/>
    <col min="7176" max="7177" width="8.88671875" style="1940"/>
    <col min="7178" max="7178" width="5.77734375" style="1940" customWidth="1"/>
    <col min="7179" max="7179" width="11.77734375" style="1940" customWidth="1"/>
    <col min="7180" max="7181" width="10.77734375" style="1940" customWidth="1"/>
    <col min="7182" max="7182" width="10" style="1940" customWidth="1"/>
    <col min="7183" max="7184" width="10.44140625" style="1940" customWidth="1"/>
    <col min="7185" max="7185" width="10" style="1940" customWidth="1"/>
    <col min="7186" max="7186" width="10.109375" style="1940" customWidth="1"/>
    <col min="7187" max="7187" width="10" style="1940" customWidth="1"/>
    <col min="7188" max="7188" width="26.109375" style="1940" customWidth="1"/>
    <col min="7189" max="7424" width="8.88671875" style="1940"/>
    <col min="7425" max="7425" width="9.44140625" style="1940" customWidth="1"/>
    <col min="7426" max="7426" width="8.88671875" style="1940"/>
    <col min="7427" max="7429" width="12.88671875" style="1940" customWidth="1"/>
    <col min="7430" max="7430" width="47.44140625" style="1940" customWidth="1"/>
    <col min="7431" max="7431" width="13" style="1940" customWidth="1"/>
    <col min="7432" max="7433" width="8.88671875" style="1940"/>
    <col min="7434" max="7434" width="5.77734375" style="1940" customWidth="1"/>
    <col min="7435" max="7435" width="11.77734375" style="1940" customWidth="1"/>
    <col min="7436" max="7437" width="10.77734375" style="1940" customWidth="1"/>
    <col min="7438" max="7438" width="10" style="1940" customWidth="1"/>
    <col min="7439" max="7440" width="10.44140625" style="1940" customWidth="1"/>
    <col min="7441" max="7441" width="10" style="1940" customWidth="1"/>
    <col min="7442" max="7442" width="10.109375" style="1940" customWidth="1"/>
    <col min="7443" max="7443" width="10" style="1940" customWidth="1"/>
    <col min="7444" max="7444" width="26.109375" style="1940" customWidth="1"/>
    <col min="7445" max="7680" width="8.88671875" style="1940"/>
    <col min="7681" max="7681" width="9.44140625" style="1940" customWidth="1"/>
    <col min="7682" max="7682" width="8.88671875" style="1940"/>
    <col min="7683" max="7685" width="12.88671875" style="1940" customWidth="1"/>
    <col min="7686" max="7686" width="47.44140625" style="1940" customWidth="1"/>
    <col min="7687" max="7687" width="13" style="1940" customWidth="1"/>
    <col min="7688" max="7689" width="8.88671875" style="1940"/>
    <col min="7690" max="7690" width="5.77734375" style="1940" customWidth="1"/>
    <col min="7691" max="7691" width="11.77734375" style="1940" customWidth="1"/>
    <col min="7692" max="7693" width="10.77734375" style="1940" customWidth="1"/>
    <col min="7694" max="7694" width="10" style="1940" customWidth="1"/>
    <col min="7695" max="7696" width="10.44140625" style="1940" customWidth="1"/>
    <col min="7697" max="7697" width="10" style="1940" customWidth="1"/>
    <col min="7698" max="7698" width="10.109375" style="1940" customWidth="1"/>
    <col min="7699" max="7699" width="10" style="1940" customWidth="1"/>
    <col min="7700" max="7700" width="26.109375" style="1940" customWidth="1"/>
    <col min="7701" max="7936" width="8.88671875" style="1940"/>
    <col min="7937" max="7937" width="9.44140625" style="1940" customWidth="1"/>
    <col min="7938" max="7938" width="8.88671875" style="1940"/>
    <col min="7939" max="7941" width="12.88671875" style="1940" customWidth="1"/>
    <col min="7942" max="7942" width="47.44140625" style="1940" customWidth="1"/>
    <col min="7943" max="7943" width="13" style="1940" customWidth="1"/>
    <col min="7944" max="7945" width="8.88671875" style="1940"/>
    <col min="7946" max="7946" width="5.77734375" style="1940" customWidth="1"/>
    <col min="7947" max="7947" width="11.77734375" style="1940" customWidth="1"/>
    <col min="7948" max="7949" width="10.77734375" style="1940" customWidth="1"/>
    <col min="7950" max="7950" width="10" style="1940" customWidth="1"/>
    <col min="7951" max="7952" width="10.44140625" style="1940" customWidth="1"/>
    <col min="7953" max="7953" width="10" style="1940" customWidth="1"/>
    <col min="7954" max="7954" width="10.109375" style="1940" customWidth="1"/>
    <col min="7955" max="7955" width="10" style="1940" customWidth="1"/>
    <col min="7956" max="7956" width="26.109375" style="1940" customWidth="1"/>
    <col min="7957" max="8192" width="8.88671875" style="1940"/>
    <col min="8193" max="8193" width="9.44140625" style="1940" customWidth="1"/>
    <col min="8194" max="8194" width="8.88671875" style="1940"/>
    <col min="8195" max="8197" width="12.88671875" style="1940" customWidth="1"/>
    <col min="8198" max="8198" width="47.44140625" style="1940" customWidth="1"/>
    <col min="8199" max="8199" width="13" style="1940" customWidth="1"/>
    <col min="8200" max="8201" width="8.88671875" style="1940"/>
    <col min="8202" max="8202" width="5.77734375" style="1940" customWidth="1"/>
    <col min="8203" max="8203" width="11.77734375" style="1940" customWidth="1"/>
    <col min="8204" max="8205" width="10.77734375" style="1940" customWidth="1"/>
    <col min="8206" max="8206" width="10" style="1940" customWidth="1"/>
    <col min="8207" max="8208" width="10.44140625" style="1940" customWidth="1"/>
    <col min="8209" max="8209" width="10" style="1940" customWidth="1"/>
    <col min="8210" max="8210" width="10.109375" style="1940" customWidth="1"/>
    <col min="8211" max="8211" width="10" style="1940" customWidth="1"/>
    <col min="8212" max="8212" width="26.109375" style="1940" customWidth="1"/>
    <col min="8213" max="8448" width="8.88671875" style="1940"/>
    <col min="8449" max="8449" width="9.44140625" style="1940" customWidth="1"/>
    <col min="8450" max="8450" width="8.88671875" style="1940"/>
    <col min="8451" max="8453" width="12.88671875" style="1940" customWidth="1"/>
    <col min="8454" max="8454" width="47.44140625" style="1940" customWidth="1"/>
    <col min="8455" max="8455" width="13" style="1940" customWidth="1"/>
    <col min="8456" max="8457" width="8.88671875" style="1940"/>
    <col min="8458" max="8458" width="5.77734375" style="1940" customWidth="1"/>
    <col min="8459" max="8459" width="11.77734375" style="1940" customWidth="1"/>
    <col min="8460" max="8461" width="10.77734375" style="1940" customWidth="1"/>
    <col min="8462" max="8462" width="10" style="1940" customWidth="1"/>
    <col min="8463" max="8464" width="10.44140625" style="1940" customWidth="1"/>
    <col min="8465" max="8465" width="10" style="1940" customWidth="1"/>
    <col min="8466" max="8466" width="10.109375" style="1940" customWidth="1"/>
    <col min="8467" max="8467" width="10" style="1940" customWidth="1"/>
    <col min="8468" max="8468" width="26.109375" style="1940" customWidth="1"/>
    <col min="8469" max="8704" width="8.88671875" style="1940"/>
    <col min="8705" max="8705" width="9.44140625" style="1940" customWidth="1"/>
    <col min="8706" max="8706" width="8.88671875" style="1940"/>
    <col min="8707" max="8709" width="12.88671875" style="1940" customWidth="1"/>
    <col min="8710" max="8710" width="47.44140625" style="1940" customWidth="1"/>
    <col min="8711" max="8711" width="13" style="1940" customWidth="1"/>
    <col min="8712" max="8713" width="8.88671875" style="1940"/>
    <col min="8714" max="8714" width="5.77734375" style="1940" customWidth="1"/>
    <col min="8715" max="8715" width="11.77734375" style="1940" customWidth="1"/>
    <col min="8716" max="8717" width="10.77734375" style="1940" customWidth="1"/>
    <col min="8718" max="8718" width="10" style="1940" customWidth="1"/>
    <col min="8719" max="8720" width="10.44140625" style="1940" customWidth="1"/>
    <col min="8721" max="8721" width="10" style="1940" customWidth="1"/>
    <col min="8722" max="8722" width="10.109375" style="1940" customWidth="1"/>
    <col min="8723" max="8723" width="10" style="1940" customWidth="1"/>
    <col min="8724" max="8724" width="26.109375" style="1940" customWidth="1"/>
    <col min="8725" max="8960" width="8.88671875" style="1940"/>
    <col min="8961" max="8961" width="9.44140625" style="1940" customWidth="1"/>
    <col min="8962" max="8962" width="8.88671875" style="1940"/>
    <col min="8963" max="8965" width="12.88671875" style="1940" customWidth="1"/>
    <col min="8966" max="8966" width="47.44140625" style="1940" customWidth="1"/>
    <col min="8967" max="8967" width="13" style="1940" customWidth="1"/>
    <col min="8968" max="8969" width="8.88671875" style="1940"/>
    <col min="8970" max="8970" width="5.77734375" style="1940" customWidth="1"/>
    <col min="8971" max="8971" width="11.77734375" style="1940" customWidth="1"/>
    <col min="8972" max="8973" width="10.77734375" style="1940" customWidth="1"/>
    <col min="8974" max="8974" width="10" style="1940" customWidth="1"/>
    <col min="8975" max="8976" width="10.44140625" style="1940" customWidth="1"/>
    <col min="8977" max="8977" width="10" style="1940" customWidth="1"/>
    <col min="8978" max="8978" width="10.109375" style="1940" customWidth="1"/>
    <col min="8979" max="8979" width="10" style="1940" customWidth="1"/>
    <col min="8980" max="8980" width="26.109375" style="1940" customWidth="1"/>
    <col min="8981" max="9216" width="8.88671875" style="1940"/>
    <col min="9217" max="9217" width="9.44140625" style="1940" customWidth="1"/>
    <col min="9218" max="9218" width="8.88671875" style="1940"/>
    <col min="9219" max="9221" width="12.88671875" style="1940" customWidth="1"/>
    <col min="9222" max="9222" width="47.44140625" style="1940" customWidth="1"/>
    <col min="9223" max="9223" width="13" style="1940" customWidth="1"/>
    <col min="9224" max="9225" width="8.88671875" style="1940"/>
    <col min="9226" max="9226" width="5.77734375" style="1940" customWidth="1"/>
    <col min="9227" max="9227" width="11.77734375" style="1940" customWidth="1"/>
    <col min="9228" max="9229" width="10.77734375" style="1940" customWidth="1"/>
    <col min="9230" max="9230" width="10" style="1940" customWidth="1"/>
    <col min="9231" max="9232" width="10.44140625" style="1940" customWidth="1"/>
    <col min="9233" max="9233" width="10" style="1940" customWidth="1"/>
    <col min="9234" max="9234" width="10.109375" style="1940" customWidth="1"/>
    <col min="9235" max="9235" width="10" style="1940" customWidth="1"/>
    <col min="9236" max="9236" width="26.109375" style="1940" customWidth="1"/>
    <col min="9237" max="9472" width="8.88671875" style="1940"/>
    <col min="9473" max="9473" width="9.44140625" style="1940" customWidth="1"/>
    <col min="9474" max="9474" width="8.88671875" style="1940"/>
    <col min="9475" max="9477" width="12.88671875" style="1940" customWidth="1"/>
    <col min="9478" max="9478" width="47.44140625" style="1940" customWidth="1"/>
    <col min="9479" max="9479" width="13" style="1940" customWidth="1"/>
    <col min="9480" max="9481" width="8.88671875" style="1940"/>
    <col min="9482" max="9482" width="5.77734375" style="1940" customWidth="1"/>
    <col min="9483" max="9483" width="11.77734375" style="1940" customWidth="1"/>
    <col min="9484" max="9485" width="10.77734375" style="1940" customWidth="1"/>
    <col min="9486" max="9486" width="10" style="1940" customWidth="1"/>
    <col min="9487" max="9488" width="10.44140625" style="1940" customWidth="1"/>
    <col min="9489" max="9489" width="10" style="1940" customWidth="1"/>
    <col min="9490" max="9490" width="10.109375" style="1940" customWidth="1"/>
    <col min="9491" max="9491" width="10" style="1940" customWidth="1"/>
    <col min="9492" max="9492" width="26.109375" style="1940" customWidth="1"/>
    <col min="9493" max="9728" width="8.88671875" style="1940"/>
    <col min="9729" max="9729" width="9.44140625" style="1940" customWidth="1"/>
    <col min="9730" max="9730" width="8.88671875" style="1940"/>
    <col min="9731" max="9733" width="12.88671875" style="1940" customWidth="1"/>
    <col min="9734" max="9734" width="47.44140625" style="1940" customWidth="1"/>
    <col min="9735" max="9735" width="13" style="1940" customWidth="1"/>
    <col min="9736" max="9737" width="8.88671875" style="1940"/>
    <col min="9738" max="9738" width="5.77734375" style="1940" customWidth="1"/>
    <col min="9739" max="9739" width="11.77734375" style="1940" customWidth="1"/>
    <col min="9740" max="9741" width="10.77734375" style="1940" customWidth="1"/>
    <col min="9742" max="9742" width="10" style="1940" customWidth="1"/>
    <col min="9743" max="9744" width="10.44140625" style="1940" customWidth="1"/>
    <col min="9745" max="9745" width="10" style="1940" customWidth="1"/>
    <col min="9746" max="9746" width="10.109375" style="1940" customWidth="1"/>
    <col min="9747" max="9747" width="10" style="1940" customWidth="1"/>
    <col min="9748" max="9748" width="26.109375" style="1940" customWidth="1"/>
    <col min="9749" max="9984" width="8.88671875" style="1940"/>
    <col min="9985" max="9985" width="9.44140625" style="1940" customWidth="1"/>
    <col min="9986" max="9986" width="8.88671875" style="1940"/>
    <col min="9987" max="9989" width="12.88671875" style="1940" customWidth="1"/>
    <col min="9990" max="9990" width="47.44140625" style="1940" customWidth="1"/>
    <col min="9991" max="9991" width="13" style="1940" customWidth="1"/>
    <col min="9992" max="9993" width="8.88671875" style="1940"/>
    <col min="9994" max="9994" width="5.77734375" style="1940" customWidth="1"/>
    <col min="9995" max="9995" width="11.77734375" style="1940" customWidth="1"/>
    <col min="9996" max="9997" width="10.77734375" style="1940" customWidth="1"/>
    <col min="9998" max="9998" width="10" style="1940" customWidth="1"/>
    <col min="9999" max="10000" width="10.44140625" style="1940" customWidth="1"/>
    <col min="10001" max="10001" width="10" style="1940" customWidth="1"/>
    <col min="10002" max="10002" width="10.109375" style="1940" customWidth="1"/>
    <col min="10003" max="10003" width="10" style="1940" customWidth="1"/>
    <col min="10004" max="10004" width="26.109375" style="1940" customWidth="1"/>
    <col min="10005" max="10240" width="8.88671875" style="1940"/>
    <col min="10241" max="10241" width="9.44140625" style="1940" customWidth="1"/>
    <col min="10242" max="10242" width="8.88671875" style="1940"/>
    <col min="10243" max="10245" width="12.88671875" style="1940" customWidth="1"/>
    <col min="10246" max="10246" width="47.44140625" style="1940" customWidth="1"/>
    <col min="10247" max="10247" width="13" style="1940" customWidth="1"/>
    <col min="10248" max="10249" width="8.88671875" style="1940"/>
    <col min="10250" max="10250" width="5.77734375" style="1940" customWidth="1"/>
    <col min="10251" max="10251" width="11.77734375" style="1940" customWidth="1"/>
    <col min="10252" max="10253" width="10.77734375" style="1940" customWidth="1"/>
    <col min="10254" max="10254" width="10" style="1940" customWidth="1"/>
    <col min="10255" max="10256" width="10.44140625" style="1940" customWidth="1"/>
    <col min="10257" max="10257" width="10" style="1940" customWidth="1"/>
    <col min="10258" max="10258" width="10.109375" style="1940" customWidth="1"/>
    <col min="10259" max="10259" width="10" style="1940" customWidth="1"/>
    <col min="10260" max="10260" width="26.109375" style="1940" customWidth="1"/>
    <col min="10261" max="10496" width="8.88671875" style="1940"/>
    <col min="10497" max="10497" width="9.44140625" style="1940" customWidth="1"/>
    <col min="10498" max="10498" width="8.88671875" style="1940"/>
    <col min="10499" max="10501" width="12.88671875" style="1940" customWidth="1"/>
    <col min="10502" max="10502" width="47.44140625" style="1940" customWidth="1"/>
    <col min="10503" max="10503" width="13" style="1940" customWidth="1"/>
    <col min="10504" max="10505" width="8.88671875" style="1940"/>
    <col min="10506" max="10506" width="5.77734375" style="1940" customWidth="1"/>
    <col min="10507" max="10507" width="11.77734375" style="1940" customWidth="1"/>
    <col min="10508" max="10509" width="10.77734375" style="1940" customWidth="1"/>
    <col min="10510" max="10510" width="10" style="1940" customWidth="1"/>
    <col min="10511" max="10512" width="10.44140625" style="1940" customWidth="1"/>
    <col min="10513" max="10513" width="10" style="1940" customWidth="1"/>
    <col min="10514" max="10514" width="10.109375" style="1940" customWidth="1"/>
    <col min="10515" max="10515" width="10" style="1940" customWidth="1"/>
    <col min="10516" max="10516" width="26.109375" style="1940" customWidth="1"/>
    <col min="10517" max="10752" width="8.88671875" style="1940"/>
    <col min="10753" max="10753" width="9.44140625" style="1940" customWidth="1"/>
    <col min="10754" max="10754" width="8.88671875" style="1940"/>
    <col min="10755" max="10757" width="12.88671875" style="1940" customWidth="1"/>
    <col min="10758" max="10758" width="47.44140625" style="1940" customWidth="1"/>
    <col min="10759" max="10759" width="13" style="1940" customWidth="1"/>
    <col min="10760" max="10761" width="8.88671875" style="1940"/>
    <col min="10762" max="10762" width="5.77734375" style="1940" customWidth="1"/>
    <col min="10763" max="10763" width="11.77734375" style="1940" customWidth="1"/>
    <col min="10764" max="10765" width="10.77734375" style="1940" customWidth="1"/>
    <col min="10766" max="10766" width="10" style="1940" customWidth="1"/>
    <col min="10767" max="10768" width="10.44140625" style="1940" customWidth="1"/>
    <col min="10769" max="10769" width="10" style="1940" customWidth="1"/>
    <col min="10770" max="10770" width="10.109375" style="1940" customWidth="1"/>
    <col min="10771" max="10771" width="10" style="1940" customWidth="1"/>
    <col min="10772" max="10772" width="26.109375" style="1940" customWidth="1"/>
    <col min="10773" max="11008" width="8.88671875" style="1940"/>
    <col min="11009" max="11009" width="9.44140625" style="1940" customWidth="1"/>
    <col min="11010" max="11010" width="8.88671875" style="1940"/>
    <col min="11011" max="11013" width="12.88671875" style="1940" customWidth="1"/>
    <col min="11014" max="11014" width="47.44140625" style="1940" customWidth="1"/>
    <col min="11015" max="11015" width="13" style="1940" customWidth="1"/>
    <col min="11016" max="11017" width="8.88671875" style="1940"/>
    <col min="11018" max="11018" width="5.77734375" style="1940" customWidth="1"/>
    <col min="11019" max="11019" width="11.77734375" style="1940" customWidth="1"/>
    <col min="11020" max="11021" width="10.77734375" style="1940" customWidth="1"/>
    <col min="11022" max="11022" width="10" style="1940" customWidth="1"/>
    <col min="11023" max="11024" width="10.44140625" style="1940" customWidth="1"/>
    <col min="11025" max="11025" width="10" style="1940" customWidth="1"/>
    <col min="11026" max="11026" width="10.109375" style="1940" customWidth="1"/>
    <col min="11027" max="11027" width="10" style="1940" customWidth="1"/>
    <col min="11028" max="11028" width="26.109375" style="1940" customWidth="1"/>
    <col min="11029" max="11264" width="8.88671875" style="1940"/>
    <col min="11265" max="11265" width="9.44140625" style="1940" customWidth="1"/>
    <col min="11266" max="11266" width="8.88671875" style="1940"/>
    <col min="11267" max="11269" width="12.88671875" style="1940" customWidth="1"/>
    <col min="11270" max="11270" width="47.44140625" style="1940" customWidth="1"/>
    <col min="11271" max="11271" width="13" style="1940" customWidth="1"/>
    <col min="11272" max="11273" width="8.88671875" style="1940"/>
    <col min="11274" max="11274" width="5.77734375" style="1940" customWidth="1"/>
    <col min="11275" max="11275" width="11.77734375" style="1940" customWidth="1"/>
    <col min="11276" max="11277" width="10.77734375" style="1940" customWidth="1"/>
    <col min="11278" max="11278" width="10" style="1940" customWidth="1"/>
    <col min="11279" max="11280" width="10.44140625" style="1940" customWidth="1"/>
    <col min="11281" max="11281" width="10" style="1940" customWidth="1"/>
    <col min="11282" max="11282" width="10.109375" style="1940" customWidth="1"/>
    <col min="11283" max="11283" width="10" style="1940" customWidth="1"/>
    <col min="11284" max="11284" width="26.109375" style="1940" customWidth="1"/>
    <col min="11285" max="11520" width="8.88671875" style="1940"/>
    <col min="11521" max="11521" width="9.44140625" style="1940" customWidth="1"/>
    <col min="11522" max="11522" width="8.88671875" style="1940"/>
    <col min="11523" max="11525" width="12.88671875" style="1940" customWidth="1"/>
    <col min="11526" max="11526" width="47.44140625" style="1940" customWidth="1"/>
    <col min="11527" max="11527" width="13" style="1940" customWidth="1"/>
    <col min="11528" max="11529" width="8.88671875" style="1940"/>
    <col min="11530" max="11530" width="5.77734375" style="1940" customWidth="1"/>
    <col min="11531" max="11531" width="11.77734375" style="1940" customWidth="1"/>
    <col min="11532" max="11533" width="10.77734375" style="1940" customWidth="1"/>
    <col min="11534" max="11534" width="10" style="1940" customWidth="1"/>
    <col min="11535" max="11536" width="10.44140625" style="1940" customWidth="1"/>
    <col min="11537" max="11537" width="10" style="1940" customWidth="1"/>
    <col min="11538" max="11538" width="10.109375" style="1940" customWidth="1"/>
    <col min="11539" max="11539" width="10" style="1940" customWidth="1"/>
    <col min="11540" max="11540" width="26.109375" style="1940" customWidth="1"/>
    <col min="11541" max="11776" width="8.88671875" style="1940"/>
    <col min="11777" max="11777" width="9.44140625" style="1940" customWidth="1"/>
    <col min="11778" max="11778" width="8.88671875" style="1940"/>
    <col min="11779" max="11781" width="12.88671875" style="1940" customWidth="1"/>
    <col min="11782" max="11782" width="47.44140625" style="1940" customWidth="1"/>
    <col min="11783" max="11783" width="13" style="1940" customWidth="1"/>
    <col min="11784" max="11785" width="8.88671875" style="1940"/>
    <col min="11786" max="11786" width="5.77734375" style="1940" customWidth="1"/>
    <col min="11787" max="11787" width="11.77734375" style="1940" customWidth="1"/>
    <col min="11788" max="11789" width="10.77734375" style="1940" customWidth="1"/>
    <col min="11790" max="11790" width="10" style="1940" customWidth="1"/>
    <col min="11791" max="11792" width="10.44140625" style="1940" customWidth="1"/>
    <col min="11793" max="11793" width="10" style="1940" customWidth="1"/>
    <col min="11794" max="11794" width="10.109375" style="1940" customWidth="1"/>
    <col min="11795" max="11795" width="10" style="1940" customWidth="1"/>
    <col min="11796" max="11796" width="26.109375" style="1940" customWidth="1"/>
    <col min="11797" max="12032" width="8.88671875" style="1940"/>
    <col min="12033" max="12033" width="9.44140625" style="1940" customWidth="1"/>
    <col min="12034" max="12034" width="8.88671875" style="1940"/>
    <col min="12035" max="12037" width="12.88671875" style="1940" customWidth="1"/>
    <col min="12038" max="12038" width="47.44140625" style="1940" customWidth="1"/>
    <col min="12039" max="12039" width="13" style="1940" customWidth="1"/>
    <col min="12040" max="12041" width="8.88671875" style="1940"/>
    <col min="12042" max="12042" width="5.77734375" style="1940" customWidth="1"/>
    <col min="12043" max="12043" width="11.77734375" style="1940" customWidth="1"/>
    <col min="12044" max="12045" width="10.77734375" style="1940" customWidth="1"/>
    <col min="12046" max="12046" width="10" style="1940" customWidth="1"/>
    <col min="12047" max="12048" width="10.44140625" style="1940" customWidth="1"/>
    <col min="12049" max="12049" width="10" style="1940" customWidth="1"/>
    <col min="12050" max="12050" width="10.109375" style="1940" customWidth="1"/>
    <col min="12051" max="12051" width="10" style="1940" customWidth="1"/>
    <col min="12052" max="12052" width="26.109375" style="1940" customWidth="1"/>
    <col min="12053" max="12288" width="8.88671875" style="1940"/>
    <col min="12289" max="12289" width="9.44140625" style="1940" customWidth="1"/>
    <col min="12290" max="12290" width="8.88671875" style="1940"/>
    <col min="12291" max="12293" width="12.88671875" style="1940" customWidth="1"/>
    <col min="12294" max="12294" width="47.44140625" style="1940" customWidth="1"/>
    <col min="12295" max="12295" width="13" style="1940" customWidth="1"/>
    <col min="12296" max="12297" width="8.88671875" style="1940"/>
    <col min="12298" max="12298" width="5.77734375" style="1940" customWidth="1"/>
    <col min="12299" max="12299" width="11.77734375" style="1940" customWidth="1"/>
    <col min="12300" max="12301" width="10.77734375" style="1940" customWidth="1"/>
    <col min="12302" max="12302" width="10" style="1940" customWidth="1"/>
    <col min="12303" max="12304" width="10.44140625" style="1940" customWidth="1"/>
    <col min="12305" max="12305" width="10" style="1940" customWidth="1"/>
    <col min="12306" max="12306" width="10.109375" style="1940" customWidth="1"/>
    <col min="12307" max="12307" width="10" style="1940" customWidth="1"/>
    <col min="12308" max="12308" width="26.109375" style="1940" customWidth="1"/>
    <col min="12309" max="12544" width="8.88671875" style="1940"/>
    <col min="12545" max="12545" width="9.44140625" style="1940" customWidth="1"/>
    <col min="12546" max="12546" width="8.88671875" style="1940"/>
    <col min="12547" max="12549" width="12.88671875" style="1940" customWidth="1"/>
    <col min="12550" max="12550" width="47.44140625" style="1940" customWidth="1"/>
    <col min="12551" max="12551" width="13" style="1940" customWidth="1"/>
    <col min="12552" max="12553" width="8.88671875" style="1940"/>
    <col min="12554" max="12554" width="5.77734375" style="1940" customWidth="1"/>
    <col min="12555" max="12555" width="11.77734375" style="1940" customWidth="1"/>
    <col min="12556" max="12557" width="10.77734375" style="1940" customWidth="1"/>
    <col min="12558" max="12558" width="10" style="1940" customWidth="1"/>
    <col min="12559" max="12560" width="10.44140625" style="1940" customWidth="1"/>
    <col min="12561" max="12561" width="10" style="1940" customWidth="1"/>
    <col min="12562" max="12562" width="10.109375" style="1940" customWidth="1"/>
    <col min="12563" max="12563" width="10" style="1940" customWidth="1"/>
    <col min="12564" max="12564" width="26.109375" style="1940" customWidth="1"/>
    <col min="12565" max="12800" width="8.88671875" style="1940"/>
    <col min="12801" max="12801" width="9.44140625" style="1940" customWidth="1"/>
    <col min="12802" max="12802" width="8.88671875" style="1940"/>
    <col min="12803" max="12805" width="12.88671875" style="1940" customWidth="1"/>
    <col min="12806" max="12806" width="47.44140625" style="1940" customWidth="1"/>
    <col min="12807" max="12807" width="13" style="1940" customWidth="1"/>
    <col min="12808" max="12809" width="8.88671875" style="1940"/>
    <col min="12810" max="12810" width="5.77734375" style="1940" customWidth="1"/>
    <col min="12811" max="12811" width="11.77734375" style="1940" customWidth="1"/>
    <col min="12812" max="12813" width="10.77734375" style="1940" customWidth="1"/>
    <col min="12814" max="12814" width="10" style="1940" customWidth="1"/>
    <col min="12815" max="12816" width="10.44140625" style="1940" customWidth="1"/>
    <col min="12817" max="12817" width="10" style="1940" customWidth="1"/>
    <col min="12818" max="12818" width="10.109375" style="1940" customWidth="1"/>
    <col min="12819" max="12819" width="10" style="1940" customWidth="1"/>
    <col min="12820" max="12820" width="26.109375" style="1940" customWidth="1"/>
    <col min="12821" max="13056" width="8.88671875" style="1940"/>
    <col min="13057" max="13057" width="9.44140625" style="1940" customWidth="1"/>
    <col min="13058" max="13058" width="8.88671875" style="1940"/>
    <col min="13059" max="13061" width="12.88671875" style="1940" customWidth="1"/>
    <col min="13062" max="13062" width="47.44140625" style="1940" customWidth="1"/>
    <col min="13063" max="13063" width="13" style="1940" customWidth="1"/>
    <col min="13064" max="13065" width="8.88671875" style="1940"/>
    <col min="13066" max="13066" width="5.77734375" style="1940" customWidth="1"/>
    <col min="13067" max="13067" width="11.77734375" style="1940" customWidth="1"/>
    <col min="13068" max="13069" width="10.77734375" style="1940" customWidth="1"/>
    <col min="13070" max="13070" width="10" style="1940" customWidth="1"/>
    <col min="13071" max="13072" width="10.44140625" style="1940" customWidth="1"/>
    <col min="13073" max="13073" width="10" style="1940" customWidth="1"/>
    <col min="13074" max="13074" width="10.109375" style="1940" customWidth="1"/>
    <col min="13075" max="13075" width="10" style="1940" customWidth="1"/>
    <col min="13076" max="13076" width="26.109375" style="1940" customWidth="1"/>
    <col min="13077" max="13312" width="8.88671875" style="1940"/>
    <col min="13313" max="13313" width="9.44140625" style="1940" customWidth="1"/>
    <col min="13314" max="13314" width="8.88671875" style="1940"/>
    <col min="13315" max="13317" width="12.88671875" style="1940" customWidth="1"/>
    <col min="13318" max="13318" width="47.44140625" style="1940" customWidth="1"/>
    <col min="13319" max="13319" width="13" style="1940" customWidth="1"/>
    <col min="13320" max="13321" width="8.88671875" style="1940"/>
    <col min="13322" max="13322" width="5.77734375" style="1940" customWidth="1"/>
    <col min="13323" max="13323" width="11.77734375" style="1940" customWidth="1"/>
    <col min="13324" max="13325" width="10.77734375" style="1940" customWidth="1"/>
    <col min="13326" max="13326" width="10" style="1940" customWidth="1"/>
    <col min="13327" max="13328" width="10.44140625" style="1940" customWidth="1"/>
    <col min="13329" max="13329" width="10" style="1940" customWidth="1"/>
    <col min="13330" max="13330" width="10.109375" style="1940" customWidth="1"/>
    <col min="13331" max="13331" width="10" style="1940" customWidth="1"/>
    <col min="13332" max="13332" width="26.109375" style="1940" customWidth="1"/>
    <col min="13333" max="13568" width="8.88671875" style="1940"/>
    <col min="13569" max="13569" width="9.44140625" style="1940" customWidth="1"/>
    <col min="13570" max="13570" width="8.88671875" style="1940"/>
    <col min="13571" max="13573" width="12.88671875" style="1940" customWidth="1"/>
    <col min="13574" max="13574" width="47.44140625" style="1940" customWidth="1"/>
    <col min="13575" max="13575" width="13" style="1940" customWidth="1"/>
    <col min="13576" max="13577" width="8.88671875" style="1940"/>
    <col min="13578" max="13578" width="5.77734375" style="1940" customWidth="1"/>
    <col min="13579" max="13579" width="11.77734375" style="1940" customWidth="1"/>
    <col min="13580" max="13581" width="10.77734375" style="1940" customWidth="1"/>
    <col min="13582" max="13582" width="10" style="1940" customWidth="1"/>
    <col min="13583" max="13584" width="10.44140625" style="1940" customWidth="1"/>
    <col min="13585" max="13585" width="10" style="1940" customWidth="1"/>
    <col min="13586" max="13586" width="10.109375" style="1940" customWidth="1"/>
    <col min="13587" max="13587" width="10" style="1940" customWidth="1"/>
    <col min="13588" max="13588" width="26.109375" style="1940" customWidth="1"/>
    <col min="13589" max="13824" width="8.88671875" style="1940"/>
    <col min="13825" max="13825" width="9.44140625" style="1940" customWidth="1"/>
    <col min="13826" max="13826" width="8.88671875" style="1940"/>
    <col min="13827" max="13829" width="12.88671875" style="1940" customWidth="1"/>
    <col min="13830" max="13830" width="47.44140625" style="1940" customWidth="1"/>
    <col min="13831" max="13831" width="13" style="1940" customWidth="1"/>
    <col min="13832" max="13833" width="8.88671875" style="1940"/>
    <col min="13834" max="13834" width="5.77734375" style="1940" customWidth="1"/>
    <col min="13835" max="13835" width="11.77734375" style="1940" customWidth="1"/>
    <col min="13836" max="13837" width="10.77734375" style="1940" customWidth="1"/>
    <col min="13838" max="13838" width="10" style="1940" customWidth="1"/>
    <col min="13839" max="13840" width="10.44140625" style="1940" customWidth="1"/>
    <col min="13841" max="13841" width="10" style="1940" customWidth="1"/>
    <col min="13842" max="13842" width="10.109375" style="1940" customWidth="1"/>
    <col min="13843" max="13843" width="10" style="1940" customWidth="1"/>
    <col min="13844" max="13844" width="26.109375" style="1940" customWidth="1"/>
    <col min="13845" max="14080" width="8.88671875" style="1940"/>
    <col min="14081" max="14081" width="9.44140625" style="1940" customWidth="1"/>
    <col min="14082" max="14082" width="8.88671875" style="1940"/>
    <col min="14083" max="14085" width="12.88671875" style="1940" customWidth="1"/>
    <col min="14086" max="14086" width="47.44140625" style="1940" customWidth="1"/>
    <col min="14087" max="14087" width="13" style="1940" customWidth="1"/>
    <col min="14088" max="14089" width="8.88671875" style="1940"/>
    <col min="14090" max="14090" width="5.77734375" style="1940" customWidth="1"/>
    <col min="14091" max="14091" width="11.77734375" style="1940" customWidth="1"/>
    <col min="14092" max="14093" width="10.77734375" style="1940" customWidth="1"/>
    <col min="14094" max="14094" width="10" style="1940" customWidth="1"/>
    <col min="14095" max="14096" width="10.44140625" style="1940" customWidth="1"/>
    <col min="14097" max="14097" width="10" style="1940" customWidth="1"/>
    <col min="14098" max="14098" width="10.109375" style="1940" customWidth="1"/>
    <col min="14099" max="14099" width="10" style="1940" customWidth="1"/>
    <col min="14100" max="14100" width="26.109375" style="1940" customWidth="1"/>
    <col min="14101" max="14336" width="8.88671875" style="1940"/>
    <col min="14337" max="14337" width="9.44140625" style="1940" customWidth="1"/>
    <col min="14338" max="14338" width="8.88671875" style="1940"/>
    <col min="14339" max="14341" width="12.88671875" style="1940" customWidth="1"/>
    <col min="14342" max="14342" width="47.44140625" style="1940" customWidth="1"/>
    <col min="14343" max="14343" width="13" style="1940" customWidth="1"/>
    <col min="14344" max="14345" width="8.88671875" style="1940"/>
    <col min="14346" max="14346" width="5.77734375" style="1940" customWidth="1"/>
    <col min="14347" max="14347" width="11.77734375" style="1940" customWidth="1"/>
    <col min="14348" max="14349" width="10.77734375" style="1940" customWidth="1"/>
    <col min="14350" max="14350" width="10" style="1940" customWidth="1"/>
    <col min="14351" max="14352" width="10.44140625" style="1940" customWidth="1"/>
    <col min="14353" max="14353" width="10" style="1940" customWidth="1"/>
    <col min="14354" max="14354" width="10.109375" style="1940" customWidth="1"/>
    <col min="14355" max="14355" width="10" style="1940" customWidth="1"/>
    <col min="14356" max="14356" width="26.109375" style="1940" customWidth="1"/>
    <col min="14357" max="14592" width="8.88671875" style="1940"/>
    <col min="14593" max="14593" width="9.44140625" style="1940" customWidth="1"/>
    <col min="14594" max="14594" width="8.88671875" style="1940"/>
    <col min="14595" max="14597" width="12.88671875" style="1940" customWidth="1"/>
    <col min="14598" max="14598" width="47.44140625" style="1940" customWidth="1"/>
    <col min="14599" max="14599" width="13" style="1940" customWidth="1"/>
    <col min="14600" max="14601" width="8.88671875" style="1940"/>
    <col min="14602" max="14602" width="5.77734375" style="1940" customWidth="1"/>
    <col min="14603" max="14603" width="11.77734375" style="1940" customWidth="1"/>
    <col min="14604" max="14605" width="10.77734375" style="1940" customWidth="1"/>
    <col min="14606" max="14606" width="10" style="1940" customWidth="1"/>
    <col min="14607" max="14608" width="10.44140625" style="1940" customWidth="1"/>
    <col min="14609" max="14609" width="10" style="1940" customWidth="1"/>
    <col min="14610" max="14610" width="10.109375" style="1940" customWidth="1"/>
    <col min="14611" max="14611" width="10" style="1940" customWidth="1"/>
    <col min="14612" max="14612" width="26.109375" style="1940" customWidth="1"/>
    <col min="14613" max="14848" width="8.88671875" style="1940"/>
    <col min="14849" max="14849" width="9.44140625" style="1940" customWidth="1"/>
    <col min="14850" max="14850" width="8.88671875" style="1940"/>
    <col min="14851" max="14853" width="12.88671875" style="1940" customWidth="1"/>
    <col min="14854" max="14854" width="47.44140625" style="1940" customWidth="1"/>
    <col min="14855" max="14855" width="13" style="1940" customWidth="1"/>
    <col min="14856" max="14857" width="8.88671875" style="1940"/>
    <col min="14858" max="14858" width="5.77734375" style="1940" customWidth="1"/>
    <col min="14859" max="14859" width="11.77734375" style="1940" customWidth="1"/>
    <col min="14860" max="14861" width="10.77734375" style="1940" customWidth="1"/>
    <col min="14862" max="14862" width="10" style="1940" customWidth="1"/>
    <col min="14863" max="14864" width="10.44140625" style="1940" customWidth="1"/>
    <col min="14865" max="14865" width="10" style="1940" customWidth="1"/>
    <col min="14866" max="14866" width="10.109375" style="1940" customWidth="1"/>
    <col min="14867" max="14867" width="10" style="1940" customWidth="1"/>
    <col min="14868" max="14868" width="26.109375" style="1940" customWidth="1"/>
    <col min="14869" max="15104" width="8.88671875" style="1940"/>
    <col min="15105" max="15105" width="9.44140625" style="1940" customWidth="1"/>
    <col min="15106" max="15106" width="8.88671875" style="1940"/>
    <col min="15107" max="15109" width="12.88671875" style="1940" customWidth="1"/>
    <col min="15110" max="15110" width="47.44140625" style="1940" customWidth="1"/>
    <col min="15111" max="15111" width="13" style="1940" customWidth="1"/>
    <col min="15112" max="15113" width="8.88671875" style="1940"/>
    <col min="15114" max="15114" width="5.77734375" style="1940" customWidth="1"/>
    <col min="15115" max="15115" width="11.77734375" style="1940" customWidth="1"/>
    <col min="15116" max="15117" width="10.77734375" style="1940" customWidth="1"/>
    <col min="15118" max="15118" width="10" style="1940" customWidth="1"/>
    <col min="15119" max="15120" width="10.44140625" style="1940" customWidth="1"/>
    <col min="15121" max="15121" width="10" style="1940" customWidth="1"/>
    <col min="15122" max="15122" width="10.109375" style="1940" customWidth="1"/>
    <col min="15123" max="15123" width="10" style="1940" customWidth="1"/>
    <col min="15124" max="15124" width="26.109375" style="1940" customWidth="1"/>
    <col min="15125" max="15360" width="8.88671875" style="1940"/>
    <col min="15361" max="15361" width="9.44140625" style="1940" customWidth="1"/>
    <col min="15362" max="15362" width="8.88671875" style="1940"/>
    <col min="15363" max="15365" width="12.88671875" style="1940" customWidth="1"/>
    <col min="15366" max="15366" width="47.44140625" style="1940" customWidth="1"/>
    <col min="15367" max="15367" width="13" style="1940" customWidth="1"/>
    <col min="15368" max="15369" width="8.88671875" style="1940"/>
    <col min="15370" max="15370" width="5.77734375" style="1940" customWidth="1"/>
    <col min="15371" max="15371" width="11.77734375" style="1940" customWidth="1"/>
    <col min="15372" max="15373" width="10.77734375" style="1940" customWidth="1"/>
    <col min="15374" max="15374" width="10" style="1940" customWidth="1"/>
    <col min="15375" max="15376" width="10.44140625" style="1940" customWidth="1"/>
    <col min="15377" max="15377" width="10" style="1940" customWidth="1"/>
    <col min="15378" max="15378" width="10.109375" style="1940" customWidth="1"/>
    <col min="15379" max="15379" width="10" style="1940" customWidth="1"/>
    <col min="15380" max="15380" width="26.109375" style="1940" customWidth="1"/>
    <col min="15381" max="15616" width="8.88671875" style="1940"/>
    <col min="15617" max="15617" width="9.44140625" style="1940" customWidth="1"/>
    <col min="15618" max="15618" width="8.88671875" style="1940"/>
    <col min="15619" max="15621" width="12.88671875" style="1940" customWidth="1"/>
    <col min="15622" max="15622" width="47.44140625" style="1940" customWidth="1"/>
    <col min="15623" max="15623" width="13" style="1940" customWidth="1"/>
    <col min="15624" max="15625" width="8.88671875" style="1940"/>
    <col min="15626" max="15626" width="5.77734375" style="1940" customWidth="1"/>
    <col min="15627" max="15627" width="11.77734375" style="1940" customWidth="1"/>
    <col min="15628" max="15629" width="10.77734375" style="1940" customWidth="1"/>
    <col min="15630" max="15630" width="10" style="1940" customWidth="1"/>
    <col min="15631" max="15632" width="10.44140625" style="1940" customWidth="1"/>
    <col min="15633" max="15633" width="10" style="1940" customWidth="1"/>
    <col min="15634" max="15634" width="10.109375" style="1940" customWidth="1"/>
    <col min="15635" max="15635" width="10" style="1940" customWidth="1"/>
    <col min="15636" max="15636" width="26.109375" style="1940" customWidth="1"/>
    <col min="15637" max="15872" width="8.88671875" style="1940"/>
    <col min="15873" max="15873" width="9.44140625" style="1940" customWidth="1"/>
    <col min="15874" max="15874" width="8.88671875" style="1940"/>
    <col min="15875" max="15877" width="12.88671875" style="1940" customWidth="1"/>
    <col min="15878" max="15878" width="47.44140625" style="1940" customWidth="1"/>
    <col min="15879" max="15879" width="13" style="1940" customWidth="1"/>
    <col min="15880" max="15881" width="8.88671875" style="1940"/>
    <col min="15882" max="15882" width="5.77734375" style="1940" customWidth="1"/>
    <col min="15883" max="15883" width="11.77734375" style="1940" customWidth="1"/>
    <col min="15884" max="15885" width="10.77734375" style="1940" customWidth="1"/>
    <col min="15886" max="15886" width="10" style="1940" customWidth="1"/>
    <col min="15887" max="15888" width="10.44140625" style="1940" customWidth="1"/>
    <col min="15889" max="15889" width="10" style="1940" customWidth="1"/>
    <col min="15890" max="15890" width="10.109375" style="1940" customWidth="1"/>
    <col min="15891" max="15891" width="10" style="1940" customWidth="1"/>
    <col min="15892" max="15892" width="26.109375" style="1940" customWidth="1"/>
    <col min="15893" max="16128" width="8.88671875" style="1940"/>
    <col min="16129" max="16129" width="9.44140625" style="1940" customWidth="1"/>
    <col min="16130" max="16130" width="8.88671875" style="1940"/>
    <col min="16131" max="16133" width="12.88671875" style="1940" customWidth="1"/>
    <col min="16134" max="16134" width="47.44140625" style="1940" customWidth="1"/>
    <col min="16135" max="16135" width="13" style="1940" customWidth="1"/>
    <col min="16136" max="16137" width="8.88671875" style="1940"/>
    <col min="16138" max="16138" width="5.77734375" style="1940" customWidth="1"/>
    <col min="16139" max="16139" width="11.77734375" style="1940" customWidth="1"/>
    <col min="16140" max="16141" width="10.77734375" style="1940" customWidth="1"/>
    <col min="16142" max="16142" width="10" style="1940" customWidth="1"/>
    <col min="16143" max="16144" width="10.44140625" style="1940" customWidth="1"/>
    <col min="16145" max="16145" width="10" style="1940" customWidth="1"/>
    <col min="16146" max="16146" width="10.109375" style="1940" customWidth="1"/>
    <col min="16147" max="16147" width="10" style="1940" customWidth="1"/>
    <col min="16148" max="16148" width="26.109375" style="1940" customWidth="1"/>
    <col min="16149" max="16384" width="8.88671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2" customHeight="1">
      <c r="A2" s="236" t="s">
        <v>1188</v>
      </c>
      <c r="B2" s="1950" t="e">
        <f>IF(D2="——",C40,C40+E2)</f>
        <v>#DIV/0!</v>
      </c>
      <c r="C2" s="1946" t="s">
        <v>1189</v>
      </c>
      <c r="D2" s="1951" t="s">
        <v>1375</v>
      </c>
      <c r="E2" s="1952"/>
      <c r="F2" s="1953"/>
      <c r="G2" s="1954"/>
      <c r="H2" s="1955"/>
      <c r="I2" s="2040"/>
      <c r="J2" s="3375" t="s">
        <v>1376</v>
      </c>
      <c r="K2" s="3376"/>
      <c r="L2" s="2051" t="s">
        <v>1377</v>
      </c>
      <c r="M2" s="2051" t="s">
        <v>1378</v>
      </c>
      <c r="N2" s="2051" t="s">
        <v>1379</v>
      </c>
      <c r="O2" s="2051" t="s">
        <v>1380</v>
      </c>
      <c r="P2" s="2051" t="s">
        <v>1381</v>
      </c>
      <c r="Q2" s="2088" t="s">
        <v>1382</v>
      </c>
      <c r="R2" s="2089" t="s">
        <v>1383</v>
      </c>
      <c r="S2" s="2009"/>
      <c r="T2" s="2009"/>
      <c r="U2" s="2009"/>
      <c r="V2" s="2040"/>
    </row>
    <row r="3" spans="1:22" s="1938" customFormat="1" ht="13.2" customHeight="1">
      <c r="A3" s="1956" t="s">
        <v>1190</v>
      </c>
      <c r="B3" s="1957" t="e">
        <f>ROUND(B2*10000/B4,0)</f>
        <v>#DIV/0!</v>
      </c>
      <c r="C3" s="1946" t="s">
        <v>1191</v>
      </c>
      <c r="D3" s="1946"/>
      <c r="E3" s="1958"/>
      <c r="F3" s="1953"/>
      <c r="G3" s="1954"/>
      <c r="H3" s="1955"/>
      <c r="I3" s="2040"/>
      <c r="J3" s="3369" t="s">
        <v>1384</v>
      </c>
      <c r="K3" s="3370"/>
      <c r="L3" s="2052"/>
      <c r="M3" s="2052"/>
      <c r="N3" s="2052"/>
      <c r="O3" s="2052"/>
      <c r="P3" s="2052"/>
      <c r="Q3" s="2090"/>
      <c r="R3" s="2091">
        <f>SUM(L3:Q3)</f>
        <v>0</v>
      </c>
      <c r="S3" s="2009"/>
      <c r="T3" s="2009"/>
      <c r="U3" s="2009"/>
      <c r="V3" s="2040"/>
    </row>
    <row r="4" spans="1:22" s="1938" customFormat="1" ht="13.2" customHeight="1">
      <c r="A4" s="1959" t="s">
        <v>1385</v>
      </c>
      <c r="B4" s="1960"/>
      <c r="C4" s="1946"/>
      <c r="D4" s="1946"/>
      <c r="E4" s="1958"/>
      <c r="F4" s="1953"/>
      <c r="G4" s="1954"/>
      <c r="H4" s="1955"/>
      <c r="I4" s="2040"/>
      <c r="J4" s="3369" t="s">
        <v>1386</v>
      </c>
      <c r="K4" s="3370"/>
      <c r="L4" s="2053"/>
      <c r="M4" s="2053"/>
      <c r="N4" s="2053"/>
      <c r="O4" s="2053"/>
      <c r="P4" s="2053"/>
      <c r="Q4" s="2092"/>
      <c r="R4" s="2093">
        <f>SUM(L4:Q4)</f>
        <v>0</v>
      </c>
      <c r="S4" s="2009"/>
      <c r="T4" s="2009"/>
      <c r="U4" s="2009"/>
      <c r="V4" s="2040"/>
    </row>
    <row r="5" spans="1:22" s="1938" customFormat="1" ht="13.2"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2" customHeight="1">
      <c r="A6" s="3379" t="s">
        <v>1390</v>
      </c>
      <c r="B6" s="3380"/>
      <c r="C6" s="3381"/>
      <c r="D6" s="1964"/>
      <c r="E6" s="1965"/>
      <c r="F6" s="1966"/>
      <c r="G6" s="1967"/>
      <c r="H6" s="1955"/>
      <c r="I6" s="2040"/>
      <c r="J6" s="3363">
        <v>1</v>
      </c>
      <c r="K6" s="3366"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2" customHeight="1">
      <c r="A7" s="1968" t="s">
        <v>1400</v>
      </c>
      <c r="B7" s="1969"/>
      <c r="C7" s="1970"/>
      <c r="D7" s="1971">
        <f>SUM(D9,D10,D11,D17,0)</f>
        <v>0</v>
      </c>
      <c r="E7" s="1972" t="e">
        <f>E9+E10+E11+E17</f>
        <v>#DIV/0!</v>
      </c>
      <c r="F7" s="1973"/>
      <c r="G7" s="1974"/>
      <c r="H7" s="1955"/>
      <c r="I7" s="2040"/>
      <c r="J7" s="3363"/>
      <c r="K7" s="3367"/>
      <c r="L7" s="2060" t="s">
        <v>1401</v>
      </c>
      <c r="M7" s="2061"/>
      <c r="N7" s="1960"/>
      <c r="O7" s="2062"/>
      <c r="P7" s="2062"/>
      <c r="Q7" s="1993">
        <v>365</v>
      </c>
      <c r="R7" s="2094">
        <f>ROUND(M7*N7*O7*P7*Q7/10000,0)</f>
        <v>0</v>
      </c>
      <c r="S7" s="2009"/>
      <c r="T7" s="2009" t="s">
        <v>1402</v>
      </c>
      <c r="U7" s="2009"/>
      <c r="V7" s="2040"/>
    </row>
    <row r="8" spans="1:22" s="1938" customFormat="1" ht="13.2" customHeight="1">
      <c r="A8" s="1975" t="s">
        <v>1403</v>
      </c>
      <c r="B8" s="3377" t="s">
        <v>1404</v>
      </c>
      <c r="C8" s="3378"/>
      <c r="D8" s="1978" t="s">
        <v>1405</v>
      </c>
      <c r="E8" s="1979" t="s">
        <v>1406</v>
      </c>
      <c r="F8" s="1980" t="s">
        <v>1407</v>
      </c>
      <c r="G8" s="1981"/>
      <c r="H8" s="1955"/>
      <c r="I8" s="2040"/>
      <c r="J8" s="3363"/>
      <c r="K8" s="3367"/>
      <c r="L8" s="2060" t="s">
        <v>1408</v>
      </c>
      <c r="M8" s="2061"/>
      <c r="N8" s="1960"/>
      <c r="O8" s="2062"/>
      <c r="P8" s="2062"/>
      <c r="Q8" s="1993">
        <v>365</v>
      </c>
      <c r="R8" s="2094">
        <f t="shared" ref="R8:R13" si="0">ROUND(M8*N8*O8*P8*Q8/10000,0)</f>
        <v>0</v>
      </c>
      <c r="S8" s="2009"/>
      <c r="T8" s="2009" t="s">
        <v>1409</v>
      </c>
      <c r="U8" s="2009"/>
      <c r="V8" s="2040"/>
    </row>
    <row r="9" spans="1:22" s="1938" customFormat="1" ht="13.2" customHeight="1">
      <c r="A9" s="1975">
        <v>1</v>
      </c>
      <c r="B9" s="3377" t="s">
        <v>1410</v>
      </c>
      <c r="C9" s="3378"/>
      <c r="D9" s="1978">
        <f>ROUND(D6*E9,0)</f>
        <v>0</v>
      </c>
      <c r="E9" s="1982"/>
      <c r="F9" s="1983" t="s">
        <v>1411</v>
      </c>
      <c r="G9" s="1967"/>
      <c r="H9" s="1955"/>
      <c r="I9" s="2040"/>
      <c r="J9" s="3363"/>
      <c r="K9" s="3367"/>
      <c r="L9" s="2060" t="s">
        <v>1412</v>
      </c>
      <c r="M9" s="2061"/>
      <c r="N9" s="1960"/>
      <c r="O9" s="2062"/>
      <c r="P9" s="2062"/>
      <c r="Q9" s="1993">
        <v>365</v>
      </c>
      <c r="R9" s="2094">
        <f t="shared" si="0"/>
        <v>0</v>
      </c>
      <c r="S9" s="2009"/>
      <c r="T9" s="2009"/>
      <c r="U9" s="2009"/>
      <c r="V9" s="2040"/>
    </row>
    <row r="10" spans="1:22" s="1938" customFormat="1" ht="13.2" customHeight="1">
      <c r="A10" s="1975">
        <v>2</v>
      </c>
      <c r="B10" s="3377" t="s">
        <v>1413</v>
      </c>
      <c r="C10" s="3378"/>
      <c r="D10" s="1978">
        <f>ROUND(D6*E10,0)</f>
        <v>0</v>
      </c>
      <c r="E10" s="1982"/>
      <c r="F10" s="1983" t="s">
        <v>1414</v>
      </c>
      <c r="G10" s="1967"/>
      <c r="H10" s="1955"/>
      <c r="I10" s="2040"/>
      <c r="J10" s="3363"/>
      <c r="K10" s="3367"/>
      <c r="L10" s="2060" t="s">
        <v>1415</v>
      </c>
      <c r="M10" s="2061"/>
      <c r="N10" s="1960"/>
      <c r="O10" s="2062"/>
      <c r="P10" s="2062"/>
      <c r="Q10" s="1993">
        <v>365</v>
      </c>
      <c r="R10" s="2094">
        <f t="shared" si="0"/>
        <v>0</v>
      </c>
      <c r="S10" s="2009"/>
      <c r="T10" s="2009"/>
      <c r="U10" s="2009"/>
      <c r="V10" s="2040"/>
    </row>
    <row r="11" spans="1:22" s="1938" customFormat="1" ht="13.2" customHeight="1">
      <c r="A11" s="1975">
        <v>3</v>
      </c>
      <c r="B11" s="3377" t="s">
        <v>1416</v>
      </c>
      <c r="C11" s="3378"/>
      <c r="D11" s="1978">
        <f>D12+D14+D15+D16</f>
        <v>0</v>
      </c>
      <c r="E11" s="1984" t="e">
        <f>D11/D6</f>
        <v>#DIV/0!</v>
      </c>
      <c r="F11" s="1980"/>
      <c r="G11" s="1981"/>
      <c r="H11" s="1955"/>
      <c r="I11" s="2040"/>
      <c r="J11" s="3363"/>
      <c r="K11" s="3367"/>
      <c r="L11" s="2060" t="s">
        <v>1417</v>
      </c>
      <c r="M11" s="2061"/>
      <c r="N11" s="1960"/>
      <c r="O11" s="2062"/>
      <c r="P11" s="2062"/>
      <c r="Q11" s="1993">
        <v>365</v>
      </c>
      <c r="R11" s="2094">
        <f t="shared" si="0"/>
        <v>0</v>
      </c>
      <c r="S11" s="2009"/>
      <c r="T11" s="2009"/>
      <c r="U11" s="2009"/>
      <c r="V11" s="2040"/>
    </row>
    <row r="12" spans="1:22" s="1938" customFormat="1" ht="13.2" customHeight="1">
      <c r="A12" s="1985" t="s">
        <v>1418</v>
      </c>
      <c r="B12" s="3371" t="s">
        <v>1419</v>
      </c>
      <c r="C12" s="3372"/>
      <c r="D12" s="1988">
        <f>ROUND(D13*1.2%*(1-30%),0)</f>
        <v>0</v>
      </c>
      <c r="E12" s="1989">
        <v>1.2E-2</v>
      </c>
      <c r="F12" s="1980" t="s">
        <v>1420</v>
      </c>
      <c r="G12" s="1981"/>
      <c r="H12" s="1955"/>
      <c r="I12" s="2040"/>
      <c r="J12" s="3363"/>
      <c r="K12" s="3367"/>
      <c r="L12" s="2060" t="s">
        <v>1421</v>
      </c>
      <c r="M12" s="2061"/>
      <c r="N12" s="1960"/>
      <c r="O12" s="2062"/>
      <c r="P12" s="2062"/>
      <c r="Q12" s="1993">
        <v>365</v>
      </c>
      <c r="R12" s="2094">
        <f t="shared" si="0"/>
        <v>0</v>
      </c>
      <c r="S12" s="2009"/>
      <c r="T12" s="2009"/>
      <c r="U12" s="2009"/>
      <c r="V12" s="2040"/>
    </row>
    <row r="13" spans="1:22" s="1938" customFormat="1" ht="13.2" customHeight="1">
      <c r="A13" s="1985"/>
      <c r="B13" s="1986"/>
      <c r="C13" s="1990" t="s">
        <v>1422</v>
      </c>
      <c r="D13" s="1991"/>
      <c r="E13" s="1992"/>
      <c r="F13" s="1980"/>
      <c r="G13" s="1981"/>
      <c r="H13" s="1955"/>
      <c r="I13" s="2040"/>
      <c r="J13" s="3363"/>
      <c r="K13" s="3367"/>
      <c r="L13" s="2060" t="s">
        <v>1423</v>
      </c>
      <c r="M13" s="2061"/>
      <c r="N13" s="1960"/>
      <c r="O13" s="2062"/>
      <c r="P13" s="2062"/>
      <c r="Q13" s="1993">
        <v>365</v>
      </c>
      <c r="R13" s="2094">
        <f t="shared" si="0"/>
        <v>0</v>
      </c>
      <c r="S13" s="2009"/>
      <c r="T13" s="2009"/>
      <c r="U13" s="2009"/>
      <c r="V13" s="2040"/>
    </row>
    <row r="14" spans="1:22" s="1938" customFormat="1" ht="13.2" customHeight="1">
      <c r="A14" s="1985" t="s">
        <v>1424</v>
      </c>
      <c r="B14" s="3371" t="s">
        <v>1425</v>
      </c>
      <c r="C14" s="3372"/>
      <c r="D14" s="1988">
        <f>ROUND(E14*B5/10000,0)</f>
        <v>0</v>
      </c>
      <c r="E14" s="1993"/>
      <c r="F14" s="1980" t="s">
        <v>1426</v>
      </c>
      <c r="G14" s="1981"/>
      <c r="H14" s="1955"/>
      <c r="I14" s="2040"/>
      <c r="J14" s="3363"/>
      <c r="K14" s="3368"/>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2" customHeight="1">
      <c r="A15" s="1985" t="s">
        <v>1428</v>
      </c>
      <c r="B15" s="3371" t="s">
        <v>1429</v>
      </c>
      <c r="C15" s="3372"/>
      <c r="D15" s="1988">
        <f>ROUND(D6*E15,0)</f>
        <v>0</v>
      </c>
      <c r="E15" s="1989">
        <v>5.5E-2</v>
      </c>
      <c r="F15" s="1980" t="s">
        <v>1430</v>
      </c>
      <c r="G15" s="1967"/>
      <c r="H15" s="1955"/>
      <c r="I15" s="2040"/>
      <c r="J15" s="3363">
        <v>2</v>
      </c>
      <c r="K15" s="3366"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2" customHeight="1">
      <c r="A16" s="1985" t="s">
        <v>1436</v>
      </c>
      <c r="B16" s="3371" t="s">
        <v>1437</v>
      </c>
      <c r="C16" s="3372"/>
      <c r="D16" s="1994">
        <f>D6*E16</f>
        <v>0</v>
      </c>
      <c r="E16" s="1995"/>
      <c r="F16" s="1983" t="s">
        <v>1438</v>
      </c>
      <c r="G16" s="1967"/>
      <c r="H16" s="1955"/>
      <c r="I16" s="2040"/>
      <c r="J16" s="3363"/>
      <c r="K16" s="3367"/>
      <c r="L16" s="2060" t="s">
        <v>1439</v>
      </c>
      <c r="M16" s="2061"/>
      <c r="N16" s="2061"/>
      <c r="O16" s="2062"/>
      <c r="P16" s="1993">
        <v>365</v>
      </c>
      <c r="Q16" s="1960"/>
      <c r="R16" s="2096">
        <f>ROUND(M16*N16*O16*P16/10000,0)</f>
        <v>0</v>
      </c>
      <c r="S16" s="2009"/>
      <c r="T16" s="2009"/>
      <c r="U16" s="2009"/>
      <c r="V16" s="2040"/>
    </row>
    <row r="17" spans="1:22" s="1938" customFormat="1" ht="13.2" customHeight="1">
      <c r="A17" s="1996">
        <v>4</v>
      </c>
      <c r="B17" s="3373" t="s">
        <v>1440</v>
      </c>
      <c r="C17" s="3374"/>
      <c r="D17" s="1997">
        <f>ROUND(D6*E17,0)</f>
        <v>0</v>
      </c>
      <c r="E17" s="1998"/>
      <c r="F17" s="1999" t="s">
        <v>1441</v>
      </c>
      <c r="G17" s="1967"/>
      <c r="H17" s="1955"/>
      <c r="I17" s="2040"/>
      <c r="J17" s="3363"/>
      <c r="K17" s="3367"/>
      <c r="L17" s="2060" t="s">
        <v>1442</v>
      </c>
      <c r="M17" s="2061"/>
      <c r="N17" s="2061"/>
      <c r="O17" s="2062"/>
      <c r="P17" s="1993">
        <v>365</v>
      </c>
      <c r="Q17" s="1960"/>
      <c r="R17" s="2096">
        <f>ROUND(M17*N17*O17*P17/10000,0)</f>
        <v>0</v>
      </c>
      <c r="S17" s="2009"/>
      <c r="T17" s="2009"/>
      <c r="U17" s="2009"/>
      <c r="V17" s="2040"/>
    </row>
    <row r="18" spans="1:22" s="1938" customFormat="1" ht="13.2" customHeight="1">
      <c r="A18" s="1968" t="s">
        <v>1443</v>
      </c>
      <c r="B18" s="1969"/>
      <c r="C18" s="1969"/>
      <c r="D18" s="2000">
        <f>ROUND(D6*E18,0)</f>
        <v>0</v>
      </c>
      <c r="E18" s="2001"/>
      <c r="F18" s="2002" t="s">
        <v>1444</v>
      </c>
      <c r="G18" s="1967"/>
      <c r="H18" s="1955"/>
      <c r="I18" s="2040"/>
      <c r="J18" s="3363"/>
      <c r="K18" s="3367"/>
      <c r="L18" s="2060" t="s">
        <v>1445</v>
      </c>
      <c r="M18" s="2061"/>
      <c r="N18" s="2061"/>
      <c r="O18" s="2062"/>
      <c r="P18" s="1993">
        <v>365</v>
      </c>
      <c r="Q18" s="1960"/>
      <c r="R18" s="2096">
        <f>ROUND(M18*N18*O18*P18/10000,0)</f>
        <v>0</v>
      </c>
      <c r="S18" s="2009"/>
      <c r="T18" s="2009"/>
      <c r="U18" s="2009"/>
      <c r="V18" s="2040"/>
    </row>
    <row r="19" spans="1:22" s="1938" customFormat="1" ht="13.2" customHeight="1">
      <c r="A19" s="2003" t="s">
        <v>1446</v>
      </c>
      <c r="B19" s="1965"/>
      <c r="C19" s="1965"/>
      <c r="D19" s="1965"/>
      <c r="E19" s="1965"/>
      <c r="F19" s="1966"/>
      <c r="G19" s="1981"/>
      <c r="H19" s="1955"/>
      <c r="I19" s="2040"/>
      <c r="J19" s="3363"/>
      <c r="K19" s="3368"/>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2" customHeight="1">
      <c r="A20" s="1968"/>
      <c r="B20" s="1969"/>
      <c r="C20" s="1969"/>
      <c r="D20" s="1969"/>
      <c r="E20" s="1969"/>
      <c r="F20" s="2004"/>
      <c r="G20" s="1981"/>
      <c r="H20" s="1955"/>
      <c r="I20" s="2040"/>
      <c r="J20" s="3363">
        <v>3</v>
      </c>
      <c r="K20" s="3366"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2" customHeight="1">
      <c r="A21" s="1968"/>
      <c r="B21" s="1969"/>
      <c r="C21" s="1976" t="s">
        <v>1453</v>
      </c>
      <c r="D21" s="2005" t="s">
        <v>1454</v>
      </c>
      <c r="E21" s="1977" t="s">
        <v>1455</v>
      </c>
      <c r="F21" s="2004"/>
      <c r="G21" s="1981"/>
      <c r="H21" s="1955"/>
      <c r="I21" s="2040"/>
      <c r="J21" s="3363"/>
      <c r="K21" s="3367"/>
      <c r="L21" s="2060" t="s">
        <v>1456</v>
      </c>
      <c r="M21" s="2061"/>
      <c r="N21" s="2061"/>
      <c r="O21" s="2062"/>
      <c r="P21" s="1993">
        <v>365</v>
      </c>
      <c r="Q21" s="1960"/>
      <c r="R21" s="2098">
        <f>ROUND(M21*N21*O21*P21/10000,0)</f>
        <v>0</v>
      </c>
      <c r="S21" s="2009"/>
      <c r="T21" s="2009"/>
      <c r="U21" s="2009"/>
      <c r="V21" s="2040"/>
    </row>
    <row r="22" spans="1:22" s="1938" customFormat="1" ht="13.2" customHeight="1">
      <c r="A22" s="1968"/>
      <c r="B22" s="1969"/>
      <c r="C22" s="2006" t="s">
        <v>1457</v>
      </c>
      <c r="D22" s="2007" t="s">
        <v>1458</v>
      </c>
      <c r="E22" s="2008" t="s">
        <v>1459</v>
      </c>
      <c r="F22" s="2004"/>
      <c r="G22" s="2009"/>
      <c r="H22" s="1955"/>
      <c r="I22" s="2040"/>
      <c r="J22" s="3363"/>
      <c r="K22" s="3367"/>
      <c r="L22" s="2060" t="s">
        <v>1460</v>
      </c>
      <c r="M22" s="2061"/>
      <c r="N22" s="2061"/>
      <c r="O22" s="2062"/>
      <c r="P22" s="1993">
        <v>365</v>
      </c>
      <c r="Q22" s="1960"/>
      <c r="R22" s="2098">
        <f>ROUND(M22*N22*O22*P22/10000,0)</f>
        <v>0</v>
      </c>
      <c r="S22" s="2009"/>
      <c r="T22" s="2009"/>
      <c r="U22" s="2009"/>
      <c r="V22" s="2040"/>
    </row>
    <row r="23" spans="1:22" s="1938" customFormat="1" ht="13.2" customHeight="1">
      <c r="A23" s="2010">
        <v>1</v>
      </c>
      <c r="B23" s="2011" t="s">
        <v>1461</v>
      </c>
      <c r="C23" s="2012">
        <f>D6</f>
        <v>0</v>
      </c>
      <c r="D23" s="2013">
        <f>C23*(1+D24)</f>
        <v>0</v>
      </c>
      <c r="E23" s="2014">
        <f>D23*(1+E24)</f>
        <v>0</v>
      </c>
      <c r="F23" s="2015"/>
      <c r="G23" s="2016"/>
      <c r="H23" s="1955"/>
      <c r="I23" s="2040"/>
      <c r="J23" s="3363"/>
      <c r="K23" s="3367"/>
      <c r="L23" s="2060" t="s">
        <v>1462</v>
      </c>
      <c r="M23" s="2061"/>
      <c r="N23" s="2061"/>
      <c r="O23" s="2062"/>
      <c r="P23" s="1993">
        <v>365</v>
      </c>
      <c r="Q23" s="1960"/>
      <c r="R23" s="2098">
        <f>ROUND(M23*N23*O23*P23/10000,0)</f>
        <v>0</v>
      </c>
      <c r="S23" s="2009"/>
      <c r="T23" s="2009"/>
      <c r="U23" s="2009"/>
      <c r="V23" s="2040"/>
    </row>
    <row r="24" spans="1:22" s="1938" customFormat="1" ht="13.2" customHeight="1">
      <c r="A24" s="2017"/>
      <c r="B24" s="2018" t="s">
        <v>1463</v>
      </c>
      <c r="C24" s="2019"/>
      <c r="D24" s="2020"/>
      <c r="E24" s="2021"/>
      <c r="F24" s="2022"/>
      <c r="G24" s="2016"/>
      <c r="H24" s="1955"/>
      <c r="I24" s="2040"/>
      <c r="J24" s="3363"/>
      <c r="K24" s="3368"/>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2"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2" customHeight="1">
      <c r="A26" s="2010">
        <v>2</v>
      </c>
      <c r="B26" s="2011" t="s">
        <v>1465</v>
      </c>
      <c r="C26" s="2012">
        <f>D7</f>
        <v>0</v>
      </c>
      <c r="D26" s="2013">
        <f>D23*D27</f>
        <v>0</v>
      </c>
      <c r="E26" s="2014">
        <f>E23*E27</f>
        <v>0</v>
      </c>
      <c r="F26" s="2015"/>
      <c r="G26" s="2016"/>
      <c r="H26" s="1955"/>
      <c r="I26" s="2040"/>
      <c r="J26" s="3364">
        <v>5</v>
      </c>
      <c r="K26" s="2071" t="s">
        <v>1466</v>
      </c>
      <c r="L26" s="2072"/>
      <c r="M26" s="2073"/>
      <c r="N26" s="2074" t="s">
        <v>504</v>
      </c>
      <c r="O26" s="2074" t="s">
        <v>1467</v>
      </c>
      <c r="P26" s="2075" t="s">
        <v>1468</v>
      </c>
      <c r="Q26" s="2075" t="s">
        <v>1469</v>
      </c>
      <c r="R26" s="2091" t="s">
        <v>1398</v>
      </c>
      <c r="S26" s="1981"/>
      <c r="T26" s="1981"/>
      <c r="U26" s="1981"/>
      <c r="V26" s="2076"/>
    </row>
    <row r="27" spans="1:22" s="1938" customFormat="1" ht="13.2" customHeight="1">
      <c r="A27" s="2017"/>
      <c r="B27" s="2018" t="s">
        <v>1470</v>
      </c>
      <c r="C27" s="2023" t="e">
        <f>E7</f>
        <v>#DIV/0!</v>
      </c>
      <c r="D27" s="2020"/>
      <c r="E27" s="2021"/>
      <c r="F27" s="2022"/>
      <c r="G27" s="2016"/>
      <c r="H27" s="2024"/>
      <c r="I27" s="2076"/>
      <c r="J27" s="3365"/>
      <c r="K27" s="2077"/>
      <c r="L27" s="2078"/>
      <c r="M27" s="2079"/>
      <c r="N27" s="2080"/>
      <c r="O27" s="2080"/>
      <c r="P27" s="2080"/>
      <c r="Q27" s="2100"/>
      <c r="R27" s="2097">
        <f>ROUND(O27*N27*P27*(1-Q27)/10000,0)</f>
        <v>0</v>
      </c>
      <c r="S27" s="2009"/>
      <c r="T27" s="2009"/>
      <c r="U27" s="2009"/>
      <c r="V27" s="2040"/>
    </row>
    <row r="28" spans="1:22" s="1939" customFormat="1" ht="13.2"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2"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2"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2"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2" customHeight="1">
      <c r="A32" s="2010">
        <v>4</v>
      </c>
      <c r="B32" s="2011" t="s">
        <v>1478</v>
      </c>
      <c r="C32" s="2012">
        <f>C23-C26-C29</f>
        <v>0</v>
      </c>
      <c r="D32" s="2013">
        <f>D23-D26-D29</f>
        <v>0</v>
      </c>
      <c r="E32" s="2014">
        <f>E23-E26-E29</f>
        <v>0</v>
      </c>
      <c r="F32" s="2015"/>
      <c r="G32" s="2009"/>
      <c r="H32" s="1955"/>
      <c r="I32" s="2040"/>
      <c r="J32" s="3375" t="s">
        <v>1376</v>
      </c>
      <c r="K32" s="3376"/>
      <c r="L32" s="2051" t="s">
        <v>1377</v>
      </c>
      <c r="M32" s="2051" t="s">
        <v>1378</v>
      </c>
      <c r="N32" s="2051" t="s">
        <v>1379</v>
      </c>
      <c r="O32" s="2051" t="s">
        <v>1380</v>
      </c>
      <c r="P32" s="2051" t="s">
        <v>1381</v>
      </c>
      <c r="Q32" s="2088" t="s">
        <v>1382</v>
      </c>
      <c r="R32" s="2103" t="s">
        <v>1383</v>
      </c>
      <c r="S32" s="2009"/>
      <c r="T32" s="2009"/>
      <c r="U32" s="2009"/>
      <c r="V32" s="2076"/>
    </row>
    <row r="33" spans="1:23" s="1938" customFormat="1" ht="13.2" customHeight="1">
      <c r="A33" s="2010"/>
      <c r="B33" s="2011"/>
      <c r="C33" s="2012"/>
      <c r="D33" s="2027"/>
      <c r="E33" s="1987"/>
      <c r="F33" s="2015"/>
      <c r="G33" s="2009"/>
      <c r="H33" s="2024"/>
      <c r="I33" s="2076"/>
      <c r="J33" s="3369" t="s">
        <v>1384</v>
      </c>
      <c r="K33" s="3370"/>
      <c r="L33" s="2052"/>
      <c r="M33" s="2052"/>
      <c r="N33" s="2052"/>
      <c r="O33" s="2052"/>
      <c r="P33" s="2052"/>
      <c r="Q33" s="2090"/>
      <c r="R33" s="2104">
        <f>SUM(L33:Q33)</f>
        <v>0</v>
      </c>
      <c r="S33" s="2009"/>
      <c r="T33" s="2009"/>
      <c r="U33" s="2009"/>
      <c r="V33" s="2040"/>
    </row>
    <row r="34" spans="1:23" s="1938" customFormat="1" ht="13.2" customHeight="1">
      <c r="A34" s="2010">
        <v>5</v>
      </c>
      <c r="B34" s="2011" t="s">
        <v>1479</v>
      </c>
      <c r="C34" s="2028"/>
      <c r="D34" s="2029"/>
      <c r="E34" s="2030"/>
      <c r="F34" s="2015"/>
      <c r="G34" s="2009"/>
      <c r="H34" s="2024"/>
      <c r="I34" s="2076"/>
      <c r="J34" s="3369" t="s">
        <v>1386</v>
      </c>
      <c r="K34" s="3370"/>
      <c r="L34" s="2053"/>
      <c r="M34" s="2053"/>
      <c r="N34" s="2053"/>
      <c r="O34" s="2053"/>
      <c r="P34" s="2053"/>
      <c r="Q34" s="2092"/>
      <c r="R34" s="2105">
        <f>SUM(L34:Q34)</f>
        <v>0</v>
      </c>
      <c r="S34" s="2009"/>
      <c r="T34" s="2009"/>
      <c r="U34" s="2009" t="e">
        <f>ROUND(R35*10000/365/R33,1)</f>
        <v>#DIV/0!</v>
      </c>
      <c r="V34" s="2040"/>
    </row>
    <row r="35" spans="1:23" s="1938" customFormat="1" ht="13.2"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2" customHeight="1">
      <c r="A36" s="2010">
        <v>7</v>
      </c>
      <c r="B36" s="2035" t="s">
        <v>1481</v>
      </c>
      <c r="C36" s="2036"/>
      <c r="D36" s="2037"/>
      <c r="E36" s="2038"/>
      <c r="F36" s="2039">
        <f>C36+D36+E36</f>
        <v>0</v>
      </c>
      <c r="G36" s="2009"/>
      <c r="H36" s="1955"/>
      <c r="I36" s="2040"/>
      <c r="J36" s="3363">
        <v>1</v>
      </c>
      <c r="K36" s="3366" t="s">
        <v>1482</v>
      </c>
      <c r="L36" s="2058"/>
      <c r="M36" s="2059"/>
      <c r="N36" s="2059"/>
      <c r="O36" s="2059"/>
      <c r="P36" s="2059"/>
      <c r="Q36" s="2059"/>
      <c r="R36" s="2091" t="s">
        <v>1398</v>
      </c>
      <c r="S36" s="2009"/>
      <c r="T36" s="2009" t="s">
        <v>1399</v>
      </c>
      <c r="U36" s="2009"/>
      <c r="V36" s="2040"/>
    </row>
    <row r="37" spans="1:23" s="1938" customFormat="1" ht="13.2" customHeight="1">
      <c r="A37" s="2010"/>
      <c r="B37" s="2011"/>
      <c r="C37" s="2011"/>
      <c r="D37" s="2011"/>
      <c r="E37" s="2011"/>
      <c r="F37" s="2015"/>
      <c r="G37" s="2009"/>
      <c r="H37" s="1955"/>
      <c r="I37" s="2040"/>
      <c r="J37" s="3363"/>
      <c r="K37" s="3367"/>
      <c r="L37" s="2060"/>
      <c r="M37" s="2061"/>
      <c r="N37" s="1960"/>
      <c r="O37" s="2062"/>
      <c r="P37" s="2062"/>
      <c r="Q37" s="1993"/>
      <c r="R37" s="2094"/>
      <c r="S37" s="2009"/>
      <c r="T37" s="2009" t="s">
        <v>1402</v>
      </c>
      <c r="U37" s="2009"/>
      <c r="V37" s="2040"/>
    </row>
    <row r="38" spans="1:23" s="1938" customFormat="1" ht="13.2" customHeight="1">
      <c r="A38" s="2010">
        <v>8</v>
      </c>
      <c r="B38" s="2011"/>
      <c r="C38" s="1978" t="e">
        <f>ROUND(C32*(1-((1+C35)/(1+C34))^C36)/(C34-C35),0)</f>
        <v>#DIV/0!</v>
      </c>
      <c r="D38" s="1978">
        <f>IF(D23=0,0,ROUND(D32*(1-((1+D35)/(1+D34))^D36)/(D34-D35),0))</f>
        <v>0</v>
      </c>
      <c r="E38" s="1978">
        <f>IF(E23=0,0,ROUND(E32*(1-((1+E35)/(1+E34))^E36)/(E34-E35),0))</f>
        <v>0</v>
      </c>
      <c r="F38" s="2015"/>
      <c r="G38" s="2009"/>
      <c r="H38" s="1955"/>
      <c r="I38" s="2040"/>
      <c r="J38" s="3363"/>
      <c r="K38" s="3367"/>
      <c r="L38" s="2060"/>
      <c r="M38" s="2061"/>
      <c r="N38" s="1960"/>
      <c r="O38" s="2062"/>
      <c r="P38" s="2062"/>
      <c r="Q38" s="1993"/>
      <c r="R38" s="2094"/>
      <c r="S38" s="2009"/>
      <c r="T38" s="2009" t="s">
        <v>1409</v>
      </c>
      <c r="U38" s="2009"/>
      <c r="V38" s="2040"/>
    </row>
    <row r="39" spans="1:23" s="1938" customFormat="1" ht="13.2" customHeight="1">
      <c r="A39" s="2010">
        <v>9</v>
      </c>
      <c r="B39" s="2011" t="s">
        <v>1483</v>
      </c>
      <c r="C39" s="1988" t="e">
        <f>C38</f>
        <v>#DIV/0!</v>
      </c>
      <c r="D39" s="2011">
        <f>D38/(1+D34)^C36</f>
        <v>0</v>
      </c>
      <c r="E39" s="2011">
        <f>E38/(1+E34)^(C36+D36)</f>
        <v>0</v>
      </c>
      <c r="F39" s="2015"/>
      <c r="G39" s="2040"/>
      <c r="H39" s="1955"/>
      <c r="I39" s="2040"/>
      <c r="J39" s="3363"/>
      <c r="K39" s="3367"/>
      <c r="L39" s="2060"/>
      <c r="M39" s="2061"/>
      <c r="N39" s="1960"/>
      <c r="O39" s="2062"/>
      <c r="P39" s="2062"/>
      <c r="Q39" s="1993"/>
      <c r="R39" s="2094"/>
      <c r="S39" s="2009"/>
      <c r="T39" s="2009"/>
      <c r="U39" s="2009"/>
      <c r="V39" s="2040"/>
    </row>
    <row r="40" spans="1:23" s="1938" customFormat="1" ht="13.2" customHeight="1">
      <c r="A40" s="2041">
        <v>10</v>
      </c>
      <c r="B40" s="2011" t="s">
        <v>1484</v>
      </c>
      <c r="C40" s="2042" t="e">
        <f>C39+D39+E39</f>
        <v>#DIV/0!</v>
      </c>
      <c r="D40" s="2043"/>
      <c r="E40" s="2043"/>
      <c r="F40" s="2044"/>
      <c r="G40" s="2009"/>
      <c r="H40" s="1955"/>
      <c r="I40" s="2040"/>
      <c r="J40" s="3363"/>
      <c r="K40" s="3368"/>
      <c r="L40" s="2063" t="s">
        <v>1427</v>
      </c>
      <c r="M40" s="2064"/>
      <c r="N40" s="2064"/>
      <c r="O40" s="2065"/>
      <c r="P40" s="2065"/>
      <c r="Q40" s="2095"/>
      <c r="R40" s="2089">
        <f>SUM(R37:R39)</f>
        <v>0</v>
      </c>
      <c r="S40" s="2009"/>
      <c r="T40" s="2009"/>
      <c r="U40" s="2009"/>
      <c r="V40" s="2040"/>
    </row>
    <row r="41" spans="1:23" s="1938" customFormat="1" ht="13.2"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2" customHeight="1">
      <c r="G42" s="1955"/>
      <c r="H42" s="1955"/>
      <c r="I42" s="2040"/>
      <c r="J42" s="3364">
        <v>3</v>
      </c>
      <c r="K42" s="2071" t="s">
        <v>1466</v>
      </c>
      <c r="L42" s="2072"/>
      <c r="M42" s="2073"/>
      <c r="N42" s="2074" t="s">
        <v>504</v>
      </c>
      <c r="O42" s="2074" t="s">
        <v>1467</v>
      </c>
      <c r="P42" s="2075" t="s">
        <v>1468</v>
      </c>
      <c r="Q42" s="2075" t="s">
        <v>1469</v>
      </c>
      <c r="R42" s="2091" t="s">
        <v>1398</v>
      </c>
      <c r="S42" s="1981"/>
      <c r="T42" s="1981"/>
      <c r="U42" s="2009"/>
      <c r="V42" s="2040"/>
    </row>
    <row r="43" spans="1:23" ht="13.2" customHeight="1">
      <c r="A43" s="1938"/>
      <c r="B43" s="1938"/>
      <c r="C43" s="1938"/>
      <c r="D43" s="1938"/>
      <c r="E43" s="1938"/>
      <c r="F43" s="1938"/>
      <c r="I43" s="1941"/>
      <c r="J43" s="3365"/>
      <c r="K43" s="2077"/>
      <c r="L43" s="2078"/>
      <c r="M43" s="2079"/>
      <c r="N43" s="2061"/>
      <c r="O43" s="2061"/>
      <c r="P43" s="2061"/>
      <c r="Q43" s="2099"/>
      <c r="R43" s="2097">
        <f>ROUND(O43*N43*P43*(1-Q43)/10000,0)</f>
        <v>0</v>
      </c>
      <c r="S43" s="2009"/>
      <c r="T43" s="2009"/>
      <c r="V43" s="1943"/>
      <c r="W43" s="2107"/>
    </row>
    <row r="44" spans="1:23" ht="13.2"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500-000000000000}">
      <formula1>"在建（套用方法）,土地（套用方法）,——"</formula1>
    </dataValidation>
    <dataValidation type="list" allowBlank="1" showInputMessage="1" showErrorMessage="1" sqref="D2" xr:uid="{00000000-0002-0000-1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2000000}">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workbookViewId="0">
      <selection activeCell="I13" sqref="I13"/>
    </sheetView>
  </sheetViews>
  <sheetFormatPr defaultColWidth="9" defaultRowHeight="13.8"/>
  <cols>
    <col min="1" max="1" width="23.6640625" style="1166" customWidth="1"/>
    <col min="2" max="2" width="12" style="1166" customWidth="1"/>
    <col min="3" max="3" width="9" style="1166"/>
    <col min="4" max="4" width="14.109375" style="1166" customWidth="1"/>
    <col min="5" max="5" width="9" style="1166"/>
    <col min="6" max="6" width="12.88671875" style="1166" customWidth="1"/>
    <col min="7" max="16384" width="9" style="1166"/>
  </cols>
  <sheetData>
    <row r="1" spans="1:22" ht="21.6">
      <c r="A1" s="1167" t="s">
        <v>1486</v>
      </c>
      <c r="B1" s="972"/>
      <c r="C1" s="972"/>
      <c r="D1" s="972"/>
      <c r="E1" s="1920"/>
      <c r="F1" s="1921"/>
      <c r="G1" s="1781"/>
      <c r="H1" s="1781"/>
      <c r="I1" s="1781"/>
      <c r="J1" s="1781"/>
      <c r="K1" s="1781"/>
      <c r="L1" s="1781"/>
      <c r="M1" s="1781"/>
      <c r="N1" s="1781"/>
      <c r="O1" s="1781"/>
      <c r="P1" s="1781"/>
      <c r="Q1" s="1781"/>
      <c r="R1" s="1781"/>
      <c r="S1" s="1781"/>
    </row>
    <row r="2" spans="1:22" ht="15.6">
      <c r="A2" s="1922" t="s">
        <v>1031</v>
      </c>
      <c r="B2" s="1000">
        <f ca="1">SUMIF(B6:B13,"&lt;&gt;#ref!",B6:B13)</f>
        <v>73.862099999999998</v>
      </c>
      <c r="C2" s="1923" t="s">
        <v>1487</v>
      </c>
      <c r="D2" s="1924" t="s">
        <v>1488</v>
      </c>
      <c r="E2" s="1925">
        <f>SUM(E6:E13)</f>
        <v>115.43</v>
      </c>
      <c r="F2" s="1921"/>
      <c r="G2" s="1781"/>
      <c r="H2" s="1781"/>
      <c r="I2" s="1781"/>
      <c r="J2" s="1781"/>
      <c r="K2" s="1781"/>
      <c r="L2" s="1781"/>
      <c r="M2" s="1781"/>
      <c r="N2" s="1781"/>
      <c r="O2" s="1781"/>
      <c r="P2" s="1781"/>
      <c r="Q2" s="1781"/>
      <c r="R2" s="1781"/>
      <c r="S2" s="1781"/>
    </row>
    <row r="3" spans="1:22" ht="15.6">
      <c r="A3" s="1922" t="s">
        <v>1033</v>
      </c>
      <c r="B3" s="1926">
        <f ca="1">ROUND(B2*10000/E2,0)</f>
        <v>6399</v>
      </c>
      <c r="C3" s="1923" t="s">
        <v>1489</v>
      </c>
      <c r="D3" s="1921"/>
      <c r="E3" s="1927"/>
      <c r="F3" s="1921"/>
      <c r="G3" s="1781"/>
      <c r="H3" s="1781"/>
      <c r="I3" s="1781"/>
      <c r="J3" s="1781"/>
      <c r="K3" s="1781"/>
      <c r="L3" s="1781"/>
      <c r="M3" s="1781"/>
      <c r="N3" s="1781"/>
      <c r="O3" s="1781"/>
      <c r="P3" s="1781"/>
      <c r="Q3" s="1781"/>
      <c r="R3" s="1781"/>
      <c r="S3" s="1781"/>
    </row>
    <row r="4" spans="1:22" ht="15.6">
      <c r="A4" s="1928"/>
      <c r="B4" s="1921"/>
      <c r="C4" s="1921"/>
      <c r="D4" s="1921"/>
      <c r="E4" s="1927"/>
      <c r="F4" s="1921"/>
      <c r="G4" s="1781"/>
      <c r="H4" s="1781"/>
      <c r="I4" s="1781"/>
      <c r="J4" s="1781"/>
      <c r="K4" s="1781"/>
      <c r="L4" s="1781"/>
      <c r="M4" s="1781"/>
      <c r="N4" s="1781"/>
      <c r="O4" s="1781"/>
      <c r="P4" s="1781"/>
      <c r="Q4" s="1781"/>
      <c r="R4" s="1781"/>
      <c r="S4" s="1781"/>
    </row>
    <row r="5" spans="1:22" ht="14.4">
      <c r="A5" s="1929" t="s">
        <v>1490</v>
      </c>
      <c r="B5" s="3382" t="s">
        <v>1491</v>
      </c>
      <c r="C5" s="3383"/>
      <c r="D5" s="1930"/>
      <c r="E5" s="1931" t="s">
        <v>1492</v>
      </c>
      <c r="F5" s="1888" t="s">
        <v>1493</v>
      </c>
      <c r="G5" s="1781"/>
      <c r="H5" s="1781"/>
      <c r="I5" s="1781"/>
      <c r="J5" s="1781"/>
      <c r="K5" s="1781"/>
      <c r="L5" s="1781"/>
      <c r="M5" s="1781"/>
      <c r="N5" s="1781"/>
      <c r="O5" s="1781"/>
      <c r="P5" s="1781"/>
      <c r="Q5" s="1781"/>
      <c r="R5" s="1781"/>
      <c r="S5" s="1781"/>
    </row>
    <row r="6" spans="1:22" ht="14.4">
      <c r="A6" s="1932" t="str">
        <f>'数据-取费表'!AN6</f>
        <v>收益法 (元)</v>
      </c>
      <c r="B6" s="1170">
        <f ca="1">IF(F6="是",'数据-取费表'!AO6,0)</f>
        <v>73.862099999999998</v>
      </c>
      <c r="C6" s="1923" t="s">
        <v>1487</v>
      </c>
      <c r="D6" s="1921"/>
      <c r="E6" s="1933">
        <f>IF(OR(A6=0,F6="否"),0,'数据-取费表'!K6+'数据-取费表'!S6)</f>
        <v>115.43</v>
      </c>
      <c r="F6" s="1934" t="s">
        <v>1494</v>
      </c>
      <c r="G6" s="1781"/>
      <c r="H6" s="1781"/>
      <c r="I6" s="1781"/>
      <c r="J6" s="1781"/>
      <c r="K6" s="1781"/>
      <c r="L6" s="1781"/>
      <c r="M6" s="1781"/>
      <c r="N6" s="1781"/>
      <c r="O6" s="1781"/>
      <c r="P6" s="1781"/>
      <c r="Q6" s="1781"/>
      <c r="R6" s="1781"/>
      <c r="S6" s="1781"/>
    </row>
    <row r="7" spans="1:22" ht="14.4">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ht="14.4">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ht="14.4">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ht="14.4">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ht="14.4">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ht="14.4">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ht="14.4">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3.8"/>
  <cols>
    <col min="1" max="1" width="10.44140625" style="1290" customWidth="1"/>
    <col min="2" max="3" width="15.77734375" style="1290" customWidth="1"/>
    <col min="4" max="4" width="12.21875" style="1290" customWidth="1"/>
    <col min="5" max="5" width="17.109375" style="1290" customWidth="1"/>
    <col min="6" max="6" width="12.21875" style="1290" customWidth="1"/>
    <col min="7" max="7" width="16.44140625" style="1290" customWidth="1"/>
    <col min="8" max="8" width="12.21875" style="1290" customWidth="1"/>
    <col min="9" max="9" width="15.6640625" style="1290" customWidth="1"/>
    <col min="10" max="10" width="12.21875" style="1290" customWidth="1"/>
    <col min="11" max="11" width="12.21875" style="1291" customWidth="1"/>
    <col min="12" max="12" width="12.21875" style="1292" customWidth="1"/>
    <col min="13" max="15" width="12.21875" style="1290" customWidth="1"/>
    <col min="16" max="16" width="4.77734375" style="1821"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115.43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4.4">
      <c r="A4" s="1303" t="s">
        <v>1500</v>
      </c>
      <c r="B4" s="1304"/>
      <c r="C4" s="3421" t="s">
        <v>1501</v>
      </c>
      <c r="D4" s="3422"/>
      <c r="E4" s="3423" t="s">
        <v>1502</v>
      </c>
      <c r="F4" s="3424"/>
      <c r="G4" s="3421" t="s">
        <v>1503</v>
      </c>
      <c r="H4" s="3422"/>
      <c r="I4" s="3421" t="s">
        <v>1504</v>
      </c>
      <c r="J4" s="3422"/>
      <c r="K4" s="1857"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84" t="s">
        <v>1503</v>
      </c>
      <c r="AC4" s="3384" t="s">
        <v>1504</v>
      </c>
    </row>
    <row r="5" spans="1:29">
      <c r="A5" s="1305"/>
      <c r="B5" s="1306"/>
      <c r="C5" s="3425" t="s">
        <v>1507</v>
      </c>
      <c r="D5" s="3426"/>
      <c r="E5" s="3427" t="s">
        <v>1508</v>
      </c>
      <c r="F5" s="3428"/>
      <c r="G5" s="3425" t="s">
        <v>1509</v>
      </c>
      <c r="H5" s="3426"/>
      <c r="I5" s="3425" t="s">
        <v>1510</v>
      </c>
      <c r="J5" s="3426"/>
      <c r="K5" s="1858"/>
      <c r="L5" s="1447"/>
      <c r="M5" s="1398"/>
      <c r="N5" s="1398"/>
      <c r="O5" s="1398"/>
      <c r="P5" s="3389"/>
      <c r="Q5" s="3390"/>
      <c r="R5" s="3395"/>
      <c r="S5" s="3396"/>
      <c r="T5" s="3395"/>
      <c r="U5" s="3396"/>
      <c r="V5" s="3399"/>
      <c r="W5" s="3399"/>
      <c r="X5" s="1489"/>
      <c r="Y5" s="3395"/>
      <c r="Z5" s="3396"/>
      <c r="AA5" s="3385"/>
      <c r="AB5" s="3385"/>
      <c r="AC5" s="3385"/>
    </row>
    <row r="6" spans="1:29" ht="14.4">
      <c r="A6" s="1307"/>
      <c r="B6" s="1308"/>
      <c r="C6" s="3416" t="s">
        <v>1511</v>
      </c>
      <c r="D6" s="3417"/>
      <c r="E6" s="3418" t="s">
        <v>1511</v>
      </c>
      <c r="F6" s="3419"/>
      <c r="G6" s="3416" t="s">
        <v>1511</v>
      </c>
      <c r="H6" s="3417"/>
      <c r="I6" s="3416" t="s">
        <v>1511</v>
      </c>
      <c r="J6" s="3417"/>
      <c r="K6" s="1858" t="s">
        <v>1512</v>
      </c>
      <c r="L6" s="1447"/>
      <c r="M6" s="1398"/>
      <c r="N6" s="1398"/>
      <c r="O6" s="1398"/>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4" t="s">
        <v>1514</v>
      </c>
      <c r="Q7" s="3420"/>
      <c r="R7" s="1490" t="s">
        <v>1515</v>
      </c>
      <c r="S7" s="1491">
        <f t="shared" ref="S7:S15" si="0">F7</f>
        <v>0</v>
      </c>
      <c r="T7" s="1490" t="s">
        <v>1515</v>
      </c>
      <c r="U7" s="1491">
        <f t="shared" ref="U7:U15" si="1">H7</f>
        <v>0</v>
      </c>
      <c r="V7" s="1490" t="s">
        <v>1515</v>
      </c>
      <c r="W7" s="1491">
        <f t="shared" ref="W7:W15" si="2">J7</f>
        <v>0</v>
      </c>
      <c r="X7" s="1492"/>
      <c r="Y7" s="3404" t="s">
        <v>1514</v>
      </c>
      <c r="Z7" s="3405"/>
      <c r="AA7" s="1501" t="e">
        <f>D7/F7</f>
        <v>#DIV/0!</v>
      </c>
      <c r="AB7" s="1501" t="e">
        <f>D7/H7</f>
        <v>#DIV/0!</v>
      </c>
      <c r="AC7" s="1501" t="e">
        <f>D7/J7</f>
        <v>#DIV/0!</v>
      </c>
    </row>
    <row r="8" spans="1:29" s="1284" customFormat="1" ht="14.4">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4" t="s">
        <v>1517</v>
      </c>
      <c r="Q8" s="3405"/>
      <c r="R8" s="1490" t="s">
        <v>1515</v>
      </c>
      <c r="S8" s="1491">
        <f t="shared" si="0"/>
        <v>100</v>
      </c>
      <c r="T8" s="1490" t="s">
        <v>1515</v>
      </c>
      <c r="U8" s="1491">
        <f t="shared" si="1"/>
        <v>100</v>
      </c>
      <c r="V8" s="1490" t="s">
        <v>1515</v>
      </c>
      <c r="W8" s="1491">
        <f t="shared" si="2"/>
        <v>100</v>
      </c>
      <c r="X8" s="1492"/>
      <c r="Y8" s="3404" t="s">
        <v>1517</v>
      </c>
      <c r="Z8" s="3405"/>
      <c r="AA8" s="1501">
        <f t="shared" ref="AA8:AA19" si="3">D8/F8</f>
        <v>1</v>
      </c>
      <c r="AB8" s="1501">
        <f t="shared" ref="AB8:AB19" si="4">D8/H8</f>
        <v>1</v>
      </c>
      <c r="AC8" s="1501">
        <f t="shared" ref="AC8:AC19" si="5">D8/J8</f>
        <v>1</v>
      </c>
    </row>
    <row r="9" spans="1:29" s="1284" customFormat="1" ht="14.4">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6"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501">
        <f t="shared" si="5"/>
        <v>1</v>
      </c>
    </row>
    <row r="10" spans="1:29" s="1285" customFormat="1" ht="28.8">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6"/>
      <c r="Q11" s="1080" t="str">
        <f t="shared" si="6"/>
        <v>容积率</v>
      </c>
      <c r="R11" s="1490" t="s">
        <v>1515</v>
      </c>
      <c r="S11" s="1491" t="e">
        <f t="shared" si="0"/>
        <v>#N/A</v>
      </c>
      <c r="T11" s="1490" t="s">
        <v>1515</v>
      </c>
      <c r="U11" s="1491" t="e">
        <f t="shared" si="1"/>
        <v>#N/A</v>
      </c>
      <c r="V11" s="1490" t="s">
        <v>1515</v>
      </c>
      <c r="W11" s="1491" t="e">
        <f t="shared" si="2"/>
        <v>#N/A</v>
      </c>
      <c r="X11" s="1492"/>
      <c r="Y11" s="3270"/>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6"/>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7" t="s">
        <v>1526</v>
      </c>
      <c r="Q15" s="912" t="str">
        <f t="shared" si="6"/>
        <v>居住社区成熟度</v>
      </c>
      <c r="R15" s="1494" t="s">
        <v>1515</v>
      </c>
      <c r="S15" s="1495">
        <f t="shared" si="0"/>
        <v>100</v>
      </c>
      <c r="T15" s="1494" t="s">
        <v>1515</v>
      </c>
      <c r="U15" s="1495">
        <f t="shared" si="1"/>
        <v>100</v>
      </c>
      <c r="V15" s="1494" t="s">
        <v>1515</v>
      </c>
      <c r="W15" s="1495">
        <f t="shared" si="2"/>
        <v>100</v>
      </c>
      <c r="X15" s="1489"/>
      <c r="Y15" s="3412"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8"/>
      <c r="Q16" s="912"/>
      <c r="R16" s="1494"/>
      <c r="S16" s="1495"/>
      <c r="T16" s="1494"/>
      <c r="U16" s="1495"/>
      <c r="V16" s="1494"/>
      <c r="W16" s="1495"/>
      <c r="X16" s="1489"/>
      <c r="Y16" s="3413"/>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8"/>
      <c r="Q17" s="912" t="str">
        <f>B17</f>
        <v>交通便捷度</v>
      </c>
      <c r="R17" s="1494" t="s">
        <v>1515</v>
      </c>
      <c r="S17" s="1495">
        <f>F17</f>
        <v>100</v>
      </c>
      <c r="T17" s="1494" t="s">
        <v>1515</v>
      </c>
      <c r="U17" s="1495">
        <f>H17</f>
        <v>100</v>
      </c>
      <c r="V17" s="1494" t="s">
        <v>1515</v>
      </c>
      <c r="W17" s="1495">
        <f>J17</f>
        <v>100</v>
      </c>
      <c r="X17" s="1489"/>
      <c r="Y17" s="3413"/>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8"/>
      <c r="Q18" s="912"/>
      <c r="R18" s="1494"/>
      <c r="S18" s="1495"/>
      <c r="T18" s="1494"/>
      <c r="U18" s="1495"/>
      <c r="V18" s="1494"/>
      <c r="W18" s="1495"/>
      <c r="X18" s="1489"/>
      <c r="Y18" s="3413"/>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8"/>
      <c r="Q19" s="912" t="str">
        <f>B19</f>
        <v>公共配套设施</v>
      </c>
      <c r="R19" s="1494" t="s">
        <v>1515</v>
      </c>
      <c r="S19" s="1495">
        <f>F19</f>
        <v>100</v>
      </c>
      <c r="T19" s="1494" t="s">
        <v>1515</v>
      </c>
      <c r="U19" s="1495">
        <f>H19</f>
        <v>100</v>
      </c>
      <c r="V19" s="1494" t="s">
        <v>1515</v>
      </c>
      <c r="W19" s="1495">
        <f>J19</f>
        <v>100</v>
      </c>
      <c r="X19" s="1489"/>
      <c r="Y19" s="3413"/>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8"/>
      <c r="Q20" s="912"/>
      <c r="R20" s="1494"/>
      <c r="S20" s="1495"/>
      <c r="T20" s="1494"/>
      <c r="U20" s="1495"/>
      <c r="V20" s="1494"/>
      <c r="W20" s="1495"/>
      <c r="X20" s="1489"/>
      <c r="Y20" s="3413"/>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8"/>
      <c r="Q21" s="912" t="str">
        <f>B21</f>
        <v>基础设施水平</v>
      </c>
      <c r="R21" s="1494" t="s">
        <v>1515</v>
      </c>
      <c r="S21" s="1495">
        <f>F21</f>
        <v>100</v>
      </c>
      <c r="T21" s="1494" t="s">
        <v>1515</v>
      </c>
      <c r="U21" s="1495">
        <f>H21</f>
        <v>100</v>
      </c>
      <c r="V21" s="1494" t="s">
        <v>1515</v>
      </c>
      <c r="W21" s="1495">
        <f>J21</f>
        <v>100</v>
      </c>
      <c r="X21" s="1489"/>
      <c r="Y21" s="3413"/>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8"/>
      <c r="Q22" s="912"/>
      <c r="R22" s="1494"/>
      <c r="S22" s="1495"/>
      <c r="T22" s="1494"/>
      <c r="U22" s="1495"/>
      <c r="V22" s="1494"/>
      <c r="W22" s="1495"/>
      <c r="X22" s="1489"/>
      <c r="Y22" s="3413"/>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8"/>
      <c r="Q23" s="912" t="str">
        <f>B23</f>
        <v>自然及人文环境</v>
      </c>
      <c r="R23" s="1494" t="s">
        <v>1515</v>
      </c>
      <c r="S23" s="1495">
        <f>F23</f>
        <v>100</v>
      </c>
      <c r="T23" s="1494" t="s">
        <v>1515</v>
      </c>
      <c r="U23" s="1495">
        <f>H23</f>
        <v>100</v>
      </c>
      <c r="V23" s="1494" t="s">
        <v>1515</v>
      </c>
      <c r="W23" s="1495">
        <f>J23</f>
        <v>100</v>
      </c>
      <c r="X23" s="1489"/>
      <c r="Y23" s="3413"/>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8"/>
      <c r="Q24" s="912"/>
      <c r="R24" s="1494"/>
      <c r="S24" s="1495"/>
      <c r="T24" s="1494"/>
      <c r="U24" s="1495"/>
      <c r="V24" s="1494"/>
      <c r="W24" s="1495"/>
      <c r="X24" s="1489"/>
      <c r="Y24" s="3413"/>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8"/>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3"/>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8"/>
      <c r="Q26" s="912" t="str">
        <f t="shared" si="11"/>
        <v>朝向</v>
      </c>
      <c r="R26" s="1494" t="s">
        <v>1515</v>
      </c>
      <c r="S26" s="1495">
        <f t="shared" si="12"/>
        <v>100</v>
      </c>
      <c r="T26" s="1494" t="s">
        <v>1515</v>
      </c>
      <c r="U26" s="1495">
        <f t="shared" si="13"/>
        <v>100</v>
      </c>
      <c r="V26" s="1494" t="s">
        <v>1515</v>
      </c>
      <c r="W26" s="1495">
        <f t="shared" si="14"/>
        <v>100</v>
      </c>
      <c r="X26" s="1489"/>
      <c r="Y26" s="3413"/>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8"/>
      <c r="Q27" s="1080">
        <f t="shared" si="11"/>
        <v>111</v>
      </c>
      <c r="R27" s="1490" t="s">
        <v>1515</v>
      </c>
      <c r="S27" s="1491">
        <f t="shared" si="12"/>
        <v>100</v>
      </c>
      <c r="T27" s="1490" t="s">
        <v>1515</v>
      </c>
      <c r="U27" s="1491">
        <f t="shared" si="13"/>
        <v>100</v>
      </c>
      <c r="V27" s="1490" t="s">
        <v>1515</v>
      </c>
      <c r="W27" s="1491">
        <f t="shared" si="14"/>
        <v>100</v>
      </c>
      <c r="X27" s="1492"/>
      <c r="Y27" s="3413"/>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8"/>
      <c r="Q28" s="912">
        <f t="shared" si="11"/>
        <v>111</v>
      </c>
      <c r="R28" s="1494" t="s">
        <v>1515</v>
      </c>
      <c r="S28" s="1495">
        <f t="shared" si="12"/>
        <v>100</v>
      </c>
      <c r="T28" s="1494" t="s">
        <v>1515</v>
      </c>
      <c r="U28" s="1495">
        <f t="shared" si="13"/>
        <v>100</v>
      </c>
      <c r="V28" s="1494" t="s">
        <v>1515</v>
      </c>
      <c r="W28" s="1495">
        <f t="shared" si="14"/>
        <v>100</v>
      </c>
      <c r="X28" s="1489"/>
      <c r="Y28" s="3413"/>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8"/>
      <c r="Q29" s="912">
        <f t="shared" si="11"/>
        <v>111</v>
      </c>
      <c r="R29" s="1494" t="s">
        <v>1515</v>
      </c>
      <c r="S29" s="1495">
        <f t="shared" si="12"/>
        <v>100</v>
      </c>
      <c r="T29" s="1494" t="s">
        <v>1515</v>
      </c>
      <c r="U29" s="1495">
        <f t="shared" si="13"/>
        <v>100</v>
      </c>
      <c r="V29" s="1494" t="s">
        <v>1515</v>
      </c>
      <c r="W29" s="1495">
        <f t="shared" si="14"/>
        <v>100</v>
      </c>
      <c r="X29" s="1489"/>
      <c r="Y29" s="3413"/>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8"/>
      <c r="Q30" s="912">
        <f t="shared" si="11"/>
        <v>111</v>
      </c>
      <c r="R30" s="1494" t="s">
        <v>1515</v>
      </c>
      <c r="S30" s="1495">
        <f t="shared" si="12"/>
        <v>100</v>
      </c>
      <c r="T30" s="1494" t="s">
        <v>1515</v>
      </c>
      <c r="U30" s="1495">
        <f t="shared" si="13"/>
        <v>100</v>
      </c>
      <c r="V30" s="1494" t="s">
        <v>1515</v>
      </c>
      <c r="W30" s="1495">
        <f t="shared" si="14"/>
        <v>100</v>
      </c>
      <c r="X30" s="1489"/>
      <c r="Y30" s="3413"/>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8"/>
      <c r="Q31" s="912">
        <f t="shared" si="11"/>
        <v>111</v>
      </c>
      <c r="R31" s="1494" t="s">
        <v>1515</v>
      </c>
      <c r="S31" s="1495">
        <f t="shared" si="12"/>
        <v>100</v>
      </c>
      <c r="T31" s="1494" t="s">
        <v>1515</v>
      </c>
      <c r="U31" s="1495">
        <f t="shared" si="13"/>
        <v>100</v>
      </c>
      <c r="V31" s="1494" t="s">
        <v>1515</v>
      </c>
      <c r="W31" s="1495">
        <f t="shared" si="14"/>
        <v>100</v>
      </c>
      <c r="X31" s="1489"/>
      <c r="Y31" s="3413"/>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09" t="s">
        <v>1535</v>
      </c>
      <c r="Q32" s="912" t="str">
        <f t="shared" si="11"/>
        <v>建筑类型</v>
      </c>
      <c r="R32" s="1494" t="s">
        <v>1515</v>
      </c>
      <c r="S32" s="1495">
        <f t="shared" si="12"/>
        <v>100</v>
      </c>
      <c r="T32" s="1494" t="s">
        <v>1515</v>
      </c>
      <c r="U32" s="1495">
        <f t="shared" si="13"/>
        <v>100</v>
      </c>
      <c r="V32" s="1494" t="s">
        <v>1515</v>
      </c>
      <c r="W32" s="1495">
        <f t="shared" si="14"/>
        <v>100</v>
      </c>
      <c r="X32" s="1489"/>
      <c r="Y32" s="3414"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0"/>
      <c r="Q33" s="1689" t="str">
        <f t="shared" si="11"/>
        <v>项目建筑规模</v>
      </c>
      <c r="R33" s="1496" t="s">
        <v>1515</v>
      </c>
      <c r="S33" s="1497" t="e">
        <f t="shared" si="12"/>
        <v>#N/A</v>
      </c>
      <c r="T33" s="1496" t="s">
        <v>1515</v>
      </c>
      <c r="U33" s="1497" t="e">
        <f t="shared" si="13"/>
        <v>#N/A</v>
      </c>
      <c r="V33" s="1496" t="s">
        <v>1515</v>
      </c>
      <c r="W33" s="1497" t="e">
        <f t="shared" si="14"/>
        <v>#N/A</v>
      </c>
      <c r="X33" s="1498"/>
      <c r="Y33" s="3414"/>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0"/>
      <c r="Q34" s="912" t="str">
        <f t="shared" si="11"/>
        <v>建筑结构</v>
      </c>
      <c r="R34" s="1494" t="s">
        <v>1515</v>
      </c>
      <c r="S34" s="1495">
        <f t="shared" si="12"/>
        <v>100</v>
      </c>
      <c r="T34" s="1494" t="s">
        <v>1515</v>
      </c>
      <c r="U34" s="1495">
        <f t="shared" si="13"/>
        <v>100</v>
      </c>
      <c r="V34" s="1494" t="s">
        <v>1515</v>
      </c>
      <c r="W34" s="1495">
        <f t="shared" si="14"/>
        <v>100</v>
      </c>
      <c r="X34" s="1489"/>
      <c r="Y34" s="3414"/>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0"/>
      <c r="Q35" s="912" t="str">
        <f t="shared" si="11"/>
        <v>建筑品质</v>
      </c>
      <c r="R35" s="1494" t="s">
        <v>1515</v>
      </c>
      <c r="S35" s="1495">
        <f t="shared" si="12"/>
        <v>100</v>
      </c>
      <c r="T35" s="1494" t="s">
        <v>1515</v>
      </c>
      <c r="U35" s="1495">
        <f t="shared" si="13"/>
        <v>100</v>
      </c>
      <c r="V35" s="1494" t="s">
        <v>1515</v>
      </c>
      <c r="W35" s="1495">
        <f t="shared" si="14"/>
        <v>100</v>
      </c>
      <c r="X35" s="1489"/>
      <c r="Y35" s="3414"/>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0"/>
      <c r="Q36" s="912" t="str">
        <f t="shared" si="11"/>
        <v>公共部分装修</v>
      </c>
      <c r="R36" s="1494" t="s">
        <v>1515</v>
      </c>
      <c r="S36" s="1495">
        <f t="shared" si="12"/>
        <v>100</v>
      </c>
      <c r="T36" s="1494" t="s">
        <v>1515</v>
      </c>
      <c r="U36" s="1495">
        <f t="shared" si="13"/>
        <v>100</v>
      </c>
      <c r="V36" s="1494" t="s">
        <v>1515</v>
      </c>
      <c r="W36" s="1495">
        <f t="shared" si="14"/>
        <v>100</v>
      </c>
      <c r="X36" s="1489"/>
      <c r="Y36" s="3414"/>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0"/>
      <c r="Q37" s="1080" t="str">
        <f t="shared" si="11"/>
        <v>成新度</v>
      </c>
      <c r="R37" s="1490" t="s">
        <v>1515</v>
      </c>
      <c r="S37" s="1491" t="e">
        <f t="shared" si="12"/>
        <v>#N/A</v>
      </c>
      <c r="T37" s="1490" t="s">
        <v>1515</v>
      </c>
      <c r="U37" s="1491" t="e">
        <f t="shared" si="13"/>
        <v>#N/A</v>
      </c>
      <c r="V37" s="1490" t="s">
        <v>1515</v>
      </c>
      <c r="W37" s="1491" t="e">
        <f t="shared" si="14"/>
        <v>#N/A</v>
      </c>
      <c r="X37" s="1492"/>
      <c r="Y37" s="3414"/>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0" t="s">
        <v>1535</v>
      </c>
      <c r="Q38" s="912" t="str">
        <f t="shared" si="11"/>
        <v>物业管理</v>
      </c>
      <c r="R38" s="1494" t="s">
        <v>1515</v>
      </c>
      <c r="S38" s="1495">
        <f t="shared" si="12"/>
        <v>100</v>
      </c>
      <c r="T38" s="1494" t="s">
        <v>1515</v>
      </c>
      <c r="U38" s="1495">
        <f t="shared" si="13"/>
        <v>100</v>
      </c>
      <c r="V38" s="1494" t="s">
        <v>1515</v>
      </c>
      <c r="W38" s="1495">
        <f t="shared" si="14"/>
        <v>100</v>
      </c>
      <c r="X38" s="1489"/>
      <c r="Y38" s="3414"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0"/>
      <c r="Q39" s="912" t="str">
        <f t="shared" si="11"/>
        <v>市政基础设施</v>
      </c>
      <c r="R39" s="1494" t="s">
        <v>1515</v>
      </c>
      <c r="S39" s="1495">
        <f t="shared" si="12"/>
        <v>100</v>
      </c>
      <c r="T39" s="1494" t="s">
        <v>1515</v>
      </c>
      <c r="U39" s="1495">
        <f t="shared" si="13"/>
        <v>100</v>
      </c>
      <c r="V39" s="1494" t="s">
        <v>1515</v>
      </c>
      <c r="W39" s="1495">
        <f t="shared" si="14"/>
        <v>100</v>
      </c>
      <c r="X39" s="1489"/>
      <c r="Y39" s="3414"/>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0"/>
      <c r="Q40" s="912" t="str">
        <f t="shared" si="11"/>
        <v>房型</v>
      </c>
      <c r="R40" s="1494" t="s">
        <v>1515</v>
      </c>
      <c r="S40" s="1495">
        <f t="shared" si="12"/>
        <v>100</v>
      </c>
      <c r="T40" s="1494" t="s">
        <v>1515</v>
      </c>
      <c r="U40" s="1495">
        <f t="shared" si="13"/>
        <v>100</v>
      </c>
      <c r="V40" s="1494" t="s">
        <v>1515</v>
      </c>
      <c r="W40" s="1495">
        <f t="shared" si="14"/>
        <v>100</v>
      </c>
      <c r="X40" s="1489"/>
      <c r="Y40" s="3414"/>
      <c r="Z40" s="1479" t="str">
        <f t="shared" si="18"/>
        <v>房型</v>
      </c>
      <c r="AA40" s="1479">
        <f t="shared" si="15"/>
        <v>1</v>
      </c>
      <c r="AB40" s="1479">
        <f t="shared" si="16"/>
        <v>1</v>
      </c>
      <c r="AC40" s="1479">
        <f t="shared" si="17"/>
        <v>1</v>
      </c>
    </row>
    <row r="41" spans="1:29" s="1286" customFormat="1" ht="28.8">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0"/>
      <c r="Q41" s="1689" t="str">
        <f t="shared" si="11"/>
        <v>单套/主力户型建筑面积</v>
      </c>
      <c r="R41" s="1496" t="s">
        <v>1515</v>
      </c>
      <c r="S41" s="1497">
        <f t="shared" si="12"/>
        <v>100</v>
      </c>
      <c r="T41" s="1496" t="s">
        <v>1515</v>
      </c>
      <c r="U41" s="1497">
        <f t="shared" si="13"/>
        <v>100</v>
      </c>
      <c r="V41" s="1496" t="s">
        <v>1515</v>
      </c>
      <c r="W41" s="1497">
        <f t="shared" si="14"/>
        <v>100</v>
      </c>
      <c r="X41" s="1498"/>
      <c r="Y41" s="3414"/>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0"/>
      <c r="Q42" s="912" t="str">
        <f t="shared" si="11"/>
        <v>内部装修</v>
      </c>
      <c r="R42" s="1494" t="s">
        <v>1515</v>
      </c>
      <c r="S42" s="1495">
        <f t="shared" si="12"/>
        <v>100</v>
      </c>
      <c r="T42" s="1494" t="s">
        <v>1515</v>
      </c>
      <c r="U42" s="1495">
        <f t="shared" si="13"/>
        <v>100</v>
      </c>
      <c r="V42" s="1494" t="s">
        <v>1515</v>
      </c>
      <c r="W42" s="1495">
        <f t="shared" si="14"/>
        <v>100</v>
      </c>
      <c r="X42" s="1489"/>
      <c r="Y42" s="3414"/>
      <c r="Z42" s="1479" t="str">
        <f t="shared" si="18"/>
        <v>内部装修</v>
      </c>
      <c r="AA42" s="1479">
        <f t="shared" si="15"/>
        <v>1</v>
      </c>
      <c r="AB42" s="1479">
        <f t="shared" si="16"/>
        <v>1</v>
      </c>
      <c r="AC42" s="1479">
        <f t="shared" si="17"/>
        <v>1</v>
      </c>
    </row>
    <row r="43" spans="1:29" ht="28.8">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0"/>
      <c r="Q43" s="912" t="str">
        <f t="shared" si="11"/>
        <v>内部装修维护情况</v>
      </c>
      <c r="R43" s="1494" t="s">
        <v>1515</v>
      </c>
      <c r="S43" s="1495">
        <f t="shared" si="12"/>
        <v>100</v>
      </c>
      <c r="T43" s="1494" t="s">
        <v>1515</v>
      </c>
      <c r="U43" s="1495">
        <f t="shared" si="13"/>
        <v>100</v>
      </c>
      <c r="V43" s="1494" t="s">
        <v>1515</v>
      </c>
      <c r="W43" s="1495">
        <f t="shared" si="14"/>
        <v>100</v>
      </c>
      <c r="X43" s="1489"/>
      <c r="Y43" s="3414"/>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0"/>
      <c r="Q44" s="1080">
        <f t="shared" si="11"/>
        <v>111</v>
      </c>
      <c r="R44" s="1490" t="s">
        <v>1515</v>
      </c>
      <c r="S44" s="1491">
        <f t="shared" si="12"/>
        <v>100</v>
      </c>
      <c r="T44" s="1490" t="s">
        <v>1515</v>
      </c>
      <c r="U44" s="1491">
        <f t="shared" si="13"/>
        <v>100</v>
      </c>
      <c r="V44" s="1490" t="s">
        <v>1515</v>
      </c>
      <c r="W44" s="1491">
        <f t="shared" si="14"/>
        <v>100</v>
      </c>
      <c r="X44" s="1492"/>
      <c r="Y44" s="3414"/>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0"/>
      <c r="Q45" s="912">
        <f t="shared" si="11"/>
        <v>111</v>
      </c>
      <c r="R45" s="1494" t="s">
        <v>1515</v>
      </c>
      <c r="S45" s="1495">
        <f t="shared" si="12"/>
        <v>100</v>
      </c>
      <c r="T45" s="1494" t="s">
        <v>1515</v>
      </c>
      <c r="U45" s="1495">
        <f t="shared" si="13"/>
        <v>100</v>
      </c>
      <c r="V45" s="1494" t="s">
        <v>1515</v>
      </c>
      <c r="W45" s="1495">
        <f t="shared" si="14"/>
        <v>100</v>
      </c>
      <c r="X45" s="1489"/>
      <c r="Y45" s="3414"/>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8"/>
        <v>111</v>
      </c>
      <c r="AA46" s="1479">
        <f t="shared" si="15"/>
        <v>1</v>
      </c>
      <c r="AB46" s="1479">
        <f t="shared" si="16"/>
        <v>1</v>
      </c>
      <c r="AC46" s="1479">
        <f t="shared" si="17"/>
        <v>1</v>
      </c>
    </row>
    <row r="47" spans="1:29" ht="14.4">
      <c r="A47" s="1381" t="s">
        <v>1546</v>
      </c>
      <c r="B47" s="1672"/>
      <c r="C47" s="1673" t="s">
        <v>124</v>
      </c>
      <c r="D47" s="1384"/>
      <c r="E47" s="1385"/>
      <c r="F47" s="1386"/>
      <c r="G47" s="1387"/>
      <c r="H47" s="1388"/>
      <c r="I47" s="1385"/>
      <c r="J47" s="1388"/>
      <c r="K47" s="1865"/>
      <c r="L47" s="1471"/>
      <c r="M47" s="1398"/>
      <c r="N47" s="1398"/>
      <c r="O47" s="1398"/>
      <c r="P47" s="3400" t="str">
        <f>A47</f>
        <v>成交单价（元/平方米）</v>
      </c>
      <c r="Q47" s="3400"/>
      <c r="R47" s="3399">
        <f>E47</f>
        <v>0</v>
      </c>
      <c r="S47" s="3399"/>
      <c r="T47" s="3399">
        <f>G47</f>
        <v>0</v>
      </c>
      <c r="U47" s="3399"/>
      <c r="V47" s="3399">
        <f>I47</f>
        <v>0</v>
      </c>
      <c r="W47" s="3399"/>
      <c r="X47" s="1437"/>
      <c r="Y47" s="1503"/>
      <c r="Z47" s="1437"/>
      <c r="AA47" s="1437"/>
      <c r="AB47" s="1437"/>
      <c r="AC47" s="1437"/>
    </row>
    <row r="48" spans="1:29" ht="14.4">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0" t="str">
        <f>A48</f>
        <v>比较价值（元/平方米）</v>
      </c>
      <c r="Q48" s="3400"/>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1437"/>
      <c r="Y48" s="1437"/>
      <c r="Z48" s="1437"/>
      <c r="AA48" s="1437"/>
      <c r="AB48" s="1437"/>
      <c r="AC48" s="1437"/>
    </row>
    <row r="49" spans="1:29" ht="14.4">
      <c r="A49" s="1395" t="s">
        <v>1549</v>
      </c>
      <c r="B49" s="1396"/>
      <c r="C49" s="1849" t="e">
        <f>R49</f>
        <v>#DIV/0!</v>
      </c>
      <c r="D49" s="1308"/>
      <c r="E49" s="1308"/>
      <c r="F49" s="1308"/>
      <c r="G49" s="1308"/>
      <c r="H49" s="1308"/>
      <c r="I49" s="1308"/>
      <c r="J49" s="1308"/>
      <c r="K49" s="1867"/>
      <c r="L49" s="1471"/>
      <c r="M49" s="1398"/>
      <c r="N49" s="1398"/>
      <c r="O49" s="139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6">
      <c r="A57" s="1436" t="s">
        <v>1553</v>
      </c>
      <c r="B57" s="1437"/>
      <c r="C57" s="1438"/>
      <c r="D57" s="1438"/>
      <c r="E57" s="1438"/>
      <c r="F57" s="1439"/>
      <c r="G57" s="1439"/>
      <c r="H57" s="1438"/>
      <c r="I57" s="1438"/>
      <c r="J57" s="1438"/>
      <c r="K57" s="1632"/>
      <c r="L57" s="1633"/>
      <c r="M57" s="1487"/>
      <c r="N57" s="1487"/>
      <c r="O57" s="1487"/>
      <c r="P57" s="1869"/>
      <c r="Q57" s="1777"/>
    </row>
    <row r="58" spans="1:29" s="1289" customFormat="1" ht="14.4">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c r="A59" s="1354"/>
      <c r="B59" s="1851"/>
      <c r="C59" s="1682">
        <v>100</v>
      </c>
      <c r="D59" s="1807"/>
      <c r="E59" s="1519"/>
      <c r="F59" s="1519"/>
      <c r="G59" s="1519"/>
      <c r="H59" s="1519"/>
      <c r="I59" s="1519"/>
      <c r="J59" s="1519"/>
      <c r="K59" s="1519"/>
      <c r="L59" s="1519"/>
      <c r="M59" s="1329"/>
      <c r="N59" s="1519"/>
      <c r="O59" s="1329"/>
      <c r="P59" s="1871"/>
    </row>
    <row r="60" spans="1:29" s="1284" customFormat="1" ht="14.4">
      <c r="A60" s="1510" t="s">
        <v>1554</v>
      </c>
      <c r="B60" s="1511"/>
      <c r="C60" s="1512"/>
      <c r="D60" s="1513"/>
      <c r="E60" s="1513"/>
      <c r="F60" s="1513"/>
      <c r="G60" s="1513"/>
      <c r="H60" s="1513"/>
      <c r="I60" s="1513"/>
      <c r="J60" s="1513"/>
      <c r="K60" s="1513"/>
      <c r="L60" s="1513"/>
      <c r="M60" s="1554"/>
      <c r="N60" s="1513"/>
      <c r="O60" s="1554"/>
      <c r="P60" s="1871"/>
      <c r="Q60" s="1777"/>
    </row>
    <row r="61" spans="1:29" s="1284" customFormat="1" ht="14.4">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c r="A62" s="1514"/>
      <c r="B62" s="1515"/>
      <c r="C62" s="1807">
        <v>100</v>
      </c>
      <c r="D62" s="1519"/>
      <c r="E62" s="1519"/>
      <c r="F62" s="1519"/>
      <c r="G62" s="1519"/>
      <c r="H62" s="1519"/>
      <c r="I62" s="1519"/>
      <c r="J62" s="1519"/>
      <c r="K62" s="1519"/>
      <c r="L62" s="1519"/>
      <c r="M62" s="1559"/>
      <c r="N62" s="1780"/>
      <c r="O62" s="1780"/>
      <c r="P62" s="1871"/>
      <c r="Q62" s="1777"/>
    </row>
    <row r="63" spans="1:29" ht="14.4">
      <c r="A63" s="1338" t="s">
        <v>1556</v>
      </c>
      <c r="B63" s="1520" t="s">
        <v>1519</v>
      </c>
      <c r="C63" s="908">
        <f>C9</f>
        <v>0</v>
      </c>
      <c r="D63" s="1468"/>
      <c r="E63" s="1468"/>
      <c r="F63" s="1468"/>
      <c r="G63" s="1468"/>
      <c r="H63" s="1468"/>
      <c r="I63" s="1468"/>
      <c r="J63" s="1468"/>
      <c r="K63" s="1560"/>
      <c r="L63" s="1561"/>
      <c r="M63" s="1562"/>
      <c r="N63" s="1782"/>
      <c r="O63" s="1782"/>
      <c r="P63" s="1873"/>
      <c r="Q63" s="1777"/>
    </row>
    <row r="64" spans="1:29">
      <c r="A64" s="1325"/>
      <c r="B64" s="1521"/>
      <c r="C64" s="1522">
        <v>100</v>
      </c>
      <c r="D64" s="1522"/>
      <c r="E64" s="1522"/>
      <c r="F64" s="1522"/>
      <c r="G64" s="1522"/>
      <c r="H64" s="1522"/>
      <c r="I64" s="1522"/>
      <c r="J64" s="1522"/>
      <c r="K64" s="1522"/>
      <c r="L64" s="1522"/>
      <c r="M64" s="1564"/>
      <c r="N64" s="1784"/>
      <c r="O64" s="1784"/>
      <c r="P64" s="1873"/>
      <c r="Q64" s="1777"/>
    </row>
    <row r="65" spans="1:17" ht="28.8">
      <c r="A65" s="1325"/>
      <c r="B65" s="1523" t="s">
        <v>1522</v>
      </c>
      <c r="C65" s="1546"/>
      <c r="D65" s="1546"/>
      <c r="E65" s="1546"/>
      <c r="F65" s="1546"/>
      <c r="G65" s="1546"/>
      <c r="H65" s="1546"/>
      <c r="I65" s="1546"/>
      <c r="J65" s="1546"/>
      <c r="K65" s="1546"/>
      <c r="L65" s="1546"/>
      <c r="M65" s="1546"/>
      <c r="N65" s="1784"/>
      <c r="O65" s="1784"/>
      <c r="P65" s="1873"/>
      <c r="Q65" s="1777"/>
    </row>
    <row r="66" spans="1:17">
      <c r="A66" s="1325"/>
      <c r="B66" s="1525"/>
      <c r="C66" s="1522"/>
      <c r="D66" s="1522"/>
      <c r="E66" s="1522"/>
      <c r="F66" s="1522"/>
      <c r="G66" s="1522"/>
      <c r="H66" s="1522"/>
      <c r="I66" s="1522"/>
      <c r="J66" s="1522"/>
      <c r="K66" s="1522"/>
      <c r="L66" s="1522"/>
      <c r="M66" s="1564"/>
      <c r="N66" s="1784"/>
      <c r="O66" s="1784"/>
      <c r="P66" s="1873"/>
      <c r="Q66" s="1777"/>
    </row>
    <row r="67" spans="1:17" ht="14.4">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c r="A68" s="1325"/>
      <c r="B68" s="1529"/>
      <c r="C68" s="1331"/>
      <c r="D68" s="1331"/>
      <c r="E68" s="1331"/>
      <c r="F68" s="1331"/>
      <c r="G68" s="1331"/>
      <c r="H68" s="1331"/>
      <c r="I68" s="1331"/>
      <c r="J68" s="1331"/>
      <c r="K68" s="1570"/>
      <c r="L68" s="1571"/>
      <c r="M68" s="1572"/>
      <c r="N68" s="1782"/>
      <c r="O68" s="1782"/>
      <c r="P68" s="1873"/>
      <c r="Q68" s="1777"/>
    </row>
    <row r="69" spans="1:17">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c r="A70" s="1530"/>
      <c r="B70" s="1523">
        <f>B12</f>
        <v>111</v>
      </c>
      <c r="C70" s="1531"/>
      <c r="D70" s="1531"/>
      <c r="E70" s="1531"/>
      <c r="F70" s="1531"/>
      <c r="G70" s="1531"/>
      <c r="H70" s="1532"/>
      <c r="I70" s="1532"/>
      <c r="J70" s="1532"/>
      <c r="K70" s="1532"/>
      <c r="L70" s="1573"/>
      <c r="M70" s="1574"/>
      <c r="N70" s="1785"/>
      <c r="O70" s="1785"/>
      <c r="P70" s="1876"/>
      <c r="Q70" s="1787"/>
    </row>
    <row r="71" spans="1:17" s="1286" customFormat="1">
      <c r="A71" s="1530"/>
      <c r="B71" s="1525"/>
      <c r="C71" s="1533"/>
      <c r="D71" s="1522"/>
      <c r="E71" s="1522"/>
      <c r="F71" s="1522"/>
      <c r="G71" s="1522"/>
      <c r="H71" s="1522"/>
      <c r="I71" s="1522"/>
      <c r="J71" s="1522"/>
      <c r="K71" s="1522"/>
      <c r="L71" s="1522"/>
      <c r="M71" s="1564"/>
      <c r="N71" s="1784"/>
      <c r="O71" s="1784"/>
      <c r="P71" s="1876"/>
      <c r="Q71" s="1787"/>
    </row>
    <row r="72" spans="1:17" s="1286" customFormat="1">
      <c r="A72" s="1530"/>
      <c r="B72" s="1523">
        <f>B13</f>
        <v>111</v>
      </c>
      <c r="C72" s="1531"/>
      <c r="D72" s="1531"/>
      <c r="E72" s="1531"/>
      <c r="F72" s="1531"/>
      <c r="G72" s="1531"/>
      <c r="H72" s="1532"/>
      <c r="I72" s="1532"/>
      <c r="J72" s="1532"/>
      <c r="K72" s="1532"/>
      <c r="L72" s="1573"/>
      <c r="M72" s="1574"/>
      <c r="N72" s="1785"/>
      <c r="O72" s="1785"/>
      <c r="P72" s="1877"/>
      <c r="Q72" s="1790"/>
    </row>
    <row r="73" spans="1:17" s="1286" customFormat="1">
      <c r="A73" s="1530"/>
      <c r="B73" s="1525"/>
      <c r="C73" s="1533"/>
      <c r="D73" s="1533"/>
      <c r="E73" s="1533"/>
      <c r="F73" s="1533"/>
      <c r="G73" s="1533"/>
      <c r="H73" s="1534"/>
      <c r="I73" s="1534"/>
      <c r="J73" s="1534"/>
      <c r="K73" s="1534"/>
      <c r="L73" s="1534"/>
      <c r="M73" s="1576"/>
      <c r="N73" s="1785"/>
      <c r="O73" s="1785"/>
      <c r="P73" s="1876"/>
      <c r="Q73" s="1787"/>
    </row>
    <row r="74" spans="1:17" s="1286" customFormat="1">
      <c r="A74" s="1530"/>
      <c r="B74" s="1527">
        <f>B14</f>
        <v>111</v>
      </c>
      <c r="C74" s="1531"/>
      <c r="D74" s="1531"/>
      <c r="E74" s="1531"/>
      <c r="F74" s="1531"/>
      <c r="G74" s="1517"/>
      <c r="H74" s="1535"/>
      <c r="I74" s="1535"/>
      <c r="J74" s="1535"/>
      <c r="K74" s="1535"/>
      <c r="L74" s="1577"/>
      <c r="M74" s="1578"/>
      <c r="N74" s="1785"/>
      <c r="O74" s="1785"/>
      <c r="P74" s="1878"/>
      <c r="Q74" s="1787"/>
    </row>
    <row r="75" spans="1:17" s="1286" customFormat="1">
      <c r="A75" s="1536"/>
      <c r="B75" s="1537"/>
      <c r="C75" s="1538"/>
      <c r="D75" s="1538"/>
      <c r="E75" s="1538"/>
      <c r="F75" s="1538"/>
      <c r="G75" s="1538"/>
      <c r="H75" s="1539"/>
      <c r="I75" s="1539"/>
      <c r="J75" s="1539"/>
      <c r="K75" s="1539"/>
      <c r="L75" s="1539"/>
      <c r="M75" s="1580"/>
      <c r="N75" s="1785"/>
      <c r="O75" s="1785"/>
      <c r="P75" s="1876"/>
      <c r="Q75" s="1787"/>
    </row>
    <row r="76" spans="1:17" ht="14.4">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4.4">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4.4">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4.4">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4.4">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4.4">
      <c r="A86" s="1328"/>
      <c r="B86" s="1523" t="s">
        <v>1531</v>
      </c>
      <c r="C86" s="1531"/>
      <c r="D86" s="1531"/>
      <c r="E86" s="1531"/>
      <c r="F86" s="1531"/>
      <c r="G86" s="1531"/>
      <c r="H86" s="1531"/>
      <c r="I86" s="1531"/>
      <c r="J86" s="1531"/>
      <c r="K86" s="1531"/>
      <c r="L86" s="1694"/>
      <c r="M86" s="1695"/>
      <c r="N86" s="1780"/>
      <c r="O86" s="1780"/>
      <c r="P86" s="1873"/>
      <c r="Q86" s="1777"/>
    </row>
    <row r="87" spans="1:17" s="1284" customFormat="1">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4.4">
      <c r="A88" s="1328"/>
      <c r="B88" s="1523" t="s">
        <v>1532</v>
      </c>
      <c r="C88" s="1531"/>
      <c r="D88" s="1531"/>
      <c r="E88" s="1531"/>
      <c r="F88" s="1813"/>
      <c r="G88" s="1531"/>
      <c r="H88" s="1531"/>
      <c r="I88" s="1531"/>
      <c r="J88" s="1531"/>
      <c r="K88" s="1531"/>
      <c r="L88" s="1531"/>
      <c r="M88" s="1695"/>
      <c r="N88" s="1780"/>
      <c r="O88" s="1780"/>
      <c r="P88" s="1873"/>
      <c r="Q88" s="1777"/>
    </row>
    <row r="89" spans="1:17" s="1284" customFormat="1">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c r="A90" s="1530"/>
      <c r="B90" s="1523">
        <f>B27</f>
        <v>111</v>
      </c>
      <c r="C90" s="1531"/>
      <c r="D90" s="1531"/>
      <c r="E90" s="1531"/>
      <c r="F90" s="1531"/>
      <c r="G90" s="1531"/>
      <c r="H90" s="1532"/>
      <c r="I90" s="1532"/>
      <c r="J90" s="1532"/>
      <c r="K90" s="1532"/>
      <c r="L90" s="1573"/>
      <c r="M90" s="1574"/>
      <c r="N90" s="1785"/>
      <c r="O90" s="1785"/>
      <c r="P90" s="1876"/>
      <c r="Q90" s="1787"/>
    </row>
    <row r="91" spans="1:17" s="1286" customFormat="1">
      <c r="A91" s="1530"/>
      <c r="B91" s="1525"/>
      <c r="C91" s="1533"/>
      <c r="D91" s="1533"/>
      <c r="E91" s="1533"/>
      <c r="F91" s="1533"/>
      <c r="G91" s="1533"/>
      <c r="H91" s="1534"/>
      <c r="I91" s="1534"/>
      <c r="J91" s="1534"/>
      <c r="K91" s="1534"/>
      <c r="L91" s="1534"/>
      <c r="M91" s="1576"/>
      <c r="N91" s="1785"/>
      <c r="O91" s="1785"/>
      <c r="P91" s="1876"/>
      <c r="Q91" s="1787"/>
    </row>
    <row r="92" spans="1:17">
      <c r="A92" s="1325"/>
      <c r="B92" s="1523">
        <f>B28</f>
        <v>111</v>
      </c>
      <c r="C92" s="1531"/>
      <c r="D92" s="1531"/>
      <c r="E92" s="1531"/>
      <c r="F92" s="1531"/>
      <c r="G92" s="1546"/>
      <c r="H92" s="1546"/>
      <c r="I92" s="1546"/>
      <c r="J92" s="1546"/>
      <c r="K92" s="1591"/>
      <c r="L92" s="1592"/>
      <c r="M92" s="1593"/>
      <c r="N92" s="1782"/>
      <c r="O92" s="1782"/>
      <c r="P92" s="1873"/>
      <c r="Q92" s="1777"/>
    </row>
    <row r="93" spans="1:17">
      <c r="A93" s="1325"/>
      <c r="B93" s="1525"/>
      <c r="C93" s="1533"/>
      <c r="D93" s="1522"/>
      <c r="E93" s="1522"/>
      <c r="F93" s="1522"/>
      <c r="G93" s="1522"/>
      <c r="H93" s="1522"/>
      <c r="I93" s="1522"/>
      <c r="J93" s="1522"/>
      <c r="K93" s="1522"/>
      <c r="L93" s="1522"/>
      <c r="M93" s="1564"/>
      <c r="N93" s="1784"/>
      <c r="O93" s="1784"/>
      <c r="P93" s="1873"/>
      <c r="Q93" s="1777"/>
    </row>
    <row r="94" spans="1:17">
      <c r="A94" s="1325"/>
      <c r="B94" s="1523">
        <f>B29</f>
        <v>111</v>
      </c>
      <c r="C94" s="1531"/>
      <c r="D94" s="1531"/>
      <c r="E94" s="1531"/>
      <c r="F94" s="1531"/>
      <c r="G94" s="1546"/>
      <c r="H94" s="1546"/>
      <c r="I94" s="1546"/>
      <c r="J94" s="1546"/>
      <c r="K94" s="1591"/>
      <c r="L94" s="1592"/>
      <c r="M94" s="1593"/>
      <c r="N94" s="1782"/>
      <c r="O94" s="1782"/>
      <c r="P94" s="1873"/>
      <c r="Q94" s="1777"/>
    </row>
    <row r="95" spans="1:17">
      <c r="A95" s="1325"/>
      <c r="B95" s="1525"/>
      <c r="C95" s="1533"/>
      <c r="D95" s="1533"/>
      <c r="E95" s="1533"/>
      <c r="F95" s="1533"/>
      <c r="G95" s="1522"/>
      <c r="H95" s="1522"/>
      <c r="I95" s="1522"/>
      <c r="J95" s="1522"/>
      <c r="K95" s="1522"/>
      <c r="L95" s="1522"/>
      <c r="M95" s="1564"/>
      <c r="N95" s="1784"/>
      <c r="O95" s="1784"/>
      <c r="P95" s="1873"/>
      <c r="Q95" s="1777"/>
    </row>
    <row r="96" spans="1:17">
      <c r="A96" s="1325"/>
      <c r="B96" s="1523">
        <f>B30</f>
        <v>111</v>
      </c>
      <c r="C96" s="1531"/>
      <c r="D96" s="1531"/>
      <c r="E96" s="1531"/>
      <c r="F96" s="1531"/>
      <c r="G96" s="1546"/>
      <c r="H96" s="1546"/>
      <c r="I96" s="1546"/>
      <c r="J96" s="1546"/>
      <c r="K96" s="1591"/>
      <c r="L96" s="1592"/>
      <c r="M96" s="1593"/>
      <c r="N96" s="1782"/>
      <c r="O96" s="1782"/>
      <c r="P96" s="1873"/>
      <c r="Q96" s="1777"/>
    </row>
    <row r="97" spans="1:17">
      <c r="A97" s="1325"/>
      <c r="B97" s="1525"/>
      <c r="C97" s="1538"/>
      <c r="D97" s="1538"/>
      <c r="E97" s="1538"/>
      <c r="F97" s="1538"/>
      <c r="G97" s="1522"/>
      <c r="H97" s="1522"/>
      <c r="I97" s="1522"/>
      <c r="J97" s="1522"/>
      <c r="K97" s="1522"/>
      <c r="L97" s="1522"/>
      <c r="M97" s="1564"/>
      <c r="N97" s="1784"/>
      <c r="O97" s="1784"/>
      <c r="P97" s="1873"/>
      <c r="Q97" s="1777"/>
    </row>
    <row r="98" spans="1:17">
      <c r="A98" s="1325"/>
      <c r="B98" s="1527">
        <f>B31</f>
        <v>111</v>
      </c>
      <c r="C98" s="1547"/>
      <c r="D98" s="1547"/>
      <c r="E98" s="1547"/>
      <c r="F98" s="1547"/>
      <c r="G98" s="1547"/>
      <c r="H98" s="1547"/>
      <c r="I98" s="1547"/>
      <c r="J98" s="1547"/>
      <c r="K98" s="1594"/>
      <c r="L98" s="1595"/>
      <c r="M98" s="1596"/>
      <c r="N98" s="1782"/>
      <c r="O98" s="1782"/>
      <c r="P98" s="1873"/>
      <c r="Q98" s="1777"/>
    </row>
    <row r="99" spans="1:17">
      <c r="A99" s="1334"/>
      <c r="B99" s="1537"/>
      <c r="C99" s="1548"/>
      <c r="D99" s="1548"/>
      <c r="E99" s="1548"/>
      <c r="F99" s="1548"/>
      <c r="G99" s="1548"/>
      <c r="H99" s="1548"/>
      <c r="I99" s="1548"/>
      <c r="J99" s="1548"/>
      <c r="K99" s="1548"/>
      <c r="L99" s="1548"/>
      <c r="M99" s="1597"/>
      <c r="N99" s="1784"/>
      <c r="O99" s="1784"/>
      <c r="P99" s="1873"/>
      <c r="Q99" s="1777"/>
    </row>
    <row r="100" spans="1:17" ht="14.4">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4.4">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c r="A104" s="1530"/>
      <c r="B104" s="1525"/>
      <c r="C104" s="1533"/>
      <c r="D104" s="1522"/>
      <c r="E104" s="1522"/>
      <c r="F104" s="1522"/>
      <c r="G104" s="1522"/>
      <c r="H104" s="1522"/>
      <c r="I104" s="1522"/>
      <c r="J104" s="1522"/>
      <c r="K104" s="1522"/>
      <c r="L104" s="1522"/>
      <c r="M104" s="1522"/>
      <c r="N104" s="1784"/>
      <c r="O104" s="1784"/>
      <c r="P104" s="1876"/>
      <c r="Q104" s="1787"/>
    </row>
    <row r="105" spans="1:17" ht="14.4">
      <c r="A105" s="1374"/>
      <c r="B105" s="1523" t="s">
        <v>1537</v>
      </c>
      <c r="C105" s="1531"/>
      <c r="D105" s="1531"/>
      <c r="E105" s="1546"/>
      <c r="F105" s="1546"/>
      <c r="G105" s="1546"/>
      <c r="H105" s="1546"/>
      <c r="I105" s="1546"/>
      <c r="J105" s="1546"/>
      <c r="K105" s="1591"/>
      <c r="L105" s="1592"/>
      <c r="M105" s="1593"/>
      <c r="N105" s="1782"/>
      <c r="O105" s="1782"/>
      <c r="P105" s="1873"/>
      <c r="Q105" s="1777"/>
    </row>
    <row r="106" spans="1:17">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ht="14.4">
      <c r="A107" s="1374"/>
      <c r="B107" s="1523" t="s">
        <v>1538</v>
      </c>
      <c r="C107" s="1546"/>
      <c r="D107" s="1546"/>
      <c r="E107" s="1546"/>
      <c r="F107" s="1546"/>
      <c r="G107" s="1546"/>
      <c r="H107" s="1546"/>
      <c r="I107" s="1546"/>
      <c r="J107" s="1546"/>
      <c r="K107" s="1591"/>
      <c r="L107" s="1592"/>
      <c r="M107" s="1593"/>
      <c r="N107" s="1782"/>
      <c r="O107" s="1782"/>
      <c r="P107" s="1873"/>
      <c r="Q107" s="1777"/>
    </row>
    <row r="108" spans="1:17">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ht="14.4">
      <c r="A109" s="1374"/>
      <c r="B109" s="1523" t="s">
        <v>1539</v>
      </c>
      <c r="C109" s="1531"/>
      <c r="D109" s="1531"/>
      <c r="E109" s="1531"/>
      <c r="F109" s="1546"/>
      <c r="G109" s="1546"/>
      <c r="H109" s="1546"/>
      <c r="I109" s="1546"/>
      <c r="J109" s="1546"/>
      <c r="K109" s="1591"/>
      <c r="L109" s="1592"/>
      <c r="M109" s="1593"/>
      <c r="N109" s="1782"/>
      <c r="O109" s="1782"/>
      <c r="P109" s="1873"/>
      <c r="Q109" s="1777"/>
    </row>
    <row r="110" spans="1:17">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ht="14.4">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ht="14.4">
      <c r="A114" s="1374"/>
      <c r="B114" s="1523" t="s">
        <v>1540</v>
      </c>
      <c r="C114" s="1531"/>
      <c r="D114" s="1531"/>
      <c r="E114" s="1546"/>
      <c r="F114" s="1546"/>
      <c r="G114" s="1546"/>
      <c r="H114" s="1546"/>
      <c r="I114" s="1546"/>
      <c r="J114" s="1546"/>
      <c r="K114" s="1591"/>
      <c r="L114" s="1592"/>
      <c r="M114" s="1593"/>
      <c r="N114" s="1782"/>
      <c r="O114" s="1782"/>
      <c r="P114" s="1873"/>
      <c r="Q114" s="1777"/>
    </row>
    <row r="115" spans="1:17">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ht="14.4">
      <c r="A116" s="1374"/>
      <c r="B116" s="1523" t="s">
        <v>1541</v>
      </c>
      <c r="C116" s="1531"/>
      <c r="D116" s="1531"/>
      <c r="E116" s="1531"/>
      <c r="F116" s="1531"/>
      <c r="G116" s="1531"/>
      <c r="H116" s="1546"/>
      <c r="I116" s="1546"/>
      <c r="J116" s="1546"/>
      <c r="K116" s="1591"/>
      <c r="L116" s="1592"/>
      <c r="M116" s="1593"/>
      <c r="N116" s="1782"/>
      <c r="O116" s="1782"/>
      <c r="P116" s="1873"/>
      <c r="Q116" s="1777"/>
    </row>
    <row r="117" spans="1:17">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ht="14.4">
      <c r="A118" s="1374"/>
      <c r="B118" s="1523" t="s">
        <v>1542</v>
      </c>
      <c r="C118" s="1546"/>
      <c r="D118" s="1546"/>
      <c r="E118" s="1546"/>
      <c r="F118" s="1546"/>
      <c r="G118" s="1546"/>
      <c r="H118" s="1546"/>
      <c r="I118" s="1546"/>
      <c r="J118" s="1546"/>
      <c r="K118" s="1591"/>
      <c r="L118" s="1592"/>
      <c r="M118" s="1593"/>
      <c r="N118" s="1782"/>
      <c r="O118" s="1782"/>
      <c r="P118" s="1873"/>
      <c r="Q118" s="1777"/>
    </row>
    <row r="119" spans="1:17">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8.8">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c r="A121" s="1530"/>
      <c r="B121" s="1521"/>
      <c r="C121" s="1533"/>
      <c r="D121" s="1522"/>
      <c r="E121" s="1522"/>
      <c r="F121" s="1522"/>
      <c r="G121" s="1522"/>
      <c r="H121" s="1522"/>
      <c r="I121" s="1522"/>
      <c r="J121" s="1522"/>
      <c r="K121" s="1522"/>
      <c r="L121" s="1522"/>
      <c r="M121" s="1522"/>
      <c r="N121" s="1785"/>
      <c r="O121" s="1785"/>
      <c r="P121" s="1876"/>
      <c r="Q121" s="1787"/>
    </row>
    <row r="122" spans="1:17" ht="14.4">
      <c r="A122" s="1374"/>
      <c r="B122" s="1523" t="s">
        <v>1544</v>
      </c>
      <c r="C122" s="1531"/>
      <c r="D122" s="1531"/>
      <c r="E122" s="1531"/>
      <c r="F122" s="1546"/>
      <c r="G122" s="1546"/>
      <c r="H122" s="1546"/>
      <c r="I122" s="1546"/>
      <c r="J122" s="1546"/>
      <c r="K122" s="1591"/>
      <c r="L122" s="1592"/>
      <c r="M122" s="1593"/>
      <c r="N122" s="1782"/>
      <c r="O122" s="1782"/>
      <c r="P122" s="1873"/>
      <c r="Q122" s="1777"/>
    </row>
    <row r="123" spans="1:17">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ht="28.8">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c r="A131" s="1334"/>
      <c r="B131" s="1537"/>
      <c r="C131" s="1538"/>
      <c r="D131" s="1538"/>
      <c r="E131" s="1538"/>
      <c r="F131" s="1538"/>
      <c r="G131" s="1548"/>
      <c r="H131" s="1548"/>
      <c r="I131" s="1548"/>
      <c r="J131" s="1548"/>
      <c r="K131" s="1548"/>
      <c r="L131" s="1548"/>
      <c r="M131" s="1597"/>
      <c r="N131" s="1784"/>
      <c r="O131" s="1784"/>
      <c r="P131" s="1873"/>
      <c r="Q131" s="1777"/>
    </row>
    <row r="136" spans="1:17" ht="14.4">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6">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ht="14.4">
      <c r="B147" s="1882" t="s">
        <v>1585</v>
      </c>
    </row>
    <row r="148" spans="2:11" ht="14.4">
      <c r="B148" s="188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住宅交易情况</formula1>
    </dataValidation>
    <dataValidation type="list" allowBlank="1" showInputMessage="1" showErrorMessage="1" sqref="E9 G9 I9" xr:uid="{00000000-0002-0000-1700-000006000000}">
      <formula1>住宅用途</formula1>
    </dataValidation>
    <dataValidation type="list" allowBlank="1" showInputMessage="1" showErrorMessage="1" sqref="C16 E16 G16 I16" xr:uid="{00000000-0002-0000-1700-000007000000}">
      <formula1>居住社区成熟度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住宅楼层</formula1>
    </dataValidation>
    <dataValidation type="list" allowBlank="1" showInputMessage="1" showErrorMessage="1" sqref="C26 E26 G26 I26" xr:uid="{00000000-0002-0000-1700-00000D000000}">
      <formula1>住宅朝向</formula1>
    </dataValidation>
    <dataValidation type="list" allowBlank="1" showInputMessage="1" showErrorMessage="1" sqref="C32 E32 G32 I32" xr:uid="{00000000-0002-0000-1700-00000E000000}">
      <formula1>住宅建筑类型</formula1>
    </dataValidation>
    <dataValidation type="list" allowBlank="1" showInputMessage="1" showErrorMessage="1" sqref="C34 E34 G34 I34" xr:uid="{00000000-0002-0000-1700-00000F000000}">
      <formula1>住宅建筑结构</formula1>
    </dataValidation>
    <dataValidation type="list" allowBlank="1" showInputMessage="1" showErrorMessage="1" sqref="C35 E35 G35 I35" xr:uid="{00000000-0002-0000-1700-000010000000}">
      <formula1>住宅建筑品质</formula1>
    </dataValidation>
    <dataValidation type="list" allowBlank="1" showInputMessage="1" showErrorMessage="1" sqref="C36 E36 G36 I36" xr:uid="{00000000-0002-0000-1700-000011000000}">
      <formula1>住宅公共部分装修</formula1>
    </dataValidation>
    <dataValidation type="list" allowBlank="1" showInputMessage="1" showErrorMessage="1" sqref="C38 E38 G38 I38" xr:uid="{00000000-0002-0000-1700-000012000000}">
      <formula1>住宅物业管理</formula1>
    </dataValidation>
    <dataValidation type="list" allowBlank="1" showInputMessage="1" showErrorMessage="1" sqref="C39 E39 G39 I39" xr:uid="{00000000-0002-0000-1700-000013000000}">
      <formula1>住宅基础设施水平</formula1>
    </dataValidation>
    <dataValidation type="list" allowBlank="1" showInputMessage="1" showErrorMessage="1" sqref="C40 E40 G40 I40" xr:uid="{00000000-0002-0000-1700-000014000000}">
      <formula1>住宅房型</formula1>
    </dataValidation>
    <dataValidation type="list" allowBlank="1" showInputMessage="1" showErrorMessage="1" sqref="C42 E42 G42 I42" xr:uid="{00000000-0002-0000-1700-000015000000}">
      <formula1>住宅内部装修</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48" xr:uid="{00000000-0002-0000-17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3.8"/>
  <cols>
    <col min="1" max="1" width="10.44140625" style="1290" customWidth="1"/>
    <col min="2" max="2" width="15.77734375" style="1290" customWidth="1"/>
    <col min="3" max="3" width="15.10937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1" customWidth="1"/>
    <col min="12" max="12" width="12.21875" style="1292" customWidth="1"/>
    <col min="13" max="15" width="12.21875" style="1290" customWidth="1"/>
    <col min="16" max="16" width="4.77734375" style="1821"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99" t="s">
        <v>1503</v>
      </c>
      <c r="AC4" s="3384" t="s">
        <v>1504</v>
      </c>
    </row>
    <row r="5" spans="1:29">
      <c r="A5" s="1305"/>
      <c r="B5" s="1306"/>
      <c r="C5" s="3425" t="s">
        <v>1507</v>
      </c>
      <c r="D5" s="3426"/>
      <c r="E5" s="3427" t="s">
        <v>1508</v>
      </c>
      <c r="F5" s="3428"/>
      <c r="G5" s="3425" t="s">
        <v>1509</v>
      </c>
      <c r="H5" s="3426"/>
      <c r="I5" s="3425" t="s">
        <v>1510</v>
      </c>
      <c r="J5" s="3426"/>
      <c r="K5" s="1446"/>
      <c r="L5" s="1447"/>
      <c r="M5" s="1398"/>
      <c r="N5" s="1398"/>
      <c r="O5" s="1398"/>
      <c r="P5" s="3389"/>
      <c r="Q5" s="3390"/>
      <c r="R5" s="3395"/>
      <c r="S5" s="3396"/>
      <c r="T5" s="3395"/>
      <c r="U5" s="3396"/>
      <c r="V5" s="3399"/>
      <c r="W5" s="3399"/>
      <c r="X5" s="1489"/>
      <c r="Y5" s="3395"/>
      <c r="Z5" s="3396"/>
      <c r="AA5" s="3385"/>
      <c r="AB5" s="3399"/>
      <c r="AC5" s="3385"/>
    </row>
    <row r="6" spans="1:29" ht="14.4">
      <c r="A6" s="1307"/>
      <c r="B6" s="1308"/>
      <c r="C6" s="3416" t="s">
        <v>1511</v>
      </c>
      <c r="D6" s="3417"/>
      <c r="E6" s="3418" t="s">
        <v>1511</v>
      </c>
      <c r="F6" s="3419"/>
      <c r="G6" s="3416" t="s">
        <v>1511</v>
      </c>
      <c r="H6" s="3417"/>
      <c r="I6" s="3416" t="s">
        <v>1511</v>
      </c>
      <c r="J6" s="3417"/>
      <c r="K6" s="1446" t="s">
        <v>1512</v>
      </c>
      <c r="L6" s="1447"/>
      <c r="M6" s="1398"/>
      <c r="N6" s="1398"/>
      <c r="O6" s="1398"/>
      <c r="P6" s="3391"/>
      <c r="Q6" s="3392"/>
      <c r="R6" s="3395"/>
      <c r="S6" s="3396"/>
      <c r="T6" s="3397"/>
      <c r="U6" s="3398"/>
      <c r="V6" s="3399"/>
      <c r="W6" s="3399"/>
      <c r="X6" s="1489"/>
      <c r="Y6" s="3397"/>
      <c r="Z6" s="3398"/>
      <c r="AA6" s="3386"/>
      <c r="AB6" s="3399"/>
      <c r="AC6" s="3386"/>
    </row>
    <row r="7" spans="1:29" s="1284" customFormat="1" ht="14.4">
      <c r="A7" s="1309" t="s">
        <v>1513</v>
      </c>
      <c r="B7" s="1310"/>
      <c r="C7" s="1311">
        <f>'数据-取费表'!B2</f>
        <v>45882</v>
      </c>
      <c r="D7" s="1312">
        <v>100</v>
      </c>
      <c r="E7" s="1313">
        <f>C7</f>
        <v>45882</v>
      </c>
      <c r="F7" s="1314">
        <f>SUMIF(58:58,YEAR(E7)&amp;"-"&amp;MONTH(E7),59:59)</f>
        <v>100</v>
      </c>
      <c r="G7" s="1313">
        <f>E7</f>
        <v>45882</v>
      </c>
      <c r="H7" s="1312">
        <f>SUMIF(58:58,YEAR(G7)&amp;"-"&amp;MONTH(G7),59:59)</f>
        <v>100</v>
      </c>
      <c r="I7" s="1313">
        <f>C7</f>
        <v>45882</v>
      </c>
      <c r="J7" s="1312">
        <f>SUMIF(58:58,YEAR(I7)&amp;"-"&amp;MONTH(I7),59:59)</f>
        <v>100</v>
      </c>
      <c r="K7" s="1448"/>
      <c r="L7" s="1449"/>
      <c r="M7" s="1450"/>
      <c r="N7" s="1450"/>
      <c r="O7" s="1450"/>
      <c r="P7" s="3404" t="s">
        <v>1514</v>
      </c>
      <c r="Q7" s="3420"/>
      <c r="R7" s="1490" t="s">
        <v>1515</v>
      </c>
      <c r="S7" s="1491">
        <f t="shared" ref="S7:S15" si="0">F7</f>
        <v>100</v>
      </c>
      <c r="T7" s="1490" t="s">
        <v>1515</v>
      </c>
      <c r="U7" s="1491">
        <f t="shared" ref="U7:U15" si="1">H7</f>
        <v>100</v>
      </c>
      <c r="V7" s="1490" t="s">
        <v>1515</v>
      </c>
      <c r="W7" s="1491">
        <f t="shared" ref="W7:W15" si="2">J7</f>
        <v>100</v>
      </c>
      <c r="X7" s="1492"/>
      <c r="Y7" s="3404" t="s">
        <v>1514</v>
      </c>
      <c r="Z7" s="3405"/>
      <c r="AA7" s="1501">
        <f>D7/F7</f>
        <v>1</v>
      </c>
      <c r="AB7" s="1501">
        <f>D7/H7</f>
        <v>1</v>
      </c>
      <c r="AC7" s="1501">
        <f>D7/J7</f>
        <v>1</v>
      </c>
    </row>
    <row r="8" spans="1:29" s="1284" customFormat="1" ht="14.4">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04" t="s">
        <v>1517</v>
      </c>
      <c r="Q8" s="3405"/>
      <c r="R8" s="1490" t="s">
        <v>1515</v>
      </c>
      <c r="S8" s="1491">
        <f t="shared" si="0"/>
        <v>105</v>
      </c>
      <c r="T8" s="1490" t="s">
        <v>1515</v>
      </c>
      <c r="U8" s="1491">
        <f t="shared" si="1"/>
        <v>105</v>
      </c>
      <c r="V8" s="1490" t="s">
        <v>1515</v>
      </c>
      <c r="W8" s="1491">
        <f t="shared" si="2"/>
        <v>105</v>
      </c>
      <c r="X8" s="1492"/>
      <c r="Y8" s="3404" t="s">
        <v>1517</v>
      </c>
      <c r="Z8" s="3405"/>
      <c r="AA8" s="1501">
        <f t="shared" ref="AA8:AA46" si="3">D8/F8</f>
        <v>0.95238095238095233</v>
      </c>
      <c r="AB8" s="1501">
        <f t="shared" ref="AB8:AB46" si="4">D8/H8</f>
        <v>0.95238095238095233</v>
      </c>
      <c r="AC8" s="1501">
        <f t="shared" ref="AC8:AC46" si="5">D8/J8</f>
        <v>0.95238095238095233</v>
      </c>
    </row>
    <row r="9" spans="1:29" s="1284" customFormat="1" ht="14.4">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6"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501">
        <f t="shared" si="5"/>
        <v>1</v>
      </c>
    </row>
    <row r="10" spans="1:29" s="1285" customFormat="1" ht="28.8">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6"/>
      <c r="Q11" s="1080" t="str">
        <f t="shared" si="6"/>
        <v>容积率</v>
      </c>
      <c r="R11" s="1490" t="s">
        <v>1515</v>
      </c>
      <c r="S11" s="1491">
        <f t="shared" si="0"/>
        <v>100</v>
      </c>
      <c r="T11" s="1490" t="s">
        <v>1515</v>
      </c>
      <c r="U11" s="1491">
        <f t="shared" si="1"/>
        <v>100</v>
      </c>
      <c r="V11" s="1490" t="s">
        <v>1515</v>
      </c>
      <c r="W11" s="1491">
        <f t="shared" si="2"/>
        <v>100</v>
      </c>
      <c r="X11" s="1492"/>
      <c r="Y11" s="3270"/>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6"/>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7" t="s">
        <v>1526</v>
      </c>
      <c r="Q15" s="912" t="str">
        <f t="shared" si="6"/>
        <v>商业繁华度</v>
      </c>
      <c r="R15" s="1494" t="s">
        <v>1515</v>
      </c>
      <c r="S15" s="1495">
        <f t="shared" si="0"/>
        <v>100</v>
      </c>
      <c r="T15" s="1494" t="s">
        <v>1515</v>
      </c>
      <c r="U15" s="1495">
        <f t="shared" si="1"/>
        <v>100</v>
      </c>
      <c r="V15" s="1494" t="s">
        <v>1515</v>
      </c>
      <c r="W15" s="1495">
        <f t="shared" si="2"/>
        <v>100</v>
      </c>
      <c r="X15" s="1489"/>
      <c r="Y15" s="3412"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8"/>
      <c r="Q16" s="912"/>
      <c r="R16" s="1494"/>
      <c r="S16" s="1495"/>
      <c r="T16" s="1494"/>
      <c r="U16" s="1495"/>
      <c r="V16" s="1494"/>
      <c r="W16" s="1495"/>
      <c r="X16" s="1489"/>
      <c r="Y16" s="3413"/>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8"/>
      <c r="Q17" s="912" t="str">
        <f>B17</f>
        <v>交通便捷度</v>
      </c>
      <c r="R17" s="1494" t="s">
        <v>1515</v>
      </c>
      <c r="S17" s="1495">
        <f>F17</f>
        <v>100</v>
      </c>
      <c r="T17" s="1494" t="s">
        <v>1515</v>
      </c>
      <c r="U17" s="1495">
        <f>H17</f>
        <v>100</v>
      </c>
      <c r="V17" s="1494" t="s">
        <v>1515</v>
      </c>
      <c r="W17" s="1495">
        <f>J17</f>
        <v>100</v>
      </c>
      <c r="X17" s="1489"/>
      <c r="Y17" s="3413"/>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8"/>
      <c r="Q18" s="912"/>
      <c r="R18" s="1494"/>
      <c r="S18" s="1495"/>
      <c r="T18" s="1494"/>
      <c r="U18" s="1495"/>
      <c r="V18" s="1494"/>
      <c r="W18" s="1495"/>
      <c r="X18" s="1489"/>
      <c r="Y18" s="3413"/>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8"/>
      <c r="Q19" s="912" t="str">
        <f>B19</f>
        <v>公共配套设施</v>
      </c>
      <c r="R19" s="1494" t="s">
        <v>1515</v>
      </c>
      <c r="S19" s="1495">
        <f>F19</f>
        <v>100</v>
      </c>
      <c r="T19" s="1494" t="s">
        <v>1515</v>
      </c>
      <c r="U19" s="1495">
        <f>H19</f>
        <v>100</v>
      </c>
      <c r="V19" s="1494" t="s">
        <v>1515</v>
      </c>
      <c r="W19" s="1495">
        <f>J19</f>
        <v>100</v>
      </c>
      <c r="X19" s="1489"/>
      <c r="Y19" s="3413"/>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8"/>
      <c r="Q20" s="912"/>
      <c r="R20" s="1494"/>
      <c r="S20" s="1495"/>
      <c r="T20" s="1494"/>
      <c r="U20" s="1495"/>
      <c r="V20" s="1494"/>
      <c r="W20" s="1495"/>
      <c r="X20" s="1489"/>
      <c r="Y20" s="3413"/>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8"/>
      <c r="Q21" s="912" t="str">
        <f>B21</f>
        <v>基础设施水平</v>
      </c>
      <c r="R21" s="1494" t="s">
        <v>1515</v>
      </c>
      <c r="S21" s="1495">
        <f>F21</f>
        <v>100</v>
      </c>
      <c r="T21" s="1494" t="s">
        <v>1515</v>
      </c>
      <c r="U21" s="1495">
        <f>H21</f>
        <v>100</v>
      </c>
      <c r="V21" s="1494" t="s">
        <v>1515</v>
      </c>
      <c r="W21" s="1495">
        <f>J21</f>
        <v>100</v>
      </c>
      <c r="X21" s="1489"/>
      <c r="Y21" s="3413"/>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8"/>
      <c r="Q22" s="912"/>
      <c r="R22" s="1494"/>
      <c r="S22" s="1495"/>
      <c r="T22" s="1494"/>
      <c r="U22" s="1495"/>
      <c r="V22" s="1494"/>
      <c r="W22" s="1495"/>
      <c r="X22" s="1489"/>
      <c r="Y22" s="3413"/>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8"/>
      <c r="Q23" s="912" t="str">
        <f>B23</f>
        <v>自然及人文环境</v>
      </c>
      <c r="R23" s="1494" t="s">
        <v>1515</v>
      </c>
      <c r="S23" s="1495">
        <f>F23</f>
        <v>100</v>
      </c>
      <c r="T23" s="1494" t="s">
        <v>1515</v>
      </c>
      <c r="U23" s="1495">
        <f>H23</f>
        <v>100</v>
      </c>
      <c r="V23" s="1494" t="s">
        <v>1515</v>
      </c>
      <c r="W23" s="1495">
        <f>J23</f>
        <v>100</v>
      </c>
      <c r="X23" s="1489"/>
      <c r="Y23" s="3413"/>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8"/>
      <c r="Q24" s="912"/>
      <c r="R24" s="1494"/>
      <c r="S24" s="1495"/>
      <c r="T24" s="1494"/>
      <c r="U24" s="1495"/>
      <c r="V24" s="1494"/>
      <c r="W24" s="1495"/>
      <c r="X24" s="1489"/>
      <c r="Y24" s="3413"/>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8"/>
      <c r="Q25" s="912" t="str">
        <f t="shared" ref="Q25:Q46" si="11">B25</f>
        <v>临街状况</v>
      </c>
      <c r="R25" s="1494" t="s">
        <v>1515</v>
      </c>
      <c r="S25" s="1495">
        <f>F25</f>
        <v>100</v>
      </c>
      <c r="T25" s="1494" t="s">
        <v>1515</v>
      </c>
      <c r="U25" s="1495">
        <f>H25</f>
        <v>100</v>
      </c>
      <c r="V25" s="1494" t="s">
        <v>1515</v>
      </c>
      <c r="W25" s="1495">
        <f>J25</f>
        <v>97</v>
      </c>
      <c r="X25" s="1489"/>
      <c r="Y25" s="3413"/>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8"/>
      <c r="Q26" s="912" t="str">
        <f t="shared" si="11"/>
        <v>平面位置/可视性</v>
      </c>
      <c r="R26" s="1494" t="s">
        <v>1515</v>
      </c>
      <c r="S26" s="1495">
        <f>F26</f>
        <v>100</v>
      </c>
      <c r="T26" s="1494" t="s">
        <v>1515</v>
      </c>
      <c r="U26" s="1495">
        <f>H26</f>
        <v>100</v>
      </c>
      <c r="V26" s="1494" t="s">
        <v>1515</v>
      </c>
      <c r="W26" s="1495">
        <f>J26</f>
        <v>100</v>
      </c>
      <c r="X26" s="1489"/>
      <c r="Y26" s="3413"/>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8"/>
      <c r="Q27" s="1080" t="str">
        <f t="shared" si="11"/>
        <v>人流量</v>
      </c>
      <c r="R27" s="1490" t="s">
        <v>1515</v>
      </c>
      <c r="S27" s="1491">
        <f>F27</f>
        <v>103</v>
      </c>
      <c r="T27" s="1490" t="s">
        <v>1515</v>
      </c>
      <c r="U27" s="1491">
        <f>H27</f>
        <v>103</v>
      </c>
      <c r="V27" s="1490" t="s">
        <v>1515</v>
      </c>
      <c r="W27" s="1491">
        <f>J27</f>
        <v>100</v>
      </c>
      <c r="X27" s="1492"/>
      <c r="Y27" s="3413"/>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8"/>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3"/>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8"/>
      <c r="Q29" s="912">
        <f t="shared" si="11"/>
        <v>111</v>
      </c>
      <c r="R29" s="1494" t="s">
        <v>1515</v>
      </c>
      <c r="S29" s="1495">
        <f t="shared" si="12"/>
        <v>100</v>
      </c>
      <c r="T29" s="1494" t="s">
        <v>1515</v>
      </c>
      <c r="U29" s="1495">
        <f t="shared" si="13"/>
        <v>100</v>
      </c>
      <c r="V29" s="1494" t="s">
        <v>1515</v>
      </c>
      <c r="W29" s="1495">
        <f t="shared" si="14"/>
        <v>100</v>
      </c>
      <c r="X29" s="1489"/>
      <c r="Y29" s="3413"/>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8"/>
      <c r="Q30" s="912">
        <f t="shared" si="11"/>
        <v>111</v>
      </c>
      <c r="R30" s="1494" t="s">
        <v>1515</v>
      </c>
      <c r="S30" s="1495">
        <f t="shared" si="12"/>
        <v>100</v>
      </c>
      <c r="T30" s="1494" t="s">
        <v>1515</v>
      </c>
      <c r="U30" s="1495">
        <f t="shared" si="13"/>
        <v>100</v>
      </c>
      <c r="V30" s="1494" t="s">
        <v>1515</v>
      </c>
      <c r="W30" s="1495">
        <f t="shared" si="14"/>
        <v>100</v>
      </c>
      <c r="X30" s="1489"/>
      <c r="Y30" s="3413"/>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8"/>
      <c r="Q31" s="912">
        <f t="shared" si="11"/>
        <v>111</v>
      </c>
      <c r="R31" s="1494" t="s">
        <v>1515</v>
      </c>
      <c r="S31" s="1495">
        <f t="shared" si="12"/>
        <v>100</v>
      </c>
      <c r="T31" s="1494" t="s">
        <v>1515</v>
      </c>
      <c r="U31" s="1495">
        <f t="shared" si="13"/>
        <v>100</v>
      </c>
      <c r="V31" s="1494" t="s">
        <v>1515</v>
      </c>
      <c r="W31" s="1495">
        <f t="shared" si="14"/>
        <v>100</v>
      </c>
      <c r="X31" s="1489"/>
      <c r="Y31" s="3413"/>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09" t="s">
        <v>1535</v>
      </c>
      <c r="Q32" s="912" t="str">
        <f t="shared" si="11"/>
        <v>商业类型</v>
      </c>
      <c r="R32" s="1494" t="s">
        <v>1515</v>
      </c>
      <c r="S32" s="1495">
        <f t="shared" si="12"/>
        <v>100</v>
      </c>
      <c r="T32" s="1494" t="s">
        <v>1515</v>
      </c>
      <c r="U32" s="1495">
        <f t="shared" si="13"/>
        <v>100</v>
      </c>
      <c r="V32" s="1494" t="s">
        <v>1515</v>
      </c>
      <c r="W32" s="1495">
        <f t="shared" si="14"/>
        <v>100</v>
      </c>
      <c r="X32" s="1489"/>
      <c r="Y32" s="3414"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115.43</v>
      </c>
      <c r="D33" s="1324">
        <v>100</v>
      </c>
      <c r="E33" s="1327">
        <v>450</v>
      </c>
      <c r="F33" s="1322">
        <f>LOOKUP(E33,103:103,104:104)-LOOKUP(C33,103:103,104:104)+100</f>
        <v>97</v>
      </c>
      <c r="G33" s="1326">
        <v>50.26</v>
      </c>
      <c r="H33" s="1324">
        <f>LOOKUP(G33,103:103,104:104)-LOOKUP(C33,103:103,104:104)+100</f>
        <v>101</v>
      </c>
      <c r="I33" s="1326">
        <v>70.34</v>
      </c>
      <c r="J33" s="1324">
        <f>LOOKUP(I33,103:103,104:104)-LOOKUP(C33,103:103,104:104)+100</f>
        <v>101</v>
      </c>
      <c r="K33" s="1464"/>
      <c r="L33" s="1457"/>
      <c r="M33" s="1466"/>
      <c r="N33" s="1466"/>
      <c r="O33" s="1466"/>
      <c r="P33" s="3410"/>
      <c r="Q33" s="1689" t="str">
        <f t="shared" si="11"/>
        <v>项目建筑规模</v>
      </c>
      <c r="R33" s="1496" t="s">
        <v>1515</v>
      </c>
      <c r="S33" s="1497">
        <f t="shared" si="12"/>
        <v>97</v>
      </c>
      <c r="T33" s="1496" t="s">
        <v>1515</v>
      </c>
      <c r="U33" s="1497">
        <f t="shared" si="13"/>
        <v>101</v>
      </c>
      <c r="V33" s="1496" t="s">
        <v>1515</v>
      </c>
      <c r="W33" s="1497">
        <f t="shared" si="14"/>
        <v>101</v>
      </c>
      <c r="X33" s="1498"/>
      <c r="Y33" s="3414"/>
      <c r="Z33" s="1502" t="str">
        <f t="shared" si="15"/>
        <v>项目建筑规模</v>
      </c>
      <c r="AA33" s="1479">
        <f t="shared" si="3"/>
        <v>1.0309278350515463</v>
      </c>
      <c r="AB33" s="1479">
        <f t="shared" si="4"/>
        <v>0.99009900990099009</v>
      </c>
      <c r="AC33" s="1479">
        <f t="shared" si="5"/>
        <v>0.99009900990099009</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0"/>
      <c r="Q34" s="912" t="str">
        <f t="shared" si="11"/>
        <v>建筑结构</v>
      </c>
      <c r="R34" s="1494" t="s">
        <v>1515</v>
      </c>
      <c r="S34" s="1495">
        <f t="shared" si="12"/>
        <v>100</v>
      </c>
      <c r="T34" s="1494" t="s">
        <v>1515</v>
      </c>
      <c r="U34" s="1495">
        <f t="shared" si="13"/>
        <v>100</v>
      </c>
      <c r="V34" s="1494" t="s">
        <v>1515</v>
      </c>
      <c r="W34" s="1495">
        <f t="shared" si="14"/>
        <v>100</v>
      </c>
      <c r="X34" s="1489"/>
      <c r="Y34" s="3414"/>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0"/>
      <c r="Q35" s="912" t="str">
        <f t="shared" si="11"/>
        <v>公共部分装修</v>
      </c>
      <c r="R35" s="1494" t="s">
        <v>1515</v>
      </c>
      <c r="S35" s="1495">
        <f t="shared" si="12"/>
        <v>100</v>
      </c>
      <c r="T35" s="1494" t="s">
        <v>1515</v>
      </c>
      <c r="U35" s="1495">
        <f t="shared" si="13"/>
        <v>100</v>
      </c>
      <c r="V35" s="1494" t="s">
        <v>1515</v>
      </c>
      <c r="W35" s="1495">
        <f t="shared" si="14"/>
        <v>100</v>
      </c>
      <c r="X35" s="1489"/>
      <c r="Y35" s="3414"/>
      <c r="Z35" s="1479" t="str">
        <f t="shared" si="15"/>
        <v>公共部分装修</v>
      </c>
      <c r="AA35" s="1479">
        <f t="shared" si="3"/>
        <v>1</v>
      </c>
      <c r="AB35" s="1479">
        <f t="shared" si="4"/>
        <v>1</v>
      </c>
      <c r="AC35" s="1479">
        <f t="shared" si="5"/>
        <v>1</v>
      </c>
    </row>
    <row r="36" spans="1:29" ht="15">
      <c r="A36" s="1374"/>
      <c r="B36" s="1322" t="s">
        <v>683</v>
      </c>
      <c r="C36" s="1665">
        <f>'数据-取费表'!N6</f>
        <v>0.8</v>
      </c>
      <c r="D36" s="1045">
        <v>100</v>
      </c>
      <c r="E36" s="1665">
        <f>C36</f>
        <v>0.8</v>
      </c>
      <c r="F36" s="1474">
        <f>LOOKUP(E36,110:110,111:111)-LOOKUP(C36,110:110,111:111)+100</f>
        <v>100</v>
      </c>
      <c r="G36" s="1665">
        <f>E36</f>
        <v>0.8</v>
      </c>
      <c r="H36" s="1474">
        <f>LOOKUP(G36,110:110,111:111)-LOOKUP(C36,110:110,111:111)+100</f>
        <v>100</v>
      </c>
      <c r="I36" s="1665">
        <f>G36</f>
        <v>0.8</v>
      </c>
      <c r="J36" s="1045">
        <f>LOOKUP(I36,110:110,111:111)-LOOKUP(C36,110:110,111:111)+100</f>
        <v>100</v>
      </c>
      <c r="K36" s="1465"/>
      <c r="L36" s="1459"/>
      <c r="M36" s="1398"/>
      <c r="N36" s="1398"/>
      <c r="O36" s="1398"/>
      <c r="P36" s="3410"/>
      <c r="Q36" s="912" t="str">
        <f t="shared" si="11"/>
        <v>成新度</v>
      </c>
      <c r="R36" s="1494" t="s">
        <v>1515</v>
      </c>
      <c r="S36" s="1495">
        <f t="shared" si="12"/>
        <v>100</v>
      </c>
      <c r="T36" s="1494" t="s">
        <v>1515</v>
      </c>
      <c r="U36" s="1495">
        <f t="shared" si="13"/>
        <v>100</v>
      </c>
      <c r="V36" s="1494" t="s">
        <v>1515</v>
      </c>
      <c r="W36" s="1495">
        <f t="shared" si="14"/>
        <v>100</v>
      </c>
      <c r="X36" s="1489"/>
      <c r="Y36" s="3414"/>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0"/>
      <c r="Q37" s="1080" t="str">
        <f t="shared" si="11"/>
        <v>市政基础设施</v>
      </c>
      <c r="R37" s="1490" t="s">
        <v>1515</v>
      </c>
      <c r="S37" s="1491">
        <f t="shared" si="12"/>
        <v>100</v>
      </c>
      <c r="T37" s="1490" t="s">
        <v>1515</v>
      </c>
      <c r="U37" s="1491">
        <f t="shared" si="13"/>
        <v>100</v>
      </c>
      <c r="V37" s="1490" t="s">
        <v>1515</v>
      </c>
      <c r="W37" s="1491">
        <f t="shared" si="14"/>
        <v>100</v>
      </c>
      <c r="X37" s="1492"/>
      <c r="Y37" s="3414"/>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0" t="s">
        <v>1535</v>
      </c>
      <c r="Q38" s="912" t="str">
        <f t="shared" si="11"/>
        <v>业态</v>
      </c>
      <c r="R38" s="1494" t="s">
        <v>1515</v>
      </c>
      <c r="S38" s="1495">
        <f t="shared" si="12"/>
        <v>103</v>
      </c>
      <c r="T38" s="1494" t="s">
        <v>1515</v>
      </c>
      <c r="U38" s="1495">
        <f t="shared" si="13"/>
        <v>100</v>
      </c>
      <c r="V38" s="1494" t="s">
        <v>1515</v>
      </c>
      <c r="W38" s="1495">
        <f t="shared" si="14"/>
        <v>100</v>
      </c>
      <c r="X38" s="1489"/>
      <c r="Y38" s="3414"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0"/>
      <c r="Q39" s="912" t="str">
        <f t="shared" si="11"/>
        <v>层高</v>
      </c>
      <c r="R39" s="1494" t="s">
        <v>1515</v>
      </c>
      <c r="S39" s="1495">
        <f t="shared" si="12"/>
        <v>100</v>
      </c>
      <c r="T39" s="1494" t="s">
        <v>1515</v>
      </c>
      <c r="U39" s="1495">
        <f t="shared" si="13"/>
        <v>100</v>
      </c>
      <c r="V39" s="1494" t="s">
        <v>1515</v>
      </c>
      <c r="W39" s="1495">
        <f t="shared" si="14"/>
        <v>100</v>
      </c>
      <c r="X39" s="1489"/>
      <c r="Y39" s="3414"/>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0"/>
      <c r="Q40" s="912" t="str">
        <f t="shared" si="11"/>
        <v>单套建筑面积</v>
      </c>
      <c r="R40" s="1494" t="s">
        <v>1515</v>
      </c>
      <c r="S40" s="1495">
        <f t="shared" si="12"/>
        <v>100</v>
      </c>
      <c r="T40" s="1494" t="s">
        <v>1515</v>
      </c>
      <c r="U40" s="1495">
        <f t="shared" si="13"/>
        <v>100</v>
      </c>
      <c r="V40" s="1494" t="s">
        <v>1515</v>
      </c>
      <c r="W40" s="1495">
        <f t="shared" si="14"/>
        <v>100</v>
      </c>
      <c r="X40" s="1489"/>
      <c r="Y40" s="3414"/>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0"/>
      <c r="Q41" s="1689" t="str">
        <f t="shared" si="11"/>
        <v>进深比</v>
      </c>
      <c r="R41" s="1496" t="s">
        <v>1515</v>
      </c>
      <c r="S41" s="1497">
        <f t="shared" si="12"/>
        <v>100</v>
      </c>
      <c r="T41" s="1496" t="s">
        <v>1515</v>
      </c>
      <c r="U41" s="1497">
        <f t="shared" si="13"/>
        <v>100</v>
      </c>
      <c r="V41" s="1496" t="s">
        <v>1515</v>
      </c>
      <c r="W41" s="1497">
        <f t="shared" si="14"/>
        <v>100</v>
      </c>
      <c r="X41" s="1498"/>
      <c r="Y41" s="3414"/>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0"/>
      <c r="Q42" s="912" t="str">
        <f t="shared" si="11"/>
        <v>内部装修</v>
      </c>
      <c r="R42" s="1494" t="s">
        <v>1515</v>
      </c>
      <c r="S42" s="1495">
        <f t="shared" si="12"/>
        <v>100</v>
      </c>
      <c r="T42" s="1494" t="s">
        <v>1515</v>
      </c>
      <c r="U42" s="1495">
        <f t="shared" si="13"/>
        <v>100</v>
      </c>
      <c r="V42" s="1494" t="s">
        <v>1515</v>
      </c>
      <c r="W42" s="1495">
        <f t="shared" si="14"/>
        <v>100</v>
      </c>
      <c r="X42" s="1489"/>
      <c r="Y42" s="3414"/>
      <c r="Z42" s="1479" t="str">
        <f t="shared" si="15"/>
        <v>内部装修</v>
      </c>
      <c r="AA42" s="1479">
        <f t="shared" si="3"/>
        <v>1</v>
      </c>
      <c r="AB42" s="1479">
        <f t="shared" si="4"/>
        <v>1</v>
      </c>
      <c r="AC42" s="1479">
        <f t="shared" si="5"/>
        <v>1</v>
      </c>
    </row>
    <row r="43" spans="1:29" ht="28.8">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0"/>
      <c r="Q43" s="912" t="str">
        <f t="shared" si="11"/>
        <v>内部装修维护情况</v>
      </c>
      <c r="R43" s="1494" t="s">
        <v>1515</v>
      </c>
      <c r="S43" s="1495">
        <f t="shared" si="12"/>
        <v>100</v>
      </c>
      <c r="T43" s="1494" t="s">
        <v>1515</v>
      </c>
      <c r="U43" s="1495">
        <f t="shared" si="13"/>
        <v>100</v>
      </c>
      <c r="V43" s="1494" t="s">
        <v>1515</v>
      </c>
      <c r="W43" s="1495">
        <f t="shared" si="14"/>
        <v>100</v>
      </c>
      <c r="X43" s="1489"/>
      <c r="Y43" s="3414"/>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0"/>
      <c r="Q44" s="1080">
        <f t="shared" si="11"/>
        <v>111</v>
      </c>
      <c r="R44" s="1490" t="s">
        <v>1515</v>
      </c>
      <c r="S44" s="1491">
        <f t="shared" si="12"/>
        <v>100</v>
      </c>
      <c r="T44" s="1490" t="s">
        <v>1515</v>
      </c>
      <c r="U44" s="1491">
        <f t="shared" si="13"/>
        <v>100</v>
      </c>
      <c r="V44" s="1490" t="s">
        <v>1515</v>
      </c>
      <c r="W44" s="1491">
        <f t="shared" si="14"/>
        <v>100</v>
      </c>
      <c r="X44" s="1492"/>
      <c r="Y44" s="3414"/>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0"/>
      <c r="Q45" s="912">
        <f t="shared" si="11"/>
        <v>111</v>
      </c>
      <c r="R45" s="1494" t="s">
        <v>1515</v>
      </c>
      <c r="S45" s="1495">
        <f t="shared" si="12"/>
        <v>100</v>
      </c>
      <c r="T45" s="1494" t="s">
        <v>1515</v>
      </c>
      <c r="U45" s="1495">
        <f t="shared" si="13"/>
        <v>100</v>
      </c>
      <c r="V45" s="1494" t="s">
        <v>1515</v>
      </c>
      <c r="W45" s="1495">
        <f t="shared" si="14"/>
        <v>100</v>
      </c>
      <c r="X45" s="1489"/>
      <c r="Y45" s="3414"/>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5"/>
        <v>111</v>
      </c>
      <c r="AA46" s="1479">
        <f t="shared" si="3"/>
        <v>1</v>
      </c>
      <c r="AB46" s="1479">
        <f t="shared" si="4"/>
        <v>1</v>
      </c>
      <c r="AC46" s="1479">
        <f t="shared" si="5"/>
        <v>1</v>
      </c>
    </row>
    <row r="47" spans="1:29" ht="14.4">
      <c r="A47" s="1381" t="s">
        <v>1546</v>
      </c>
      <c r="B47" s="1672"/>
      <c r="C47" s="1673" t="s">
        <v>124</v>
      </c>
      <c r="D47" s="1384"/>
      <c r="E47" s="3171">
        <v>5</v>
      </c>
      <c r="F47" s="1386"/>
      <c r="G47" s="1387">
        <v>5.23</v>
      </c>
      <c r="H47" s="1388"/>
      <c r="I47" s="1385">
        <v>5.84</v>
      </c>
      <c r="J47" s="1388"/>
      <c r="K47" s="1470"/>
      <c r="L47" s="1471"/>
      <c r="M47" s="1398"/>
      <c r="N47" s="1398"/>
      <c r="O47" s="1398"/>
      <c r="P47" s="3400" t="str">
        <f>A47</f>
        <v>成交单价（元/平方米）</v>
      </c>
      <c r="Q47" s="3400"/>
      <c r="R47" s="3399">
        <f>E47</f>
        <v>5</v>
      </c>
      <c r="S47" s="3399"/>
      <c r="T47" s="3399">
        <f>G47</f>
        <v>5.23</v>
      </c>
      <c r="U47" s="3399"/>
      <c r="V47" s="3399">
        <f>I47</f>
        <v>5.84</v>
      </c>
      <c r="W47" s="3399"/>
      <c r="X47" s="1437"/>
      <c r="Y47" s="1503"/>
      <c r="Z47" s="1437"/>
      <c r="AA47" s="1437"/>
      <c r="AB47" s="1437"/>
      <c r="AC47" s="1437"/>
    </row>
    <row r="48" spans="1:29" ht="14.4">
      <c r="A48" s="1389" t="s">
        <v>1547</v>
      </c>
      <c r="B48" s="1674"/>
      <c r="C48" s="3169">
        <f>R49</f>
        <v>5</v>
      </c>
      <c r="D48" s="1392" t="s">
        <v>1548</v>
      </c>
      <c r="E48" s="1676">
        <f>R48</f>
        <v>4.5999999999999996</v>
      </c>
      <c r="F48" s="1393"/>
      <c r="G48" s="1675">
        <f>T48</f>
        <v>4.8</v>
      </c>
      <c r="H48" s="1393"/>
      <c r="I48" s="1676">
        <f>V48</f>
        <v>5.7</v>
      </c>
      <c r="J48" s="1393"/>
      <c r="K48" s="1472">
        <f>F48+H48+J48</f>
        <v>0</v>
      </c>
      <c r="L48" s="1471"/>
      <c r="M48" s="1398"/>
      <c r="N48" s="1398"/>
      <c r="O48" s="1398"/>
      <c r="P48" s="3400" t="str">
        <f>A48</f>
        <v>比较价值（元/平方米）</v>
      </c>
      <c r="Q48" s="3400"/>
      <c r="R48" s="3399">
        <f>IF(F1="售价",ROUND(PRODUCT(R47,AA7:AA46),0),ROUND(PRODUCT(R47,AA7:AA46),1))</f>
        <v>4.5999999999999996</v>
      </c>
      <c r="S48" s="3399"/>
      <c r="T48" s="3399">
        <f>IF(F1="售价",ROUND(PRODUCT(T47,AB7:AB46),0),ROUND(PRODUCT(T47,AB7:AB46),1))</f>
        <v>4.8</v>
      </c>
      <c r="U48" s="3399"/>
      <c r="V48" s="3399">
        <f>IF(F1="售价",ROUND(PRODUCT(V47,AC7:AC46),0),ROUND(PRODUCT(V47,AC7:AC46),1))</f>
        <v>5.7</v>
      </c>
      <c r="W48" s="3399"/>
      <c r="X48" s="1437"/>
      <c r="Y48" s="1437"/>
      <c r="Z48" s="1437"/>
      <c r="AA48" s="1437"/>
      <c r="AB48" s="1437"/>
      <c r="AC48" s="1437"/>
    </row>
    <row r="49" spans="1:29" ht="14.4">
      <c r="A49" s="1395" t="s">
        <v>1549</v>
      </c>
      <c r="B49" s="1396"/>
      <c r="C49" s="3170">
        <f>R49</f>
        <v>5</v>
      </c>
      <c r="D49" s="1308"/>
      <c r="E49" s="1308"/>
      <c r="F49" s="1308"/>
      <c r="G49" s="1308"/>
      <c r="H49" s="1308"/>
      <c r="I49" s="1308"/>
      <c r="J49" s="1308"/>
      <c r="K49" s="1473"/>
      <c r="L49" s="1471"/>
      <c r="M49" s="1398"/>
      <c r="N49" s="1398"/>
      <c r="O49" s="1398"/>
      <c r="P49" s="3401" t="str">
        <f>A49</f>
        <v>估价对象XX用房的比较价值（楼面单价，元/平方米）</v>
      </c>
      <c r="Q49" s="3402"/>
      <c r="R49" s="3403">
        <f>IF(F1="售价",ROUND(IF(D48="简单平均",AVERAGE(R48:V48),R48*F48+T48*H48+V48*J48),0),ROUND(IF(D48="简单平均",AVERAGE(R48:V48),R48*F48+T48*H48+V48*J48),1))</f>
        <v>5</v>
      </c>
      <c r="S49" s="3403"/>
      <c r="T49" s="3403"/>
      <c r="U49" s="3403"/>
      <c r="V49" s="3403"/>
      <c r="W49" s="3403"/>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8.958333333333357E-2</v>
      </c>
      <c r="H52" s="1402" t="str">
        <f>IF(OR(G52&gt;=0.3,G52&lt;=-0.3),"超过30%","")</f>
        <v/>
      </c>
      <c r="I52" s="1401">
        <f>IF(I47&lt;I48,I48/I47-1,I47/I48-1)</f>
        <v>2.4561403508771784E-2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4.3478260869565188E-2</v>
      </c>
      <c r="F53" s="1402" t="str">
        <f>IF(OR(E53&gt;=0.2,E53&lt;=-0.2),"超过20%","")</f>
        <v/>
      </c>
      <c r="G53" s="1401">
        <f>IF(G48&lt;I48,I48/G48-1,G48/I48-1)</f>
        <v>0.1875</v>
      </c>
      <c r="H53" s="1402" t="str">
        <f>IF(OR(G53&gt;=0.2,G53&lt;=-0.2),"超过20%","")</f>
        <v/>
      </c>
      <c r="I53" s="1401">
        <f>IF(I48&lt;E48,E48/I48-1,I48/E48-1)</f>
        <v>0.23913043478260887</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6">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4.4">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4.4">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4.4">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ht="14.4">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8.8">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4.4">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ht="14.4">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4.4">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4.4">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4.4">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4.4">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4.4">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ht="14.4">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4.4">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ht="14.4">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ht="14.4">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ht="14.4">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ht="14.4">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ht="14.4">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ht="14.4">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ht="14.4">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ht="14.4">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ht="14.4">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ht="28.8">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商业交易情况</formula1>
    </dataValidation>
    <dataValidation type="list" allowBlank="1" showInputMessage="1" showErrorMessage="1" sqref="E9 G9 I9" xr:uid="{00000000-0002-0000-1800-000006000000}">
      <formula1>商业用途</formula1>
    </dataValidation>
    <dataValidation type="list" allowBlank="1" showInputMessage="1" showErrorMessage="1" sqref="C16 E16 G16 I16" xr:uid="{00000000-0002-0000-1800-000007000000}">
      <formula1>商业繁华度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商业临街状况</formula1>
    </dataValidation>
    <dataValidation type="list" allowBlank="1" showInputMessage="1" showErrorMessage="1" sqref="C27 E27 G27 I27" xr:uid="{00000000-0002-0000-1800-00000D000000}">
      <formula1>商业人流量</formula1>
    </dataValidation>
    <dataValidation type="list" allowBlank="1" showInputMessage="1" showErrorMessage="1" sqref="C28 E28 G28 I28" xr:uid="{00000000-0002-0000-1800-00000E000000}">
      <formula1>商业楼层</formula1>
    </dataValidation>
    <dataValidation type="list" allowBlank="1" showInputMessage="1" showErrorMessage="1" sqref="C32 E32 G32 I32" xr:uid="{00000000-0002-0000-1800-00000F000000}">
      <formula1>商业类型</formula1>
    </dataValidation>
    <dataValidation type="list" allowBlank="1" showInputMessage="1" showErrorMessage="1" sqref="C34 E34 G34 I34" xr:uid="{00000000-0002-0000-1800-000010000000}">
      <formula1>商业建筑结构</formula1>
    </dataValidation>
    <dataValidation type="list" allowBlank="1" showInputMessage="1" showErrorMessage="1" sqref="C35 E35 G35 I35" xr:uid="{00000000-0002-0000-1800-000011000000}">
      <formula1>商业公共部分装修</formula1>
    </dataValidation>
    <dataValidation type="list" allowBlank="1" showInputMessage="1" showErrorMessage="1" sqref="C37 E37 G37 I37" xr:uid="{00000000-0002-0000-1800-000012000000}">
      <formula1>商业基础设施水平</formula1>
    </dataValidation>
    <dataValidation type="list" allowBlank="1" showInputMessage="1" showErrorMessage="1" sqref="C38 E38 G38 I38" xr:uid="{00000000-0002-0000-1800-000013000000}">
      <formula1>商业业态</formula1>
    </dataValidation>
    <dataValidation type="list" allowBlank="1" showInputMessage="1" showErrorMessage="1" sqref="C39 E39 G39 I39" xr:uid="{00000000-0002-0000-1800-000014000000}">
      <formula1>商业层高</formula1>
    </dataValidation>
    <dataValidation type="list" allowBlank="1" showInputMessage="1" showErrorMessage="1" sqref="C41 E41 G41 I41" xr:uid="{00000000-0002-0000-1800-000015000000}">
      <formula1>商业进深比</formula1>
    </dataValidation>
    <dataValidation type="list" allowBlank="1" showInputMessage="1" showErrorMessage="1" sqref="C42 E42 G42 I42" xr:uid="{00000000-0002-0000-1800-000016000000}">
      <formula1>商业内部装修</formula1>
    </dataValidation>
    <dataValidation type="list" allowBlank="1" showInputMessage="1" showErrorMessage="1" sqref="C43 E43 G43 I43" xr:uid="{00000000-0002-0000-1800-000017000000}">
      <formula1>内部装修维护情况</formula1>
    </dataValidation>
    <dataValidation type="list" allowBlank="1" showInputMessage="1" showErrorMessage="1" sqref="D48"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sheetPr>
  <dimension ref="A1:AS524"/>
  <sheetViews>
    <sheetView zoomScale="90" zoomScaleNormal="90" workbookViewId="0">
      <pane ySplit="24" topLeftCell="A25" activePane="bottomLeft" state="frozen"/>
      <selection pane="bottomLeft" activeCell="X14" sqref="X14"/>
    </sheetView>
  </sheetViews>
  <sheetFormatPr defaultColWidth="9" defaultRowHeight="13.2"/>
  <cols>
    <col min="1" max="1" width="11.44140625" style="1182" customWidth="1"/>
    <col min="2" max="2" width="9.2187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29" t="s">
        <v>1691</v>
      </c>
      <c r="D1" s="3430"/>
      <c r="E1" s="3430"/>
      <c r="F1" s="3430"/>
      <c r="G1" s="3430"/>
      <c r="H1" s="3430"/>
      <c r="I1" s="3430"/>
      <c r="J1" s="3430"/>
      <c r="K1" s="3430"/>
      <c r="L1" s="3430"/>
      <c r="M1" s="3430"/>
      <c r="N1" s="3430"/>
      <c r="O1" s="3430"/>
      <c r="P1" s="3430"/>
      <c r="Q1" s="3430"/>
      <c r="R1" s="3430"/>
      <c r="S1" s="3431"/>
      <c r="T1" s="1184" t="s">
        <v>1692</v>
      </c>
    </row>
    <row r="2" spans="1:45" s="226" customFormat="1" ht="39.6">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3517">
        <f>'比较法-办公'!D90</f>
        <v>98</v>
      </c>
      <c r="E18" s="3517">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6">
      <c r="A20" s="1225" t="s">
        <v>1702</v>
      </c>
      <c r="B20" s="1226">
        <f ca="1">IF(D20="——",S22,S22-F20)</f>
        <v>837</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6">
      <c r="A21" s="1225" t="s">
        <v>1703</v>
      </c>
      <c r="B21" s="1226">
        <f ca="1">ROUND(B20*10000/B22,0)</f>
        <v>11079</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755.51</v>
      </c>
      <c r="C22" s="3432" t="s">
        <v>124</v>
      </c>
      <c r="D22" s="3433"/>
      <c r="E22" s="3433"/>
      <c r="F22" s="3433"/>
      <c r="G22" s="3433"/>
      <c r="H22" s="3433"/>
      <c r="I22" s="3433"/>
      <c r="J22" s="3433"/>
      <c r="K22" s="3433"/>
      <c r="L22" s="3433"/>
      <c r="M22" s="3433"/>
      <c r="N22" s="3433"/>
      <c r="O22" s="3433"/>
      <c r="P22" s="3433"/>
      <c r="Q22" s="3434"/>
      <c r="R22" s="295">
        <f ca="1">ROUND(S22*10000/B22,0)</f>
        <v>11079</v>
      </c>
      <c r="S22" s="295">
        <f ca="1">SUM(S24:S10000)</f>
        <v>837</v>
      </c>
      <c r="T22" s="1183">
        <f ca="1">SUM(T24:T31)</f>
        <v>8378607</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115.43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11090</v>
      </c>
      <c r="S24" s="1281">
        <f t="shared" ref="S24:S54" ca="1" si="11">ROUND(R24*B24/10000,0)</f>
        <v>128</v>
      </c>
      <c r="T24" s="1282">
        <f ca="1">ROUND(R24*B24,0)</f>
        <v>1280119</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11090</v>
      </c>
      <c r="S25" s="270">
        <f t="shared" ca="1" si="11"/>
        <v>133</v>
      </c>
      <c r="T25" s="1282">
        <f t="shared" ref="T25:T29" ca="1" si="12">ROUND(R25*B25,0)</f>
        <v>1333462</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11090</v>
      </c>
      <c r="S26" s="270">
        <f t="shared" ca="1" si="11"/>
        <v>187</v>
      </c>
      <c r="T26" s="1282">
        <f t="shared" ca="1" si="12"/>
        <v>1870994</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11090</v>
      </c>
      <c r="S27" s="270">
        <f t="shared" ca="1" si="11"/>
        <v>133</v>
      </c>
      <c r="T27" s="1282">
        <f t="shared" ca="1" si="12"/>
        <v>1333462</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11090</v>
      </c>
      <c r="S28" s="270">
        <f t="shared" ca="1" si="11"/>
        <v>128</v>
      </c>
      <c r="T28" s="1282">
        <f t="shared" ca="1" si="12"/>
        <v>1280451</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11090</v>
      </c>
      <c r="S29" s="270">
        <f t="shared" ca="1" si="11"/>
        <v>128</v>
      </c>
      <c r="T29" s="1282">
        <f t="shared" ca="1" si="12"/>
        <v>1280119</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xr:uid="{00000000-0002-0000-1900-000000000000}">
      <formula1>"需扣减承租人权益,——"</formula1>
    </dataValidation>
    <dataValidation type="list" allowBlank="1" showInputMessage="1" showErrorMessage="1" sqref="H20" xr:uid="{00000000-0002-0000-1900-000001000000}">
      <formula1>估价方法</formula1>
    </dataValidation>
    <dataValidation type="list" allowBlank="1" showInputMessage="1" showErrorMessage="1" sqref="D24:D524" xr:uid="{00000000-0002-0000-1900-000002000000}">
      <formula1>一修多修正项2</formula1>
    </dataValidation>
    <dataValidation type="list" allowBlank="1" showInputMessage="1" showErrorMessage="1" sqref="F24:F524" xr:uid="{00000000-0002-0000-1900-000003000000}">
      <formula1>一修多修正项3</formula1>
    </dataValidation>
    <dataValidation type="list" allowBlank="1" showInputMessage="1" showErrorMessage="1" sqref="H24:H524" xr:uid="{00000000-0002-0000-1900-000004000000}">
      <formula1>一修多修正项4</formula1>
    </dataValidation>
    <dataValidation type="list" allowBlank="1" showInputMessage="1" showErrorMessage="1" sqref="J24:J524" xr:uid="{00000000-0002-0000-1900-000005000000}">
      <formula1>一修多修正项5</formula1>
    </dataValidation>
    <dataValidation type="list" allowBlank="1" showInputMessage="1" showErrorMessage="1" sqref="L24:L524" xr:uid="{00000000-0002-0000-1900-000006000000}">
      <formula1>一修多修正项6</formula1>
    </dataValidation>
    <dataValidation type="list" allowBlank="1" showInputMessage="1" showErrorMessage="1" sqref="N24:N524" xr:uid="{00000000-0002-0000-1900-000007000000}">
      <formula1>一修多修正项7</formula1>
    </dataValidation>
    <dataValidation type="list" allowBlank="1" showInputMessage="1" showErrorMessage="1" sqref="P24:P524" xr:uid="{00000000-0002-0000-1900-000008000000}">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15" zoomScaleNormal="70" workbookViewId="0">
      <selection activeCell="M34" sqref="M34"/>
    </sheetView>
  </sheetViews>
  <sheetFormatPr defaultColWidth="9" defaultRowHeight="13.8"/>
  <cols>
    <col min="1" max="1" width="10.44140625" style="1290" customWidth="1"/>
    <col min="2" max="2" width="15.77734375" style="1290" customWidth="1"/>
    <col min="3" max="3" width="15.6640625" style="1290" customWidth="1"/>
    <col min="4" max="4" width="12.21875" style="1290" customWidth="1"/>
    <col min="5" max="5" width="16.6640625" style="1290" customWidth="1"/>
    <col min="6" max="6" width="12.21875" style="1290" customWidth="1"/>
    <col min="7" max="7" width="16.21875" style="1290" customWidth="1"/>
    <col min="8" max="8" width="12.21875" style="1290" customWidth="1"/>
    <col min="9" max="9" width="16.88671875" style="1290" customWidth="1"/>
    <col min="10" max="10" width="12.21875" style="1290" customWidth="1"/>
    <col min="11" max="11" width="12.21875" style="1291" customWidth="1"/>
    <col min="12" max="12" width="12.21875" style="1292" customWidth="1"/>
    <col min="13" max="15" width="12.21875" style="1290" customWidth="1"/>
    <col min="16" max="16" width="4.77734375" style="1702"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164.11840000000001</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14218</v>
      </c>
      <c r="C3" s="1650" t="s">
        <v>1499</v>
      </c>
      <c r="D3" s="1651">
        <f>IF(D1="",'数据-汇总表'!E3,SUMIF('数据-汇总表'!$C19:$C33,D1,'数据-汇总表'!$E19:$E33))</f>
        <v>115.43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439" t="s">
        <v>1506</v>
      </c>
      <c r="Q4" s="3440"/>
      <c r="R4" s="3443" t="s">
        <v>1502</v>
      </c>
      <c r="S4" s="3444"/>
      <c r="T4" s="3443" t="s">
        <v>1503</v>
      </c>
      <c r="U4" s="3444"/>
      <c r="V4" s="3445" t="s">
        <v>1504</v>
      </c>
      <c r="W4" s="3445"/>
      <c r="X4" s="1808"/>
      <c r="Y4" s="3443" t="s">
        <v>1506</v>
      </c>
      <c r="Z4" s="3444"/>
      <c r="AA4" s="3435" t="s">
        <v>1502</v>
      </c>
      <c r="AB4" s="3435" t="s">
        <v>1503</v>
      </c>
      <c r="AC4" s="3436" t="s">
        <v>1504</v>
      </c>
    </row>
    <row r="5" spans="1:29" ht="14.4">
      <c r="A5" s="1305"/>
      <c r="B5" s="1306"/>
      <c r="C5" s="3425" t="s">
        <v>1507</v>
      </c>
      <c r="D5" s="3426"/>
      <c r="E5" s="3512"/>
      <c r="F5" s="3513"/>
      <c r="G5" s="3512"/>
      <c r="H5" s="3513"/>
      <c r="I5" s="3512"/>
      <c r="J5" s="3513"/>
      <c r="K5" s="1446"/>
      <c r="L5" s="1447"/>
      <c r="M5" s="1398"/>
      <c r="N5" s="1398"/>
      <c r="O5" s="1398"/>
      <c r="P5" s="3441"/>
      <c r="Q5" s="3390"/>
      <c r="R5" s="3395"/>
      <c r="S5" s="3396"/>
      <c r="T5" s="3395"/>
      <c r="U5" s="3396"/>
      <c r="V5" s="3399"/>
      <c r="W5" s="3399"/>
      <c r="X5" s="1489"/>
      <c r="Y5" s="3395"/>
      <c r="Z5" s="3396"/>
      <c r="AA5" s="3385"/>
      <c r="AB5" s="3385"/>
      <c r="AC5" s="3437"/>
    </row>
    <row r="6" spans="1:29" ht="14.4">
      <c r="A6" s="1307"/>
      <c r="B6" s="1308"/>
      <c r="C6" s="3416" t="s">
        <v>1511</v>
      </c>
      <c r="D6" s="3417"/>
      <c r="E6" s="3418" t="s">
        <v>1511</v>
      </c>
      <c r="F6" s="3419"/>
      <c r="G6" s="3416" t="s">
        <v>1511</v>
      </c>
      <c r="H6" s="3417"/>
      <c r="I6" s="3416" t="s">
        <v>1511</v>
      </c>
      <c r="J6" s="3417"/>
      <c r="K6" s="1446" t="s">
        <v>1512</v>
      </c>
      <c r="L6" s="1447"/>
      <c r="M6" s="1398"/>
      <c r="N6" s="1398"/>
      <c r="O6" s="1398"/>
      <c r="P6" s="3442"/>
      <c r="Q6" s="3392"/>
      <c r="R6" s="3395"/>
      <c r="S6" s="3396"/>
      <c r="T6" s="3397"/>
      <c r="U6" s="3398"/>
      <c r="V6" s="3399"/>
      <c r="W6" s="3399"/>
      <c r="X6" s="1489"/>
      <c r="Y6" s="3397"/>
      <c r="Z6" s="3398"/>
      <c r="AA6" s="3386"/>
      <c r="AB6" s="3386"/>
      <c r="AC6" s="3438"/>
    </row>
    <row r="7" spans="1:29" s="1284" customFormat="1" ht="14.4">
      <c r="A7" s="1309" t="s">
        <v>1513</v>
      </c>
      <c r="B7" s="1310"/>
      <c r="C7" s="1311">
        <f>'数据-取费表'!B2</f>
        <v>45882</v>
      </c>
      <c r="D7" s="1312">
        <v>100</v>
      </c>
      <c r="E7" s="1313">
        <f>C7</f>
        <v>45882</v>
      </c>
      <c r="F7" s="1314">
        <f>SUMIF(59:59,YEAR(E7)&amp;"-"&amp;MONTH(E7),60:60)</f>
        <v>100</v>
      </c>
      <c r="G7" s="1313">
        <f>E7</f>
        <v>45882</v>
      </c>
      <c r="H7" s="1312">
        <f>SUMIF(59:59,YEAR(G7)&amp;"-"&amp;MONTH(G7),60:60)</f>
        <v>100</v>
      </c>
      <c r="I7" s="1313">
        <f>G7</f>
        <v>45882</v>
      </c>
      <c r="J7" s="1312">
        <f>SUMIF(59:59,YEAR(I7)&amp;"-"&amp;MONTH(I7),60:60)</f>
        <v>100</v>
      </c>
      <c r="K7" s="1448"/>
      <c r="L7" s="1449"/>
      <c r="M7" s="1450"/>
      <c r="N7" s="1450"/>
      <c r="O7" s="1450"/>
      <c r="P7" s="3449" t="s">
        <v>1514</v>
      </c>
      <c r="Q7" s="3420"/>
      <c r="R7" s="1490" t="s">
        <v>1515</v>
      </c>
      <c r="S7" s="1491">
        <f t="shared" ref="S7:S15" si="0">F7</f>
        <v>100</v>
      </c>
      <c r="T7" s="1490" t="s">
        <v>1515</v>
      </c>
      <c r="U7" s="1491">
        <f t="shared" ref="U7:U15" si="1">H7</f>
        <v>100</v>
      </c>
      <c r="V7" s="1490" t="s">
        <v>1515</v>
      </c>
      <c r="W7" s="1491">
        <f t="shared" ref="W7:W15" si="2">J7</f>
        <v>100</v>
      </c>
      <c r="X7" s="1492"/>
      <c r="Y7" s="3404" t="s">
        <v>1514</v>
      </c>
      <c r="Z7" s="3405"/>
      <c r="AA7" s="1501">
        <f>D7/F7</f>
        <v>1</v>
      </c>
      <c r="AB7" s="1501">
        <f>D7/H7</f>
        <v>1</v>
      </c>
      <c r="AC7" s="1810">
        <f>D7/J7</f>
        <v>1</v>
      </c>
    </row>
    <row r="8" spans="1:29" s="1284" customFormat="1" ht="14.4">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49" t="s">
        <v>1517</v>
      </c>
      <c r="Q8" s="3405"/>
      <c r="R8" s="1490" t="s">
        <v>1515</v>
      </c>
      <c r="S8" s="1491">
        <f t="shared" si="0"/>
        <v>105</v>
      </c>
      <c r="T8" s="1490" t="s">
        <v>1515</v>
      </c>
      <c r="U8" s="1491">
        <f t="shared" si="1"/>
        <v>105</v>
      </c>
      <c r="V8" s="1490" t="s">
        <v>1515</v>
      </c>
      <c r="W8" s="1491">
        <f t="shared" si="2"/>
        <v>105</v>
      </c>
      <c r="X8" s="1492"/>
      <c r="Y8" s="3404" t="s">
        <v>1517</v>
      </c>
      <c r="Z8" s="3405"/>
      <c r="AA8" s="1501">
        <f t="shared" ref="AA8:AA47" si="3">D8/F8</f>
        <v>0.95238095238095233</v>
      </c>
      <c r="AB8" s="1501">
        <f t="shared" ref="AB8:AB47" si="4">D8/H8</f>
        <v>0.95238095238095233</v>
      </c>
      <c r="AC8" s="1810">
        <f t="shared" ref="AC8:AC47" si="5">D8/J8</f>
        <v>0.95238095238095233</v>
      </c>
    </row>
    <row r="9" spans="1:29" s="1284" customFormat="1" ht="14.4">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6"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810">
        <f t="shared" si="5"/>
        <v>1</v>
      </c>
    </row>
    <row r="10" spans="1:29" s="1285" customFormat="1" ht="28.8"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6"/>
      <c r="Q11" s="1080" t="str">
        <f t="shared" si="6"/>
        <v>容积率</v>
      </c>
      <c r="R11" s="1490" t="s">
        <v>1515</v>
      </c>
      <c r="S11" s="1491">
        <f t="shared" si="0"/>
        <v>100</v>
      </c>
      <c r="T11" s="1490" t="s">
        <v>1515</v>
      </c>
      <c r="U11" s="1491">
        <f t="shared" si="1"/>
        <v>100</v>
      </c>
      <c r="V11" s="1490" t="s">
        <v>1515</v>
      </c>
      <c r="W11" s="1491">
        <f t="shared" si="2"/>
        <v>100</v>
      </c>
      <c r="X11" s="1492"/>
      <c r="Y11" s="3270"/>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6"/>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7" t="s">
        <v>1526</v>
      </c>
      <c r="Q15" s="912" t="str">
        <f t="shared" si="6"/>
        <v>办公集聚程度</v>
      </c>
      <c r="R15" s="1494" t="s">
        <v>1515</v>
      </c>
      <c r="S15" s="1495">
        <f t="shared" si="0"/>
        <v>100</v>
      </c>
      <c r="T15" s="1494" t="s">
        <v>1515</v>
      </c>
      <c r="U15" s="1495">
        <f t="shared" si="1"/>
        <v>100</v>
      </c>
      <c r="V15" s="1494" t="s">
        <v>1515</v>
      </c>
      <c r="W15" s="1495">
        <f t="shared" si="2"/>
        <v>100</v>
      </c>
      <c r="X15" s="1489"/>
      <c r="Y15" s="3412"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08"/>
      <c r="Q16" s="912"/>
      <c r="R16" s="1494"/>
      <c r="S16" s="1495"/>
      <c r="T16" s="1494"/>
      <c r="U16" s="1495"/>
      <c r="V16" s="1494"/>
      <c r="W16" s="1495"/>
      <c r="X16" s="1489"/>
      <c r="Y16" s="3413"/>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8"/>
      <c r="Q17" s="912" t="str">
        <f>B17</f>
        <v>交通便捷度</v>
      </c>
      <c r="R17" s="1494" t="s">
        <v>1515</v>
      </c>
      <c r="S17" s="1495">
        <f>F17</f>
        <v>100</v>
      </c>
      <c r="T17" s="1494" t="s">
        <v>1515</v>
      </c>
      <c r="U17" s="1495">
        <f>H17</f>
        <v>100</v>
      </c>
      <c r="V17" s="1494" t="s">
        <v>1515</v>
      </c>
      <c r="W17" s="1495">
        <f>J17</f>
        <v>100</v>
      </c>
      <c r="X17" s="1489"/>
      <c r="Y17" s="3413"/>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08"/>
      <c r="Q18" s="912"/>
      <c r="R18" s="1494"/>
      <c r="S18" s="1495"/>
      <c r="T18" s="1494"/>
      <c r="U18" s="1495"/>
      <c r="V18" s="1494"/>
      <c r="W18" s="1495"/>
      <c r="X18" s="1489"/>
      <c r="Y18" s="3413"/>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8"/>
      <c r="Q19" s="912" t="str">
        <f>B19</f>
        <v>公共配套设施</v>
      </c>
      <c r="R19" s="1494" t="s">
        <v>1515</v>
      </c>
      <c r="S19" s="1495">
        <f>F19</f>
        <v>100</v>
      </c>
      <c r="T19" s="1494" t="s">
        <v>1515</v>
      </c>
      <c r="U19" s="1495">
        <f>H19</f>
        <v>100</v>
      </c>
      <c r="V19" s="1494" t="s">
        <v>1515</v>
      </c>
      <c r="W19" s="1495">
        <f>J19</f>
        <v>100</v>
      </c>
      <c r="X19" s="1489"/>
      <c r="Y19" s="3413"/>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08"/>
      <c r="Q20" s="912"/>
      <c r="R20" s="1494"/>
      <c r="S20" s="1495"/>
      <c r="T20" s="1494"/>
      <c r="U20" s="1495"/>
      <c r="V20" s="1494"/>
      <c r="W20" s="1495"/>
      <c r="X20" s="1489"/>
      <c r="Y20" s="3413"/>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8"/>
      <c r="Q21" s="912" t="str">
        <f>B21</f>
        <v>基础设施水平</v>
      </c>
      <c r="R21" s="1494" t="s">
        <v>1515</v>
      </c>
      <c r="S21" s="1495">
        <f>F21</f>
        <v>100</v>
      </c>
      <c r="T21" s="1494" t="s">
        <v>1515</v>
      </c>
      <c r="U21" s="1495">
        <f>H21</f>
        <v>100</v>
      </c>
      <c r="V21" s="1494" t="s">
        <v>1515</v>
      </c>
      <c r="W21" s="1495">
        <f>J21</f>
        <v>100</v>
      </c>
      <c r="X21" s="1489"/>
      <c r="Y21" s="3413"/>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8"/>
      <c r="Q22" s="912"/>
      <c r="R22" s="1494"/>
      <c r="S22" s="1495"/>
      <c r="T22" s="1494"/>
      <c r="U22" s="1495"/>
      <c r="V22" s="1494"/>
      <c r="W22" s="1495"/>
      <c r="X22" s="1489"/>
      <c r="Y22" s="3413"/>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8"/>
      <c r="Q23" s="912" t="str">
        <f>B23</f>
        <v>环境质量</v>
      </c>
      <c r="R23" s="1494" t="s">
        <v>1515</v>
      </c>
      <c r="S23" s="1495">
        <f>F23</f>
        <v>100</v>
      </c>
      <c r="T23" s="1494" t="s">
        <v>1515</v>
      </c>
      <c r="U23" s="1495">
        <f>H23</f>
        <v>100</v>
      </c>
      <c r="V23" s="1494" t="s">
        <v>1515</v>
      </c>
      <c r="W23" s="1495">
        <f>J23</f>
        <v>100</v>
      </c>
      <c r="X23" s="1489"/>
      <c r="Y23" s="3413"/>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8"/>
      <c r="Q24" s="912"/>
      <c r="R24" s="1494"/>
      <c r="S24" s="1495"/>
      <c r="T24" s="1494"/>
      <c r="U24" s="1495"/>
      <c r="V24" s="1494"/>
      <c r="W24" s="1495"/>
      <c r="X24" s="1489"/>
      <c r="Y24" s="3413"/>
      <c r="Z24" s="1479"/>
      <c r="AA24" s="1479">
        <v>1</v>
      </c>
      <c r="AB24" s="1479">
        <v>1</v>
      </c>
      <c r="AC24" s="1811">
        <v>1</v>
      </c>
    </row>
    <row r="25" spans="1:29" ht="28.8"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8"/>
      <c r="Q25" s="912" t="str">
        <f>B25</f>
        <v>毗邻道路的类型与等级</v>
      </c>
      <c r="R25" s="1494" t="s">
        <v>1515</v>
      </c>
      <c r="S25" s="1495">
        <f>F25</f>
        <v>100</v>
      </c>
      <c r="T25" s="1494" t="s">
        <v>1515</v>
      </c>
      <c r="U25" s="1495">
        <f>H25</f>
        <v>100</v>
      </c>
      <c r="V25" s="1494" t="s">
        <v>1515</v>
      </c>
      <c r="W25" s="1495">
        <f>J25</f>
        <v>100</v>
      </c>
      <c r="X25" s="1489"/>
      <c r="Y25" s="3413"/>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8"/>
      <c r="Q26" s="912"/>
      <c r="R26" s="1494"/>
      <c r="S26" s="1495"/>
      <c r="T26" s="1494"/>
      <c r="U26" s="1495"/>
      <c r="V26" s="1494"/>
      <c r="W26" s="1495"/>
      <c r="X26" s="1489"/>
      <c r="Y26" s="3413"/>
      <c r="Z26" s="1479"/>
      <c r="AA26" s="1479">
        <v>1</v>
      </c>
      <c r="AB26" s="1479">
        <v>1</v>
      </c>
      <c r="AC26" s="1811">
        <v>1</v>
      </c>
    </row>
    <row r="27" spans="1:29" ht="15">
      <c r="A27" s="1325"/>
      <c r="B27" s="1352" t="s">
        <v>1592</v>
      </c>
      <c r="C27" s="1359" t="s">
        <v>2788</v>
      </c>
      <c r="D27" s="1045">
        <v>100</v>
      </c>
      <c r="E27" s="1358" t="s">
        <v>2788</v>
      </c>
      <c r="F27" s="1045">
        <f>SUMIF(89:89,E27,90:90)-SUMIF(89:89,C27,90:90)+100</f>
        <v>100</v>
      </c>
      <c r="G27" s="1358" t="s">
        <v>2789</v>
      </c>
      <c r="H27" s="1045">
        <f>SUMIF(89:89,G27,90:90)-SUMIF(89:89,C27,90:90)+100</f>
        <v>96</v>
      </c>
      <c r="I27" s="1358" t="s">
        <v>2784</v>
      </c>
      <c r="J27" s="1045">
        <f>SUMIF(89:89,I27,90:90)-SUMIF(89:89,C27,90:90)+100</f>
        <v>98</v>
      </c>
      <c r="K27" s="1465">
        <v>2</v>
      </c>
      <c r="L27" s="1459"/>
      <c r="M27" s="1398"/>
      <c r="N27" s="1398"/>
      <c r="O27" s="1398"/>
      <c r="P27" s="3408"/>
      <c r="Q27" s="912" t="str">
        <f t="shared" ref="Q27:Q47" si="11">B27</f>
        <v>楼层</v>
      </c>
      <c r="R27" s="1494" t="s">
        <v>1515</v>
      </c>
      <c r="S27" s="1495">
        <f>F27</f>
        <v>100</v>
      </c>
      <c r="T27" s="1494" t="s">
        <v>1515</v>
      </c>
      <c r="U27" s="1495">
        <f>H27</f>
        <v>96</v>
      </c>
      <c r="V27" s="1494" t="s">
        <v>1515</v>
      </c>
      <c r="W27" s="1495">
        <f>J27</f>
        <v>98</v>
      </c>
      <c r="X27" s="1489"/>
      <c r="Y27" s="3413"/>
      <c r="Z27" s="1479" t="str">
        <f>Q27</f>
        <v>楼层</v>
      </c>
      <c r="AA27" s="1479">
        <f t="shared" si="3"/>
        <v>1</v>
      </c>
      <c r="AB27" s="1479">
        <f t="shared" si="4"/>
        <v>1.0416666666666667</v>
      </c>
      <c r="AC27" s="1811">
        <f t="shared" si="5"/>
        <v>1.0204081632653061</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8"/>
      <c r="Q28" s="1080" t="str">
        <f t="shared" si="11"/>
        <v>朝向</v>
      </c>
      <c r="R28" s="1490" t="s">
        <v>1515</v>
      </c>
      <c r="S28" s="1491">
        <f>F28</f>
        <v>100</v>
      </c>
      <c r="T28" s="1490" t="s">
        <v>1515</v>
      </c>
      <c r="U28" s="1491">
        <f>H28</f>
        <v>100</v>
      </c>
      <c r="V28" s="1490" t="s">
        <v>1515</v>
      </c>
      <c r="W28" s="1491">
        <f>J28</f>
        <v>100</v>
      </c>
      <c r="X28" s="1492"/>
      <c r="Y28" s="3413"/>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8"/>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3"/>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8"/>
      <c r="Q30" s="912">
        <f t="shared" si="11"/>
        <v>111</v>
      </c>
      <c r="R30" s="1494" t="s">
        <v>1515</v>
      </c>
      <c r="S30" s="1495">
        <f t="shared" si="12"/>
        <v>100</v>
      </c>
      <c r="T30" s="1494" t="s">
        <v>1515</v>
      </c>
      <c r="U30" s="1495">
        <f t="shared" si="13"/>
        <v>100</v>
      </c>
      <c r="V30" s="1494" t="s">
        <v>1515</v>
      </c>
      <c r="W30" s="1495">
        <f t="shared" si="14"/>
        <v>100</v>
      </c>
      <c r="X30" s="1489"/>
      <c r="Y30" s="3413"/>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8"/>
      <c r="Q31" s="912">
        <f t="shared" si="11"/>
        <v>111</v>
      </c>
      <c r="R31" s="1494" t="s">
        <v>1515</v>
      </c>
      <c r="S31" s="1495">
        <f t="shared" si="12"/>
        <v>100</v>
      </c>
      <c r="T31" s="1494" t="s">
        <v>1515</v>
      </c>
      <c r="U31" s="1495">
        <f t="shared" si="13"/>
        <v>100</v>
      </c>
      <c r="V31" s="1494" t="s">
        <v>1515</v>
      </c>
      <c r="W31" s="1495">
        <f t="shared" si="14"/>
        <v>100</v>
      </c>
      <c r="X31" s="1489"/>
      <c r="Y31" s="3413"/>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8"/>
      <c r="Q32" s="912">
        <f t="shared" si="11"/>
        <v>111</v>
      </c>
      <c r="R32" s="1494" t="s">
        <v>1515</v>
      </c>
      <c r="S32" s="1495">
        <f t="shared" si="12"/>
        <v>100</v>
      </c>
      <c r="T32" s="1494" t="s">
        <v>1515</v>
      </c>
      <c r="U32" s="1495">
        <f t="shared" si="13"/>
        <v>100</v>
      </c>
      <c r="V32" s="1494" t="s">
        <v>1515</v>
      </c>
      <c r="W32" s="1495">
        <f t="shared" si="14"/>
        <v>100</v>
      </c>
      <c r="X32" s="1489"/>
      <c r="Y32" s="3413"/>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09" t="s">
        <v>1535</v>
      </c>
      <c r="Q33" s="912" t="str">
        <f t="shared" si="11"/>
        <v>建筑类型</v>
      </c>
      <c r="R33" s="1494" t="s">
        <v>1515</v>
      </c>
      <c r="S33" s="1495">
        <f t="shared" si="12"/>
        <v>100</v>
      </c>
      <c r="T33" s="1494" t="s">
        <v>1515</v>
      </c>
      <c r="U33" s="1495">
        <f t="shared" si="13"/>
        <v>100</v>
      </c>
      <c r="V33" s="1494" t="s">
        <v>1515</v>
      </c>
      <c r="W33" s="1495">
        <f t="shared" si="14"/>
        <v>100</v>
      </c>
      <c r="X33" s="1489"/>
      <c r="Y33" s="3414"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115.43</v>
      </c>
      <c r="D34" s="1324">
        <v>100</v>
      </c>
      <c r="E34" s="1655">
        <v>1365</v>
      </c>
      <c r="F34" s="1322">
        <f>LOOKUP(E34,104:104,105:105)-LOOKUP(C34,104:104,105:105)+100</f>
        <v>100</v>
      </c>
      <c r="G34" s="1655">
        <v>2000</v>
      </c>
      <c r="H34" s="1324">
        <f>LOOKUP(G34,104:104,105:105)-LOOKUP(C34,104:104,105:105)+100</f>
        <v>99</v>
      </c>
      <c r="I34" s="1655">
        <v>380</v>
      </c>
      <c r="J34" s="1324">
        <f>LOOKUP(I34,104:104,105:105)-LOOKUP(C34,104:104,105:105)+100</f>
        <v>102</v>
      </c>
      <c r="K34" s="1464"/>
      <c r="L34" s="1457"/>
      <c r="M34" s="1466"/>
      <c r="N34" s="1466"/>
      <c r="O34" s="1466"/>
      <c r="P34" s="3410"/>
      <c r="Q34" s="1689" t="str">
        <f t="shared" si="11"/>
        <v>项目建筑规模</v>
      </c>
      <c r="R34" s="1496" t="s">
        <v>1515</v>
      </c>
      <c r="S34" s="1497">
        <f t="shared" si="12"/>
        <v>100</v>
      </c>
      <c r="T34" s="1496" t="s">
        <v>1515</v>
      </c>
      <c r="U34" s="1497">
        <f t="shared" si="13"/>
        <v>99</v>
      </c>
      <c r="V34" s="1496" t="s">
        <v>1515</v>
      </c>
      <c r="W34" s="1497">
        <f t="shared" si="14"/>
        <v>102</v>
      </c>
      <c r="X34" s="1498"/>
      <c r="Y34" s="3414"/>
      <c r="Z34" s="1502" t="str">
        <f t="shared" si="15"/>
        <v>项目建筑规模</v>
      </c>
      <c r="AA34" s="1479">
        <f t="shared" si="3"/>
        <v>1</v>
      </c>
      <c r="AB34" s="1479">
        <f t="shared" si="4"/>
        <v>1.0101010101010102</v>
      </c>
      <c r="AC34" s="1811">
        <f t="shared" si="5"/>
        <v>0.98039215686274506</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0"/>
      <c r="Q35" s="912" t="str">
        <f t="shared" si="11"/>
        <v>建筑结构</v>
      </c>
      <c r="R35" s="1494" t="s">
        <v>1515</v>
      </c>
      <c r="S35" s="1495">
        <f t="shared" si="12"/>
        <v>100</v>
      </c>
      <c r="T35" s="1494" t="s">
        <v>1515</v>
      </c>
      <c r="U35" s="1495">
        <f t="shared" si="13"/>
        <v>100</v>
      </c>
      <c r="V35" s="1494" t="s">
        <v>1515</v>
      </c>
      <c r="W35" s="1495">
        <f t="shared" si="14"/>
        <v>100</v>
      </c>
      <c r="X35" s="1489"/>
      <c r="Y35" s="3414"/>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0"/>
      <c r="Q36" s="912" t="str">
        <f t="shared" si="11"/>
        <v>公共部分装修</v>
      </c>
      <c r="R36" s="1494" t="s">
        <v>1515</v>
      </c>
      <c r="S36" s="1495">
        <f t="shared" si="12"/>
        <v>100</v>
      </c>
      <c r="T36" s="1494" t="s">
        <v>1515</v>
      </c>
      <c r="U36" s="1495">
        <f t="shared" si="13"/>
        <v>100</v>
      </c>
      <c r="V36" s="1494" t="s">
        <v>1515</v>
      </c>
      <c r="W36" s="1495">
        <f t="shared" si="14"/>
        <v>100</v>
      </c>
      <c r="X36" s="1489"/>
      <c r="Y36" s="3414"/>
      <c r="Z36" s="1479" t="str">
        <f t="shared" si="15"/>
        <v>公共部分装修</v>
      </c>
      <c r="AA36" s="1479">
        <f t="shared" si="3"/>
        <v>1</v>
      </c>
      <c r="AB36" s="1479">
        <f t="shared" si="4"/>
        <v>1</v>
      </c>
      <c r="AC36" s="1811">
        <f t="shared" si="5"/>
        <v>1</v>
      </c>
    </row>
    <row r="37" spans="1:29" ht="15">
      <c r="A37" s="1374"/>
      <c r="B37" s="1322" t="s">
        <v>683</v>
      </c>
      <c r="C37" s="1665">
        <f>'数据-取费表'!N6</f>
        <v>0.8</v>
      </c>
      <c r="D37" s="1045">
        <v>100</v>
      </c>
      <c r="E37" s="1665">
        <f>C37</f>
        <v>0.8</v>
      </c>
      <c r="F37" s="1474">
        <f>LOOKUP(E37,111:111,112:112)-LOOKUP(C37,111:111,112:112)+100</f>
        <v>100</v>
      </c>
      <c r="G37" s="1665">
        <f>C37</f>
        <v>0.8</v>
      </c>
      <c r="H37" s="1474">
        <f>LOOKUP(G37,111:111,112:112)-LOOKUP(C37,111:111,112:112)+100</f>
        <v>100</v>
      </c>
      <c r="I37" s="1665">
        <f>C37</f>
        <v>0.8</v>
      </c>
      <c r="J37" s="1045">
        <f>LOOKUP(I37,111:111,112:112)-LOOKUP(C37,111:111,112:112)+100</f>
        <v>100</v>
      </c>
      <c r="K37" s="1465"/>
      <c r="L37" s="1459"/>
      <c r="M37" s="1398"/>
      <c r="N37" s="1398"/>
      <c r="O37" s="1398"/>
      <c r="P37" s="3410"/>
      <c r="Q37" s="912" t="str">
        <f t="shared" si="11"/>
        <v>成新度</v>
      </c>
      <c r="R37" s="1494" t="s">
        <v>1515</v>
      </c>
      <c r="S37" s="1495">
        <f t="shared" si="12"/>
        <v>100</v>
      </c>
      <c r="T37" s="1494" t="s">
        <v>1515</v>
      </c>
      <c r="U37" s="1495">
        <f t="shared" si="13"/>
        <v>100</v>
      </c>
      <c r="V37" s="1494" t="s">
        <v>1515</v>
      </c>
      <c r="W37" s="1495">
        <f t="shared" si="14"/>
        <v>100</v>
      </c>
      <c r="X37" s="1489"/>
      <c r="Y37" s="3414"/>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0"/>
      <c r="Q38" s="1080" t="str">
        <f t="shared" si="11"/>
        <v>写字楼等级</v>
      </c>
      <c r="R38" s="1490" t="s">
        <v>1515</v>
      </c>
      <c r="S38" s="1491">
        <f t="shared" si="12"/>
        <v>100</v>
      </c>
      <c r="T38" s="1490" t="s">
        <v>1515</v>
      </c>
      <c r="U38" s="1491">
        <f t="shared" si="13"/>
        <v>100</v>
      </c>
      <c r="V38" s="1490" t="s">
        <v>1515</v>
      </c>
      <c r="W38" s="1491">
        <f t="shared" si="14"/>
        <v>100</v>
      </c>
      <c r="X38" s="1492"/>
      <c r="Y38" s="3414"/>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0" t="s">
        <v>1535</v>
      </c>
      <c r="Q39" s="912" t="str">
        <f t="shared" si="11"/>
        <v>物业管理</v>
      </c>
      <c r="R39" s="1494" t="s">
        <v>1515</v>
      </c>
      <c r="S39" s="1495">
        <f t="shared" si="12"/>
        <v>100</v>
      </c>
      <c r="T39" s="1494" t="s">
        <v>1515</v>
      </c>
      <c r="U39" s="1495">
        <f t="shared" si="13"/>
        <v>100</v>
      </c>
      <c r="V39" s="1494" t="s">
        <v>1515</v>
      </c>
      <c r="W39" s="1495">
        <f t="shared" si="14"/>
        <v>100</v>
      </c>
      <c r="X39" s="1489"/>
      <c r="Y39" s="3414"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0"/>
      <c r="Q40" s="912" t="str">
        <f t="shared" si="11"/>
        <v>市政基础设施</v>
      </c>
      <c r="R40" s="1494" t="s">
        <v>1515</v>
      </c>
      <c r="S40" s="1495">
        <f t="shared" si="12"/>
        <v>100</v>
      </c>
      <c r="T40" s="1494" t="s">
        <v>1515</v>
      </c>
      <c r="U40" s="1495">
        <f t="shared" si="13"/>
        <v>100</v>
      </c>
      <c r="V40" s="1494" t="s">
        <v>1515</v>
      </c>
      <c r="W40" s="1495">
        <f t="shared" si="14"/>
        <v>100</v>
      </c>
      <c r="X40" s="1489"/>
      <c r="Y40" s="3414"/>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0"/>
      <c r="Q41" s="912" t="str">
        <f t="shared" si="11"/>
        <v>层高</v>
      </c>
      <c r="R41" s="1494" t="s">
        <v>1515</v>
      </c>
      <c r="S41" s="1495">
        <f t="shared" si="12"/>
        <v>100</v>
      </c>
      <c r="T41" s="1494" t="s">
        <v>1515</v>
      </c>
      <c r="U41" s="1495">
        <f t="shared" si="13"/>
        <v>100</v>
      </c>
      <c r="V41" s="1494" t="s">
        <v>1515</v>
      </c>
      <c r="W41" s="1495">
        <f t="shared" si="14"/>
        <v>100</v>
      </c>
      <c r="X41" s="1489"/>
      <c r="Y41" s="3414"/>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0"/>
      <c r="Q42" s="1689" t="str">
        <f t="shared" si="11"/>
        <v>单套建筑面积</v>
      </c>
      <c r="R42" s="1496" t="s">
        <v>1515</v>
      </c>
      <c r="S42" s="1497">
        <f t="shared" si="12"/>
        <v>100</v>
      </c>
      <c r="T42" s="1496" t="s">
        <v>1515</v>
      </c>
      <c r="U42" s="1497">
        <f t="shared" si="13"/>
        <v>100</v>
      </c>
      <c r="V42" s="1496" t="s">
        <v>1515</v>
      </c>
      <c r="W42" s="1497">
        <f t="shared" si="14"/>
        <v>100</v>
      </c>
      <c r="X42" s="1498"/>
      <c r="Y42" s="3414"/>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0"/>
      <c r="Q43" s="912" t="str">
        <f t="shared" si="11"/>
        <v>内部装修</v>
      </c>
      <c r="R43" s="1494" t="s">
        <v>1515</v>
      </c>
      <c r="S43" s="1495">
        <f t="shared" si="12"/>
        <v>100</v>
      </c>
      <c r="T43" s="1494" t="s">
        <v>1515</v>
      </c>
      <c r="U43" s="1495">
        <f t="shared" si="13"/>
        <v>100</v>
      </c>
      <c r="V43" s="1494" t="s">
        <v>1515</v>
      </c>
      <c r="W43" s="1495">
        <f t="shared" si="14"/>
        <v>100</v>
      </c>
      <c r="X43" s="1489"/>
      <c r="Y43" s="3414"/>
      <c r="Z43" s="1479" t="str">
        <f t="shared" si="15"/>
        <v>内部装修</v>
      </c>
      <c r="AA43" s="1479">
        <f t="shared" si="3"/>
        <v>1</v>
      </c>
      <c r="AB43" s="1479">
        <f t="shared" si="4"/>
        <v>1</v>
      </c>
      <c r="AC43" s="1811">
        <f t="shared" si="5"/>
        <v>1</v>
      </c>
    </row>
    <row r="44" spans="1:29" ht="28.8">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0"/>
      <c r="Q44" s="912" t="str">
        <f t="shared" si="11"/>
        <v>内部装修维护情况</v>
      </c>
      <c r="R44" s="1494" t="s">
        <v>1515</v>
      </c>
      <c r="S44" s="1495">
        <f t="shared" si="12"/>
        <v>100</v>
      </c>
      <c r="T44" s="1494" t="s">
        <v>1515</v>
      </c>
      <c r="U44" s="1495">
        <f t="shared" si="13"/>
        <v>100</v>
      </c>
      <c r="V44" s="1494" t="s">
        <v>1515</v>
      </c>
      <c r="W44" s="1495">
        <f t="shared" si="14"/>
        <v>100</v>
      </c>
      <c r="X44" s="1489"/>
      <c r="Y44" s="3414"/>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0"/>
      <c r="Q45" s="1080">
        <f t="shared" si="11"/>
        <v>0</v>
      </c>
      <c r="R45" s="1490" t="s">
        <v>1515</v>
      </c>
      <c r="S45" s="1491">
        <f t="shared" si="12"/>
        <v>100</v>
      </c>
      <c r="T45" s="1490" t="s">
        <v>1515</v>
      </c>
      <c r="U45" s="1491">
        <f t="shared" si="13"/>
        <v>100</v>
      </c>
      <c r="V45" s="1490" t="s">
        <v>1515</v>
      </c>
      <c r="W45" s="1491">
        <f t="shared" si="14"/>
        <v>100</v>
      </c>
      <c r="X45" s="1492"/>
      <c r="Y45" s="3414"/>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0"/>
      <c r="Q46" s="912">
        <f t="shared" si="11"/>
        <v>111</v>
      </c>
      <c r="R46" s="1494" t="s">
        <v>1515</v>
      </c>
      <c r="S46" s="1495">
        <f t="shared" si="12"/>
        <v>100</v>
      </c>
      <c r="T46" s="1494" t="s">
        <v>1515</v>
      </c>
      <c r="U46" s="1495">
        <f t="shared" si="13"/>
        <v>100</v>
      </c>
      <c r="V46" s="1494" t="s">
        <v>1515</v>
      </c>
      <c r="W46" s="1495">
        <f t="shared" si="14"/>
        <v>100</v>
      </c>
      <c r="X46" s="1489"/>
      <c r="Y46" s="3414"/>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1"/>
      <c r="Q47" s="912">
        <f t="shared" si="11"/>
        <v>111</v>
      </c>
      <c r="R47" s="1494" t="s">
        <v>1515</v>
      </c>
      <c r="S47" s="1495">
        <f t="shared" si="12"/>
        <v>100</v>
      </c>
      <c r="T47" s="1494" t="s">
        <v>1515</v>
      </c>
      <c r="U47" s="1495">
        <f t="shared" si="13"/>
        <v>100</v>
      </c>
      <c r="V47" s="1494" t="s">
        <v>1515</v>
      </c>
      <c r="W47" s="1495">
        <f t="shared" si="14"/>
        <v>100</v>
      </c>
      <c r="X47" s="1489"/>
      <c r="Y47" s="3415"/>
      <c r="Z47" s="1479">
        <f t="shared" si="15"/>
        <v>111</v>
      </c>
      <c r="AA47" s="1479">
        <f t="shared" si="3"/>
        <v>1</v>
      </c>
      <c r="AB47" s="1479">
        <f t="shared" si="4"/>
        <v>1</v>
      </c>
      <c r="AC47" s="1811">
        <f t="shared" si="5"/>
        <v>1</v>
      </c>
    </row>
    <row r="48" spans="1:29" ht="14.4">
      <c r="A48" s="1381" t="s">
        <v>1546</v>
      </c>
      <c r="B48" s="1672"/>
      <c r="C48" s="1673" t="s">
        <v>124</v>
      </c>
      <c r="D48" s="1384"/>
      <c r="E48" s="1385">
        <v>14000</v>
      </c>
      <c r="F48" s="1386"/>
      <c r="G48" s="1387">
        <v>15000</v>
      </c>
      <c r="H48" s="1388"/>
      <c r="I48" s="1385">
        <v>15000</v>
      </c>
      <c r="J48" s="1388"/>
      <c r="K48" s="1470"/>
      <c r="L48" s="1471"/>
      <c r="M48" s="1398"/>
      <c r="N48" s="1398"/>
      <c r="O48" s="1398"/>
      <c r="P48" s="3406" t="str">
        <f>A48</f>
        <v>成交单价（元/平方米）</v>
      </c>
      <c r="Q48" s="3400"/>
      <c r="R48" s="3399">
        <f>E48</f>
        <v>14000</v>
      </c>
      <c r="S48" s="3399"/>
      <c r="T48" s="3399">
        <f>G48</f>
        <v>15000</v>
      </c>
      <c r="U48" s="3399"/>
      <c r="V48" s="3399">
        <f>I48</f>
        <v>15000</v>
      </c>
      <c r="W48" s="3399"/>
      <c r="X48" s="1437"/>
      <c r="Y48" s="1503"/>
      <c r="Z48" s="1437"/>
      <c r="AA48" s="1437"/>
      <c r="AB48" s="1437"/>
      <c r="AC48" s="1343"/>
    </row>
    <row r="49" spans="1:29" ht="14.4">
      <c r="A49" s="1389" t="s">
        <v>1547</v>
      </c>
      <c r="B49" s="1674"/>
      <c r="C49" s="1675">
        <f>R50</f>
        <v>14218</v>
      </c>
      <c r="D49" s="1392" t="s">
        <v>1548</v>
      </c>
      <c r="E49" s="1676">
        <f>R49</f>
        <v>13333</v>
      </c>
      <c r="F49" s="1393"/>
      <c r="G49" s="1675">
        <f>T49</f>
        <v>15031</v>
      </c>
      <c r="H49" s="1393"/>
      <c r="I49" s="1676">
        <f>V49</f>
        <v>14291</v>
      </c>
      <c r="J49" s="1393"/>
      <c r="K49" s="1472">
        <f>F49+H49+J49</f>
        <v>0</v>
      </c>
      <c r="L49" s="1471"/>
      <c r="M49" s="1398"/>
      <c r="N49" s="1398"/>
      <c r="O49" s="1398"/>
      <c r="P49" s="3406" t="str">
        <f>A49</f>
        <v>比较价值（元/平方米）</v>
      </c>
      <c r="Q49" s="3400"/>
      <c r="R49" s="3399">
        <f>IF(F1="售价",ROUND(PRODUCT(R48,AA7:AA47),0),ROUND(PRODUCT(R48,AA7:AA47),1))</f>
        <v>13333</v>
      </c>
      <c r="S49" s="3399"/>
      <c r="T49" s="3399">
        <f>IF(F1="售价",ROUND(PRODUCT(T48,AB7:AB47),0),ROUND(PRODUCT(T48,AB7:AB47),1))</f>
        <v>15031</v>
      </c>
      <c r="U49" s="3399"/>
      <c r="V49" s="3399">
        <f>IF(F1="售价",ROUND(PRODUCT(V48,AC7:AC47),0),ROUND(PRODUCT(V48,AC7:AC47),1))</f>
        <v>14291</v>
      </c>
      <c r="W49" s="3399"/>
      <c r="X49" s="1437"/>
      <c r="Y49" s="1437"/>
      <c r="Z49" s="1437"/>
      <c r="AA49" s="1437"/>
      <c r="AB49" s="1437"/>
      <c r="AC49" s="1343"/>
    </row>
    <row r="50" spans="1:29" ht="14.4">
      <c r="A50" s="1395" t="s">
        <v>1549</v>
      </c>
      <c r="B50" s="1396"/>
      <c r="C50" s="1308">
        <f>R50</f>
        <v>14218</v>
      </c>
      <c r="D50" s="1308"/>
      <c r="E50" s="1308"/>
      <c r="F50" s="1308"/>
      <c r="G50" s="1308"/>
      <c r="H50" s="1308"/>
      <c r="I50" s="1308"/>
      <c r="J50" s="1397"/>
      <c r="K50" s="1473"/>
      <c r="L50" s="1471"/>
      <c r="M50" s="1398"/>
      <c r="N50" s="1398"/>
      <c r="O50" s="1398"/>
      <c r="P50" s="3446" t="str">
        <f>A50</f>
        <v>估价对象XX用房的比较价值（楼面单价，元/平方米）</v>
      </c>
      <c r="Q50" s="3447"/>
      <c r="R50" s="3448">
        <f>IF(F1="售价",ROUND(IF(D49="简单平均",AVERAGE(R49:V49),R49*F49+T49*H49+V49*J49),0),ROUND(IF(D49="简单平均",AVERAGE(R49:V49),R49*F49+T49*H49+V49*J49),1))</f>
        <v>14218</v>
      </c>
      <c r="S50" s="3448"/>
      <c r="T50" s="3448"/>
      <c r="U50" s="3448"/>
      <c r="V50" s="3448"/>
      <c r="W50" s="3448"/>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5.0026250656266313E-2</v>
      </c>
      <c r="F53" s="1402" t="str">
        <f>IF(OR(E53&gt;=0.3,E53&lt;=-0.3),"超过30%","")</f>
        <v/>
      </c>
      <c r="G53" s="1401">
        <f>IF(G48&lt;G49,G49/G48-1,G48/G49-1)</f>
        <v>2.0666666666666611E-3</v>
      </c>
      <c r="H53" s="1402" t="str">
        <f>IF(OR(G53&gt;=0.3,G53&lt;=-0.3),"超过30%","")</f>
        <v/>
      </c>
      <c r="I53" s="1401">
        <f>IF(I48&lt;I49,I49/I48-1,I48/I49-1)</f>
        <v>4.9611643691834129E-2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0.12735318382959582</v>
      </c>
      <c r="F54" s="1402" t="str">
        <f>IF(OR(E54&gt;=0.2,E54&lt;=-0.2),"超过20%","")</f>
        <v/>
      </c>
      <c r="G54" s="1401">
        <f>IF(G49&lt;I49,I49/G49-1,G49/I49-1)</f>
        <v>5.1780841088797214E-2</v>
      </c>
      <c r="H54" s="1402" t="str">
        <f>IF(OR(G54&gt;=0.2,G54&lt;=-0.2),"超过20%","")</f>
        <v/>
      </c>
      <c r="I54" s="1401">
        <f>IF(I49&lt;E49,E49/I49-1,I49/E49-1)</f>
        <v>7.1851796294907455E-2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7.1428571428571397E-2</v>
      </c>
      <c r="F55" s="1402" t="str">
        <f>IF(OR(E55&gt;=0.3,E55&lt;=-0.3),"超过30%","")</f>
        <v/>
      </c>
      <c r="G55" s="1401">
        <f>IF(G48&lt;I48,I48/G48-1,G48/I48-1)</f>
        <v>0</v>
      </c>
      <c r="H55" s="1402" t="str">
        <f>IF(OR(G55&gt;=0.3,G55&lt;=-0.3),"超过30%","")</f>
        <v/>
      </c>
      <c r="I55" s="1401">
        <f>IF(I48&lt;E48,E48/I48-1,I48/E48-1)</f>
        <v>7.1428571428571397E-2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6">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4.4">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4.4">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4.4">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c r="A63" s="1514"/>
      <c r="B63" s="1515"/>
      <c r="C63" s="1807">
        <v>100</v>
      </c>
      <c r="D63" s="3514">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ht="14.4">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8.8">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4.4">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ht="14.4">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4.4">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4.4">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4.4">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4.4">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8.8">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4.4">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ht="14.4">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27.6">
      <c r="A103" s="1325"/>
      <c r="B103" s="1523" t="s">
        <v>1536</v>
      </c>
      <c r="C103" s="1541" t="str">
        <f>C104&amp;"(含)"&amp;"-"&amp;D104</f>
        <v>0(含)-300</v>
      </c>
      <c r="D103" s="1541" t="str">
        <f t="shared" ref="D103:L103" si="23">D104&amp;"(含)"&amp;"-"&amp;E104</f>
        <v>300(含)-500</v>
      </c>
      <c r="E103" s="1541" t="str">
        <f t="shared" si="23"/>
        <v>500(含)-800</v>
      </c>
      <c r="F103" s="1541" t="str">
        <f t="shared" si="23"/>
        <v>800(含)-2000</v>
      </c>
      <c r="G103" s="1541" t="str">
        <f t="shared" si="23"/>
        <v>2000(含)-</v>
      </c>
      <c r="H103" s="1541" t="str">
        <f t="shared" si="23"/>
        <v>(含)-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2000</v>
      </c>
      <c r="H104" s="1509"/>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c r="A105" s="1530"/>
      <c r="B105" s="1525"/>
      <c r="C105" s="1533">
        <v>98</v>
      </c>
      <c r="D105" s="1522">
        <v>100</v>
      </c>
      <c r="E105" s="1522">
        <f>D105-1</f>
        <v>99</v>
      </c>
      <c r="F105" s="1522">
        <f t="shared" ref="F105:G105" si="24">E105-1</f>
        <v>98</v>
      </c>
      <c r="G105" s="1522">
        <f t="shared" si="24"/>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ht="14.4">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ht="14.4">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ht="14.4">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ht="14.4">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ht="14.4">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ht="14.4">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ht="14.4">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ht="14.4">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ht="14.4">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ht="28.8">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ht="14.4">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1" customWidth="1"/>
    <col min="12" max="12" width="12.21875" style="1292"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115.43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4.4">
      <c r="A4" s="1303" t="s">
        <v>1500</v>
      </c>
      <c r="B4" s="1304"/>
      <c r="C4" s="3421" t="s">
        <v>1501</v>
      </c>
      <c r="D4" s="3422"/>
      <c r="E4" s="3423" t="s">
        <v>1502</v>
      </c>
      <c r="F4" s="3424"/>
      <c r="G4" s="3421" t="s">
        <v>1503</v>
      </c>
      <c r="H4" s="3422"/>
      <c r="I4" s="3421" t="s">
        <v>1504</v>
      </c>
      <c r="J4" s="3422"/>
      <c r="K4" s="1446" t="s">
        <v>1505</v>
      </c>
      <c r="L4" s="1761"/>
      <c r="M4" s="1432"/>
      <c r="N4" s="1432"/>
      <c r="O4" s="1432"/>
      <c r="P4" s="3387" t="s">
        <v>1506</v>
      </c>
      <c r="Q4" s="3388"/>
      <c r="R4" s="3393" t="s">
        <v>1502</v>
      </c>
      <c r="S4" s="3394"/>
      <c r="T4" s="3393" t="s">
        <v>1503</v>
      </c>
      <c r="U4" s="3394"/>
      <c r="V4" s="3399" t="s">
        <v>1504</v>
      </c>
      <c r="W4" s="3399"/>
      <c r="X4" s="1489"/>
      <c r="Y4" s="3393" t="s">
        <v>1506</v>
      </c>
      <c r="Z4" s="3394"/>
      <c r="AA4" s="3384" t="s">
        <v>1502</v>
      </c>
      <c r="AB4" s="3385" t="s">
        <v>1503</v>
      </c>
      <c r="AC4" s="3384" t="s">
        <v>1504</v>
      </c>
    </row>
    <row r="5" spans="1:29">
      <c r="A5" s="1305"/>
      <c r="B5" s="1306"/>
      <c r="C5" s="3425" t="s">
        <v>1507</v>
      </c>
      <c r="D5" s="3426"/>
      <c r="E5" s="3427" t="s">
        <v>1508</v>
      </c>
      <c r="F5" s="3428"/>
      <c r="G5" s="3425" t="s">
        <v>1509</v>
      </c>
      <c r="H5" s="3426"/>
      <c r="I5" s="3425" t="s">
        <v>1510</v>
      </c>
      <c r="J5" s="3426"/>
      <c r="K5" s="1446"/>
      <c r="L5" s="1761"/>
      <c r="M5" s="1432"/>
      <c r="N5" s="1432"/>
      <c r="O5" s="1432"/>
      <c r="P5" s="3389"/>
      <c r="Q5" s="3390"/>
      <c r="R5" s="3395"/>
      <c r="S5" s="3396"/>
      <c r="T5" s="3395"/>
      <c r="U5" s="3396"/>
      <c r="V5" s="3399"/>
      <c r="W5" s="3399"/>
      <c r="X5" s="1489"/>
      <c r="Y5" s="3395"/>
      <c r="Z5" s="3396"/>
      <c r="AA5" s="3385"/>
      <c r="AB5" s="3385"/>
      <c r="AC5" s="3385"/>
    </row>
    <row r="6" spans="1:29" ht="14.4">
      <c r="A6" s="1307"/>
      <c r="B6" s="1308"/>
      <c r="C6" s="3416" t="s">
        <v>1511</v>
      </c>
      <c r="D6" s="3417"/>
      <c r="E6" s="3418" t="s">
        <v>1511</v>
      </c>
      <c r="F6" s="3419"/>
      <c r="G6" s="3416" t="s">
        <v>1511</v>
      </c>
      <c r="H6" s="3417"/>
      <c r="I6" s="3416" t="s">
        <v>1511</v>
      </c>
      <c r="J6" s="3417"/>
      <c r="K6" s="1446" t="s">
        <v>1512</v>
      </c>
      <c r="L6" s="1761"/>
      <c r="M6" s="1432"/>
      <c r="N6" s="1432"/>
      <c r="O6" s="1432"/>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4" t="s">
        <v>1514</v>
      </c>
      <c r="Q7" s="3420"/>
      <c r="R7" s="1490" t="s">
        <v>1515</v>
      </c>
      <c r="S7" s="1491">
        <f t="shared" ref="S7:S15" si="0">F7</f>
        <v>0</v>
      </c>
      <c r="T7" s="1490" t="s">
        <v>1515</v>
      </c>
      <c r="U7" s="1491">
        <f t="shared" ref="U7:U15" si="1">H7</f>
        <v>0</v>
      </c>
      <c r="V7" s="1490" t="s">
        <v>1515</v>
      </c>
      <c r="W7" s="1491">
        <f t="shared" ref="W7:W15" si="2">J7</f>
        <v>0</v>
      </c>
      <c r="X7" s="1492"/>
      <c r="Y7" s="3404" t="s">
        <v>1514</v>
      </c>
      <c r="Z7" s="3405"/>
      <c r="AA7" s="1501" t="e">
        <f>D7/F7</f>
        <v>#DIV/0!</v>
      </c>
      <c r="AB7" s="1501" t="e">
        <f>D7/H7</f>
        <v>#DIV/0!</v>
      </c>
      <c r="AC7" s="1501" t="e">
        <f>D7/J7</f>
        <v>#DIV/0!</v>
      </c>
    </row>
    <row r="8" spans="1:29" s="1284" customFormat="1" ht="14.4">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4" t="s">
        <v>1517</v>
      </c>
      <c r="Q8" s="3405"/>
      <c r="R8" s="1490" t="s">
        <v>1515</v>
      </c>
      <c r="S8" s="1491">
        <f t="shared" si="0"/>
        <v>100</v>
      </c>
      <c r="T8" s="1490" t="s">
        <v>1515</v>
      </c>
      <c r="U8" s="1491">
        <f t="shared" si="1"/>
        <v>100</v>
      </c>
      <c r="V8" s="1490" t="s">
        <v>1515</v>
      </c>
      <c r="W8" s="1491">
        <f t="shared" si="2"/>
        <v>100</v>
      </c>
      <c r="X8" s="1492"/>
      <c r="Y8" s="3404" t="s">
        <v>1517</v>
      </c>
      <c r="Z8" s="3405"/>
      <c r="AA8" s="1501">
        <f t="shared" ref="AA8:AA40" si="3">D8/F8</f>
        <v>1</v>
      </c>
      <c r="AB8" s="1501">
        <f t="shared" ref="AB8:AB40" si="4">D8/H8</f>
        <v>1</v>
      </c>
      <c r="AC8" s="1501">
        <f t="shared" ref="AC8:AC40" si="5">D8/J8</f>
        <v>1</v>
      </c>
    </row>
    <row r="9" spans="1:29" s="1284" customFormat="1" ht="14.4">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0"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501">
        <f t="shared" si="5"/>
        <v>1</v>
      </c>
    </row>
    <row r="10" spans="1:29" s="1285" customFormat="1" ht="28.8">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0"/>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0"/>
      <c r="Q11" s="1080" t="str">
        <f t="shared" si="6"/>
        <v>容积率</v>
      </c>
      <c r="R11" s="1490" t="s">
        <v>1515</v>
      </c>
      <c r="S11" s="1491">
        <f t="shared" si="0"/>
        <v>100</v>
      </c>
      <c r="T11" s="1490" t="s">
        <v>1515</v>
      </c>
      <c r="U11" s="1491">
        <f t="shared" si="1"/>
        <v>100</v>
      </c>
      <c r="V11" s="1490" t="s">
        <v>1515</v>
      </c>
      <c r="W11" s="1491">
        <f t="shared" si="2"/>
        <v>100</v>
      </c>
      <c r="X11" s="1492"/>
      <c r="Y11" s="3270"/>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0"/>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0"/>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0"/>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501">
        <f t="shared" si="5"/>
        <v>1</v>
      </c>
    </row>
    <row r="15" spans="1:29" ht="69">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2" t="s">
        <v>1526</v>
      </c>
      <c r="Q15" s="912" t="str">
        <f t="shared" si="6"/>
        <v>产业集聚程度</v>
      </c>
      <c r="R15" s="1494" t="s">
        <v>1515</v>
      </c>
      <c r="S15" s="1495">
        <f t="shared" si="0"/>
        <v>100</v>
      </c>
      <c r="T15" s="1494" t="s">
        <v>1515</v>
      </c>
      <c r="U15" s="1495">
        <f t="shared" si="1"/>
        <v>100</v>
      </c>
      <c r="V15" s="1494" t="s">
        <v>1515</v>
      </c>
      <c r="W15" s="1495">
        <f t="shared" si="2"/>
        <v>100</v>
      </c>
      <c r="X15" s="1489"/>
      <c r="Y15" s="3412"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3"/>
      <c r="Q16" s="912"/>
      <c r="R16" s="1494"/>
      <c r="S16" s="1495"/>
      <c r="T16" s="1494"/>
      <c r="U16" s="1495"/>
      <c r="V16" s="1494"/>
      <c r="W16" s="1495"/>
      <c r="X16" s="1489"/>
      <c r="Y16" s="3413"/>
      <c r="Z16" s="1479"/>
      <c r="AA16" s="1479">
        <v>1</v>
      </c>
      <c r="AB16" s="1479">
        <v>1</v>
      </c>
      <c r="AC16" s="1479">
        <v>1</v>
      </c>
    </row>
    <row r="17" spans="1:29" ht="96.6">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3"/>
      <c r="Q17" s="912" t="str">
        <f>B17</f>
        <v>交通便捷度</v>
      </c>
      <c r="R17" s="1494" t="s">
        <v>1515</v>
      </c>
      <c r="S17" s="1495">
        <f>F17</f>
        <v>100</v>
      </c>
      <c r="T17" s="1494" t="s">
        <v>1515</v>
      </c>
      <c r="U17" s="1495">
        <f>H17</f>
        <v>100</v>
      </c>
      <c r="V17" s="1494" t="s">
        <v>1515</v>
      </c>
      <c r="W17" s="1495">
        <f>J17</f>
        <v>100</v>
      </c>
      <c r="X17" s="1489"/>
      <c r="Y17" s="3413"/>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3"/>
      <c r="Q18" s="912"/>
      <c r="R18" s="1494"/>
      <c r="S18" s="1495"/>
      <c r="T18" s="1494"/>
      <c r="U18" s="1495"/>
      <c r="V18" s="1494"/>
      <c r="W18" s="1495"/>
      <c r="X18" s="1489"/>
      <c r="Y18" s="3413"/>
      <c r="Z18" s="1479"/>
      <c r="AA18" s="1479">
        <v>1</v>
      </c>
      <c r="AB18" s="1479">
        <v>1</v>
      </c>
      <c r="AC18" s="1479">
        <v>1</v>
      </c>
    </row>
    <row r="19" spans="1:29" ht="41.4">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3"/>
      <c r="Q19" s="912" t="str">
        <f>B19</f>
        <v>公共配套设施</v>
      </c>
      <c r="R19" s="1494" t="s">
        <v>1515</v>
      </c>
      <c r="S19" s="1495">
        <f>F19</f>
        <v>100</v>
      </c>
      <c r="T19" s="1494" t="s">
        <v>1515</v>
      </c>
      <c r="U19" s="1495">
        <f>H19</f>
        <v>100</v>
      </c>
      <c r="V19" s="1494" t="s">
        <v>1515</v>
      </c>
      <c r="W19" s="1495">
        <f>J19</f>
        <v>100</v>
      </c>
      <c r="X19" s="1489"/>
      <c r="Y19" s="3413"/>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3"/>
      <c r="Q20" s="912"/>
      <c r="R20" s="1494"/>
      <c r="S20" s="1495"/>
      <c r="T20" s="1494"/>
      <c r="U20" s="1495"/>
      <c r="V20" s="1494"/>
      <c r="W20" s="1495"/>
      <c r="X20" s="1489"/>
      <c r="Y20" s="3413"/>
      <c r="Z20" s="1479"/>
      <c r="AA20" s="1479">
        <v>1</v>
      </c>
      <c r="AB20" s="1479">
        <v>1</v>
      </c>
      <c r="AC20" s="1479">
        <v>1</v>
      </c>
    </row>
    <row r="21" spans="1:29" ht="41.4">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3"/>
      <c r="Q21" s="912" t="str">
        <f>B21</f>
        <v>基础设施水平</v>
      </c>
      <c r="R21" s="1494" t="s">
        <v>1515</v>
      </c>
      <c r="S21" s="1495">
        <f>F21</f>
        <v>100</v>
      </c>
      <c r="T21" s="1494" t="s">
        <v>1515</v>
      </c>
      <c r="U21" s="1495">
        <f>H21</f>
        <v>100</v>
      </c>
      <c r="V21" s="1494" t="s">
        <v>1515</v>
      </c>
      <c r="W21" s="1495">
        <f>J21</f>
        <v>100</v>
      </c>
      <c r="X21" s="1489"/>
      <c r="Y21" s="3413"/>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3"/>
      <c r="Q22" s="912"/>
      <c r="R22" s="1494"/>
      <c r="S22" s="1495"/>
      <c r="T22" s="1494"/>
      <c r="U22" s="1495"/>
      <c r="V22" s="1494"/>
      <c r="W22" s="1495"/>
      <c r="X22" s="1489"/>
      <c r="Y22" s="3413"/>
      <c r="Z22" s="1479"/>
      <c r="AA22" s="1479">
        <v>1</v>
      </c>
      <c r="AB22" s="1479">
        <v>1</v>
      </c>
      <c r="AC22" s="1479">
        <v>1</v>
      </c>
    </row>
    <row r="23" spans="1:29" ht="82.8">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3"/>
      <c r="Q23" s="912" t="str">
        <f>B23</f>
        <v>环境质量</v>
      </c>
      <c r="R23" s="1494" t="s">
        <v>1515</v>
      </c>
      <c r="S23" s="1495">
        <f>F23</f>
        <v>100</v>
      </c>
      <c r="T23" s="1494" t="s">
        <v>1515</v>
      </c>
      <c r="U23" s="1495">
        <f>H23</f>
        <v>100</v>
      </c>
      <c r="V23" s="1494" t="s">
        <v>1515</v>
      </c>
      <c r="W23" s="1495">
        <f>J23</f>
        <v>100</v>
      </c>
      <c r="X23" s="1489"/>
      <c r="Y23" s="3413"/>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3"/>
      <c r="Q24" s="912"/>
      <c r="R24" s="1494"/>
      <c r="S24" s="1495"/>
      <c r="T24" s="1494"/>
      <c r="U24" s="1495"/>
      <c r="V24" s="1494"/>
      <c r="W24" s="1495"/>
      <c r="X24" s="1489"/>
      <c r="Y24" s="3413"/>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3"/>
      <c r="Q25" s="912">
        <f>B25</f>
        <v>111</v>
      </c>
      <c r="R25" s="1494" t="s">
        <v>1515</v>
      </c>
      <c r="S25" s="1495">
        <f>F25</f>
        <v>100</v>
      </c>
      <c r="T25" s="1494" t="s">
        <v>1515</v>
      </c>
      <c r="U25" s="1495">
        <f>H25</f>
        <v>100</v>
      </c>
      <c r="V25" s="1494" t="s">
        <v>1515</v>
      </c>
      <c r="W25" s="1495">
        <f>J25</f>
        <v>100</v>
      </c>
      <c r="X25" s="1489"/>
      <c r="Y25" s="3413"/>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3"/>
      <c r="Q26" s="912">
        <f t="shared" ref="Q26:Q40" si="11">B26</f>
        <v>111</v>
      </c>
      <c r="R26" s="1494" t="s">
        <v>1515</v>
      </c>
      <c r="S26" s="1495">
        <f>F26</f>
        <v>100</v>
      </c>
      <c r="T26" s="1494" t="s">
        <v>1515</v>
      </c>
      <c r="U26" s="1495">
        <f>H26</f>
        <v>100</v>
      </c>
      <c r="V26" s="1494" t="s">
        <v>1515</v>
      </c>
      <c r="W26" s="1495">
        <f>J26</f>
        <v>100</v>
      </c>
      <c r="X26" s="1489"/>
      <c r="Y26" s="3413"/>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3"/>
      <c r="Q27" s="1080">
        <f t="shared" si="11"/>
        <v>111</v>
      </c>
      <c r="R27" s="1490" t="s">
        <v>1515</v>
      </c>
      <c r="S27" s="1491">
        <f>F27</f>
        <v>100</v>
      </c>
      <c r="T27" s="1490" t="s">
        <v>1515</v>
      </c>
      <c r="U27" s="1491">
        <f>H27</f>
        <v>100</v>
      </c>
      <c r="V27" s="1490" t="s">
        <v>1515</v>
      </c>
      <c r="W27" s="1491">
        <f>J27</f>
        <v>100</v>
      </c>
      <c r="X27" s="1492"/>
      <c r="Y27" s="3413"/>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3"/>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3"/>
      <c r="Z28" s="1479">
        <f t="shared" ref="Z28:Z40" si="15">Q28</f>
        <v>111</v>
      </c>
      <c r="AA28" s="1479">
        <f t="shared" si="3"/>
        <v>1</v>
      </c>
      <c r="AB28" s="1479">
        <f t="shared" si="4"/>
        <v>1</v>
      </c>
      <c r="AC28" s="1479">
        <f t="shared" si="5"/>
        <v>1</v>
      </c>
    </row>
    <row r="29" spans="1:29" ht="30">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0" t="s">
        <v>1535</v>
      </c>
      <c r="Q29" s="912" t="str">
        <f t="shared" si="11"/>
        <v>建筑类型</v>
      </c>
      <c r="R29" s="1494" t="s">
        <v>1515</v>
      </c>
      <c r="S29" s="1495">
        <f t="shared" si="12"/>
        <v>100</v>
      </c>
      <c r="T29" s="1494" t="s">
        <v>1515</v>
      </c>
      <c r="U29" s="1495">
        <f t="shared" si="13"/>
        <v>100</v>
      </c>
      <c r="V29" s="1494" t="s">
        <v>1515</v>
      </c>
      <c r="W29" s="1495">
        <f t="shared" si="14"/>
        <v>100</v>
      </c>
      <c r="X29" s="1489"/>
      <c r="Y29" s="3414"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4"/>
      <c r="Q30" s="1689" t="str">
        <f t="shared" si="11"/>
        <v>项目建筑规模</v>
      </c>
      <c r="R30" s="1496" t="s">
        <v>1515</v>
      </c>
      <c r="S30" s="1497" t="e">
        <f t="shared" si="12"/>
        <v>#N/A</v>
      </c>
      <c r="T30" s="1496" t="s">
        <v>1515</v>
      </c>
      <c r="U30" s="1497" t="e">
        <f t="shared" si="13"/>
        <v>#N/A</v>
      </c>
      <c r="V30" s="1496" t="s">
        <v>1515</v>
      </c>
      <c r="W30" s="1497" t="e">
        <f t="shared" si="14"/>
        <v>#N/A</v>
      </c>
      <c r="X30" s="1498"/>
      <c r="Y30" s="3414"/>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4"/>
      <c r="Q31" s="912" t="str">
        <f t="shared" si="11"/>
        <v>建筑结构</v>
      </c>
      <c r="R31" s="1494" t="s">
        <v>1515</v>
      </c>
      <c r="S31" s="1495">
        <f t="shared" si="12"/>
        <v>100</v>
      </c>
      <c r="T31" s="1494" t="s">
        <v>1515</v>
      </c>
      <c r="U31" s="1495">
        <f t="shared" si="13"/>
        <v>100</v>
      </c>
      <c r="V31" s="1494" t="s">
        <v>1515</v>
      </c>
      <c r="W31" s="1495">
        <f t="shared" si="14"/>
        <v>100</v>
      </c>
      <c r="X31" s="1489"/>
      <c r="Y31" s="3414"/>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4"/>
      <c r="Q32" s="912" t="str">
        <f t="shared" si="11"/>
        <v>公共部分装修</v>
      </c>
      <c r="R32" s="1494" t="s">
        <v>1515</v>
      </c>
      <c r="S32" s="1495">
        <f t="shared" si="12"/>
        <v>100</v>
      </c>
      <c r="T32" s="1494" t="s">
        <v>1515</v>
      </c>
      <c r="U32" s="1495">
        <f t="shared" si="13"/>
        <v>100</v>
      </c>
      <c r="V32" s="1494" t="s">
        <v>1515</v>
      </c>
      <c r="W32" s="1495">
        <f t="shared" si="14"/>
        <v>100</v>
      </c>
      <c r="X32" s="1489"/>
      <c r="Y32" s="3414"/>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4"/>
      <c r="Q33" s="912" t="str">
        <f t="shared" si="11"/>
        <v>成新度</v>
      </c>
      <c r="R33" s="1494" t="s">
        <v>1515</v>
      </c>
      <c r="S33" s="1495" t="e">
        <f t="shared" si="12"/>
        <v>#N/A</v>
      </c>
      <c r="T33" s="1494" t="s">
        <v>1515</v>
      </c>
      <c r="U33" s="1495" t="e">
        <f t="shared" si="13"/>
        <v>#N/A</v>
      </c>
      <c r="V33" s="1494" t="s">
        <v>1515</v>
      </c>
      <c r="W33" s="1495" t="e">
        <f t="shared" si="14"/>
        <v>#N/A</v>
      </c>
      <c r="X33" s="1489"/>
      <c r="Y33" s="3414"/>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4"/>
      <c r="Q34" s="1080" t="str">
        <f t="shared" si="11"/>
        <v>物业管理</v>
      </c>
      <c r="R34" s="1490" t="s">
        <v>1515</v>
      </c>
      <c r="S34" s="1491">
        <f t="shared" si="12"/>
        <v>100</v>
      </c>
      <c r="T34" s="1490" t="s">
        <v>1515</v>
      </c>
      <c r="U34" s="1491">
        <f t="shared" si="13"/>
        <v>100</v>
      </c>
      <c r="V34" s="1490" t="s">
        <v>1515</v>
      </c>
      <c r="W34" s="1491">
        <f t="shared" si="14"/>
        <v>100</v>
      </c>
      <c r="X34" s="1492"/>
      <c r="Y34" s="3414"/>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4" t="s">
        <v>1535</v>
      </c>
      <c r="Q35" s="912" t="str">
        <f t="shared" si="11"/>
        <v>市政基础设施</v>
      </c>
      <c r="R35" s="1494" t="s">
        <v>1515</v>
      </c>
      <c r="S35" s="1495">
        <f t="shared" si="12"/>
        <v>100</v>
      </c>
      <c r="T35" s="1494" t="s">
        <v>1515</v>
      </c>
      <c r="U35" s="1495">
        <f t="shared" si="13"/>
        <v>100</v>
      </c>
      <c r="V35" s="1494" t="s">
        <v>1515</v>
      </c>
      <c r="W35" s="1495">
        <f t="shared" si="14"/>
        <v>100</v>
      </c>
      <c r="X35" s="1489"/>
      <c r="Y35" s="3414"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4"/>
      <c r="Q36" s="912" t="str">
        <f t="shared" si="11"/>
        <v>内部装修</v>
      </c>
      <c r="R36" s="1494" t="s">
        <v>1515</v>
      </c>
      <c r="S36" s="1495">
        <f t="shared" si="12"/>
        <v>100</v>
      </c>
      <c r="T36" s="1494" t="s">
        <v>1515</v>
      </c>
      <c r="U36" s="1495">
        <f t="shared" si="13"/>
        <v>100</v>
      </c>
      <c r="V36" s="1494" t="s">
        <v>1515</v>
      </c>
      <c r="W36" s="1495">
        <f t="shared" si="14"/>
        <v>100</v>
      </c>
      <c r="X36" s="1489"/>
      <c r="Y36" s="3414"/>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4"/>
      <c r="Q37" s="912" t="str">
        <f t="shared" si="11"/>
        <v>内部装修状况</v>
      </c>
      <c r="R37" s="1494" t="s">
        <v>1515</v>
      </c>
      <c r="S37" s="1495">
        <f t="shared" si="12"/>
        <v>100</v>
      </c>
      <c r="T37" s="1494" t="s">
        <v>1515</v>
      </c>
      <c r="U37" s="1495">
        <f t="shared" si="13"/>
        <v>100</v>
      </c>
      <c r="V37" s="1494" t="s">
        <v>1515</v>
      </c>
      <c r="W37" s="1495">
        <f t="shared" si="14"/>
        <v>100</v>
      </c>
      <c r="X37" s="1489"/>
      <c r="Y37" s="3414"/>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4"/>
      <c r="Q38" s="1689">
        <f t="shared" si="11"/>
        <v>111</v>
      </c>
      <c r="R38" s="1496" t="s">
        <v>1515</v>
      </c>
      <c r="S38" s="1497">
        <f t="shared" si="12"/>
        <v>100</v>
      </c>
      <c r="T38" s="1496" t="s">
        <v>1515</v>
      </c>
      <c r="U38" s="1497">
        <f t="shared" si="13"/>
        <v>100</v>
      </c>
      <c r="V38" s="1496" t="s">
        <v>1515</v>
      </c>
      <c r="W38" s="1497">
        <f t="shared" si="14"/>
        <v>100</v>
      </c>
      <c r="X38" s="1498"/>
      <c r="Y38" s="3414"/>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4"/>
      <c r="Q39" s="912">
        <f t="shared" si="11"/>
        <v>111</v>
      </c>
      <c r="R39" s="1494" t="s">
        <v>1515</v>
      </c>
      <c r="S39" s="1495">
        <f t="shared" si="12"/>
        <v>100</v>
      </c>
      <c r="T39" s="1494" t="s">
        <v>1515</v>
      </c>
      <c r="U39" s="1495">
        <f t="shared" si="13"/>
        <v>100</v>
      </c>
      <c r="V39" s="1494" t="s">
        <v>1515</v>
      </c>
      <c r="W39" s="1495">
        <f t="shared" si="14"/>
        <v>100</v>
      </c>
      <c r="X39" s="1489"/>
      <c r="Y39" s="3414"/>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5"/>
      <c r="Q40" s="912">
        <f t="shared" si="11"/>
        <v>111</v>
      </c>
      <c r="R40" s="1494" t="s">
        <v>1515</v>
      </c>
      <c r="S40" s="1495">
        <f t="shared" si="12"/>
        <v>100</v>
      </c>
      <c r="T40" s="1494" t="s">
        <v>1515</v>
      </c>
      <c r="U40" s="1495">
        <f t="shared" si="13"/>
        <v>100</v>
      </c>
      <c r="V40" s="1494" t="s">
        <v>1515</v>
      </c>
      <c r="W40" s="1495">
        <f t="shared" si="14"/>
        <v>100</v>
      </c>
      <c r="X40" s="1489"/>
      <c r="Y40" s="3415"/>
      <c r="Z40" s="1479">
        <f t="shared" si="15"/>
        <v>111</v>
      </c>
      <c r="AA40" s="1479">
        <f t="shared" si="3"/>
        <v>1</v>
      </c>
      <c r="AB40" s="1479">
        <f t="shared" si="4"/>
        <v>1</v>
      </c>
      <c r="AC40" s="1479">
        <f t="shared" si="5"/>
        <v>1</v>
      </c>
    </row>
    <row r="41" spans="1:29" ht="14.4">
      <c r="A41" s="1381" t="s">
        <v>1546</v>
      </c>
      <c r="B41" s="1672"/>
      <c r="C41" s="1673" t="s">
        <v>124</v>
      </c>
      <c r="D41" s="1384"/>
      <c r="E41" s="1385"/>
      <c r="F41" s="1386"/>
      <c r="G41" s="1387"/>
      <c r="H41" s="1388"/>
      <c r="I41" s="1385"/>
      <c r="J41" s="1388"/>
      <c r="K41" s="1470"/>
      <c r="L41" s="1773"/>
      <c r="M41" s="1432"/>
      <c r="N41" s="1432"/>
      <c r="O41" s="1432"/>
      <c r="P41" s="3400" t="str">
        <f>A41</f>
        <v>成交单价（元/平方米）</v>
      </c>
      <c r="Q41" s="3400"/>
      <c r="R41" s="3399">
        <f>E41</f>
        <v>0</v>
      </c>
      <c r="S41" s="3399"/>
      <c r="T41" s="3399">
        <f>G41</f>
        <v>0</v>
      </c>
      <c r="U41" s="3399"/>
      <c r="V41" s="3399">
        <f>I41</f>
        <v>0</v>
      </c>
      <c r="W41" s="3399"/>
      <c r="X41" s="1437"/>
      <c r="Y41" s="1503"/>
      <c r="Z41" s="1437"/>
      <c r="AA41" s="1437"/>
      <c r="AB41" s="1437"/>
      <c r="AC41" s="1437"/>
    </row>
    <row r="42" spans="1:29" ht="14.4">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0" t="str">
        <f>A42</f>
        <v>比较价值（元/平方米）</v>
      </c>
      <c r="Q42" s="3400"/>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1437"/>
      <c r="Y42" s="1437"/>
      <c r="Z42" s="1437"/>
      <c r="AA42" s="1437"/>
      <c r="AB42" s="1437"/>
      <c r="AC42" s="1437"/>
    </row>
    <row r="43" spans="1:29" ht="14.4">
      <c r="A43" s="1395" t="s">
        <v>1549</v>
      </c>
      <c r="B43" s="1396"/>
      <c r="C43" s="1308" t="e">
        <f>R43</f>
        <v>#DIV/0!</v>
      </c>
      <c r="D43" s="1308"/>
      <c r="E43" s="1308"/>
      <c r="F43" s="1308"/>
      <c r="G43" s="1308"/>
      <c r="H43" s="1308"/>
      <c r="I43" s="1308"/>
      <c r="J43" s="1308"/>
      <c r="K43" s="1473"/>
      <c r="L43" s="1773"/>
      <c r="M43" s="1432"/>
      <c r="N43" s="1432"/>
      <c r="O43" s="1432"/>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6">
      <c r="A51" s="1436" t="s">
        <v>1553</v>
      </c>
      <c r="B51" s="1437"/>
      <c r="C51" s="1438"/>
      <c r="D51" s="1438"/>
      <c r="E51" s="1438"/>
      <c r="F51" s="1439"/>
      <c r="G51" s="1439"/>
      <c r="H51" s="1438"/>
      <c r="I51" s="1438"/>
      <c r="J51" s="1438"/>
      <c r="K51" s="1632"/>
      <c r="L51" s="1633"/>
      <c r="M51" s="1487"/>
      <c r="N51" s="1487"/>
      <c r="O51" s="1487"/>
      <c r="P51" s="1776"/>
      <c r="Q51" s="1777"/>
    </row>
    <row r="52" spans="1:17" s="1289" customFormat="1" ht="14.4">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c r="A53" s="1354"/>
      <c r="B53" s="1515"/>
      <c r="C53" s="1682">
        <v>100</v>
      </c>
      <c r="D53" s="1519"/>
      <c r="E53" s="1519"/>
      <c r="F53" s="1519"/>
      <c r="G53" s="1519"/>
      <c r="H53" s="1519"/>
      <c r="I53" s="1519"/>
      <c r="J53" s="1519"/>
      <c r="K53" s="1519"/>
      <c r="L53" s="1519"/>
      <c r="M53" s="1329"/>
      <c r="N53" s="1519"/>
      <c r="O53" s="1559"/>
      <c r="P53" s="1777"/>
    </row>
    <row r="54" spans="1:17" s="1284" customFormat="1" ht="14.4">
      <c r="A54" s="1510" t="s">
        <v>1554</v>
      </c>
      <c r="B54" s="1511"/>
      <c r="C54" s="1512"/>
      <c r="D54" s="1513"/>
      <c r="E54" s="1513"/>
      <c r="F54" s="1513"/>
      <c r="G54" s="1513"/>
      <c r="H54" s="1513"/>
      <c r="I54" s="1513"/>
      <c r="J54" s="1513"/>
      <c r="K54" s="1513"/>
      <c r="L54" s="1513"/>
      <c r="M54" s="1554"/>
      <c r="N54" s="1778"/>
      <c r="O54" s="1779"/>
      <c r="P54" s="1777"/>
      <c r="Q54" s="1777"/>
    </row>
    <row r="55" spans="1:17" s="1284" customFormat="1" ht="14.4">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c r="A56" s="1514"/>
      <c r="B56" s="1515"/>
      <c r="C56" s="1518">
        <v>100</v>
      </c>
      <c r="D56" s="1519"/>
      <c r="E56" s="1519"/>
      <c r="F56" s="1519"/>
      <c r="G56" s="1519"/>
      <c r="H56" s="1519"/>
      <c r="I56" s="1519"/>
      <c r="J56" s="1519"/>
      <c r="K56" s="1519"/>
      <c r="L56" s="1519"/>
      <c r="M56" s="1559"/>
      <c r="N56" s="1780"/>
      <c r="O56" s="1780"/>
      <c r="P56" s="1777"/>
      <c r="Q56" s="1777"/>
    </row>
    <row r="57" spans="1:17" ht="14.4">
      <c r="A57" s="1338" t="s">
        <v>1556</v>
      </c>
      <c r="B57" s="1520" t="s">
        <v>1519</v>
      </c>
      <c r="C57" s="908">
        <f>C9</f>
        <v>0</v>
      </c>
      <c r="D57" s="1468"/>
      <c r="E57" s="1468"/>
      <c r="F57" s="1468"/>
      <c r="G57" s="1468"/>
      <c r="H57" s="1468"/>
      <c r="I57" s="1468"/>
      <c r="J57" s="1468"/>
      <c r="K57" s="1560"/>
      <c r="L57" s="1561"/>
      <c r="M57" s="1562"/>
      <c r="N57" s="1782"/>
      <c r="O57" s="1782"/>
      <c r="P57" s="1783"/>
      <c r="Q57" s="1777"/>
    </row>
    <row r="58" spans="1:17">
      <c r="A58" s="1325"/>
      <c r="B58" s="1521"/>
      <c r="C58" s="1522">
        <v>100</v>
      </c>
      <c r="D58" s="1522"/>
      <c r="E58" s="1522"/>
      <c r="F58" s="1522"/>
      <c r="G58" s="1522"/>
      <c r="H58" s="1522"/>
      <c r="I58" s="1522"/>
      <c r="J58" s="1522"/>
      <c r="K58" s="1522"/>
      <c r="L58" s="1522"/>
      <c r="M58" s="1564"/>
      <c r="N58" s="1784"/>
      <c r="O58" s="1784"/>
      <c r="P58" s="1783"/>
      <c r="Q58" s="1777"/>
    </row>
    <row r="59" spans="1:17" ht="28.8">
      <c r="A59" s="1325"/>
      <c r="B59" s="1523" t="s">
        <v>1522</v>
      </c>
      <c r="C59" s="1546"/>
      <c r="D59" s="1546"/>
      <c r="E59" s="1546"/>
      <c r="F59" s="1546"/>
      <c r="G59" s="1546"/>
      <c r="H59" s="1546"/>
      <c r="I59" s="1546"/>
      <c r="J59" s="1546"/>
      <c r="K59" s="1591"/>
      <c r="L59" s="1592"/>
      <c r="M59" s="1593"/>
      <c r="N59" s="1782"/>
      <c r="O59" s="1782"/>
      <c r="P59" s="1783"/>
      <c r="Q59" s="1777"/>
    </row>
    <row r="60" spans="1:17">
      <c r="A60" s="1325"/>
      <c r="B60" s="1525"/>
      <c r="C60" s="1522"/>
      <c r="D60" s="1522"/>
      <c r="E60" s="1522"/>
      <c r="F60" s="1522"/>
      <c r="G60" s="1522"/>
      <c r="H60" s="1522"/>
      <c r="I60" s="1522"/>
      <c r="J60" s="1522"/>
      <c r="K60" s="1522"/>
      <c r="L60" s="1522"/>
      <c r="M60" s="1564"/>
      <c r="N60" s="1784"/>
      <c r="O60" s="1784"/>
      <c r="P60" s="1783"/>
      <c r="Q60" s="1777"/>
    </row>
    <row r="61" spans="1:17" ht="14.4">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c r="A62" s="1325"/>
      <c r="B62" s="1529"/>
      <c r="C62" s="1331">
        <v>0</v>
      </c>
      <c r="D62" s="1331">
        <v>2</v>
      </c>
      <c r="E62" s="1331"/>
      <c r="F62" s="1331"/>
      <c r="G62" s="1331"/>
      <c r="H62" s="1331"/>
      <c r="I62" s="1331"/>
      <c r="J62" s="1331"/>
      <c r="K62" s="1570"/>
      <c r="L62" s="1571"/>
      <c r="M62" s="1572"/>
      <c r="N62" s="1782"/>
      <c r="O62" s="1782"/>
      <c r="P62" s="1783"/>
      <c r="Q62" s="1777"/>
    </row>
    <row r="63" spans="1:17">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c r="A64" s="1530"/>
      <c r="B64" s="1523">
        <f>B12</f>
        <v>111</v>
      </c>
      <c r="C64" s="1531"/>
      <c r="D64" s="1531"/>
      <c r="E64" s="1531"/>
      <c r="F64" s="1531"/>
      <c r="G64" s="1531"/>
      <c r="H64" s="1532"/>
      <c r="I64" s="1532"/>
      <c r="J64" s="1532"/>
      <c r="K64" s="1532"/>
      <c r="L64" s="1573"/>
      <c r="M64" s="1574"/>
      <c r="N64" s="1785"/>
      <c r="O64" s="1785"/>
      <c r="P64" s="1786"/>
      <c r="Q64" s="1787"/>
    </row>
    <row r="65" spans="1:17" s="1286" customFormat="1">
      <c r="A65" s="1530"/>
      <c r="B65" s="1525"/>
      <c r="C65" s="1533"/>
      <c r="D65" s="1522"/>
      <c r="E65" s="1522"/>
      <c r="F65" s="1522"/>
      <c r="G65" s="1522"/>
      <c r="H65" s="1522"/>
      <c r="I65" s="1522"/>
      <c r="J65" s="1522"/>
      <c r="K65" s="1522"/>
      <c r="L65" s="1522"/>
      <c r="M65" s="1564"/>
      <c r="N65" s="1784"/>
      <c r="O65" s="1784"/>
      <c r="P65" s="1786"/>
      <c r="Q65" s="1787"/>
    </row>
    <row r="66" spans="1:17" s="1286" customFormat="1">
      <c r="A66" s="1530"/>
      <c r="B66" s="1523">
        <f>B13</f>
        <v>111</v>
      </c>
      <c r="C66" s="1531"/>
      <c r="D66" s="1531"/>
      <c r="E66" s="1531"/>
      <c r="F66" s="1531"/>
      <c r="G66" s="1531"/>
      <c r="H66" s="1532"/>
      <c r="I66" s="1532"/>
      <c r="J66" s="1532"/>
      <c r="K66" s="1532"/>
      <c r="L66" s="1573"/>
      <c r="M66" s="1574"/>
      <c r="N66" s="1785"/>
      <c r="O66" s="1785"/>
      <c r="Q66" s="1790"/>
    </row>
    <row r="67" spans="1:17" s="1286" customFormat="1">
      <c r="A67" s="1530"/>
      <c r="B67" s="1525"/>
      <c r="C67" s="1533"/>
      <c r="D67" s="1522"/>
      <c r="E67" s="1522"/>
      <c r="F67" s="1522"/>
      <c r="G67" s="1533"/>
      <c r="H67" s="1534"/>
      <c r="I67" s="1534"/>
      <c r="J67" s="1534"/>
      <c r="K67" s="1534"/>
      <c r="L67" s="1534"/>
      <c r="M67" s="1576"/>
      <c r="N67" s="1785"/>
      <c r="O67" s="1785"/>
      <c r="P67" s="1786"/>
      <c r="Q67" s="1787"/>
    </row>
    <row r="68" spans="1:17" s="1286" customFormat="1">
      <c r="A68" s="1530"/>
      <c r="B68" s="1527">
        <f>B14</f>
        <v>111</v>
      </c>
      <c r="C68" s="1517"/>
      <c r="D68" s="1517"/>
      <c r="E68" s="1517"/>
      <c r="F68" s="1517"/>
      <c r="G68" s="1517"/>
      <c r="H68" s="1535"/>
      <c r="I68" s="1535"/>
      <c r="J68" s="1535"/>
      <c r="K68" s="1535"/>
      <c r="L68" s="1577"/>
      <c r="M68" s="1578"/>
      <c r="N68" s="1785"/>
      <c r="O68" s="1785"/>
      <c r="P68" s="1788"/>
      <c r="Q68" s="1787"/>
    </row>
    <row r="69" spans="1:17" s="1286" customFormat="1">
      <c r="A69" s="1536"/>
      <c r="B69" s="1537"/>
      <c r="C69" s="1538"/>
      <c r="D69" s="1538"/>
      <c r="E69" s="1538"/>
      <c r="F69" s="1538"/>
      <c r="G69" s="1538"/>
      <c r="H69" s="1539"/>
      <c r="I69" s="1539"/>
      <c r="J69" s="1539"/>
      <c r="K69" s="1539"/>
      <c r="L69" s="1539"/>
      <c r="M69" s="1580"/>
      <c r="N69" s="1785"/>
      <c r="O69" s="1785"/>
      <c r="P69" s="1786"/>
      <c r="Q69" s="1787"/>
    </row>
    <row r="70" spans="1:17" ht="14.4">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4.4">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4.4">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4.4">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4.4">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c r="A80" s="1328"/>
      <c r="B80" s="1523">
        <f>B25</f>
        <v>111</v>
      </c>
      <c r="C80" s="1531"/>
      <c r="D80" s="1531"/>
      <c r="E80" s="1531"/>
      <c r="F80" s="1531"/>
      <c r="G80" s="1531"/>
      <c r="H80" s="1531"/>
      <c r="I80" s="1531"/>
      <c r="J80" s="1531"/>
      <c r="K80" s="1531"/>
      <c r="L80" s="1694"/>
      <c r="M80" s="1695"/>
      <c r="N80" s="1780"/>
      <c r="O80" s="1780"/>
      <c r="P80" s="1783"/>
      <c r="Q80" s="1777"/>
    </row>
    <row r="81" spans="1:17" s="1284" customFormat="1">
      <c r="A81" s="1328"/>
      <c r="B81" s="1525"/>
      <c r="C81" s="1533"/>
      <c r="D81" s="1522"/>
      <c r="E81" s="1522"/>
      <c r="F81" s="1522"/>
      <c r="G81" s="1522"/>
      <c r="H81" s="1522"/>
      <c r="I81" s="1522"/>
      <c r="J81" s="1522"/>
      <c r="K81" s="1522"/>
      <c r="L81" s="1522"/>
      <c r="M81" s="1564"/>
      <c r="N81" s="1784"/>
      <c r="O81" s="1784"/>
      <c r="P81" s="1783"/>
      <c r="Q81" s="1777"/>
    </row>
    <row r="82" spans="1:17" s="1284" customFormat="1">
      <c r="A82" s="1328"/>
      <c r="B82" s="1523">
        <f>B26</f>
        <v>111</v>
      </c>
      <c r="C82" s="1531"/>
      <c r="D82" s="1531"/>
      <c r="E82" s="1531"/>
      <c r="F82" s="1531"/>
      <c r="G82" s="1531"/>
      <c r="H82" s="1531"/>
      <c r="I82" s="1531"/>
      <c r="J82" s="1531"/>
      <c r="K82" s="1531"/>
      <c r="L82" s="1694"/>
      <c r="M82" s="1695"/>
      <c r="N82" s="1780"/>
      <c r="O82" s="1780"/>
      <c r="P82" s="1783"/>
      <c r="Q82" s="1777"/>
    </row>
    <row r="83" spans="1:17" s="1284" customFormat="1">
      <c r="A83" s="1328"/>
      <c r="B83" s="1525"/>
      <c r="C83" s="1533"/>
      <c r="D83" s="1522"/>
      <c r="E83" s="1522"/>
      <c r="F83" s="1522"/>
      <c r="G83" s="1522"/>
      <c r="H83" s="1522"/>
      <c r="I83" s="1522"/>
      <c r="J83" s="1522"/>
      <c r="K83" s="1522"/>
      <c r="L83" s="1522"/>
      <c r="M83" s="1564"/>
      <c r="N83" s="1784"/>
      <c r="O83" s="1784"/>
      <c r="P83" s="1783"/>
      <c r="Q83" s="1777"/>
    </row>
    <row r="84" spans="1:17" s="1286" customFormat="1">
      <c r="A84" s="1530"/>
      <c r="B84" s="1523">
        <f>B27</f>
        <v>111</v>
      </c>
      <c r="C84" s="1531"/>
      <c r="D84" s="1531"/>
      <c r="E84" s="1531"/>
      <c r="F84" s="1531"/>
      <c r="G84" s="1531"/>
      <c r="H84" s="1531"/>
      <c r="I84" s="1531"/>
      <c r="J84" s="1531"/>
      <c r="K84" s="1531"/>
      <c r="L84" s="1694"/>
      <c r="M84" s="1695"/>
      <c r="N84" s="1785"/>
      <c r="O84" s="1785"/>
      <c r="P84" s="1786"/>
      <c r="Q84" s="1787"/>
    </row>
    <row r="85" spans="1:17" s="1286" customFormat="1">
      <c r="A85" s="1530"/>
      <c r="B85" s="1525"/>
      <c r="C85" s="1533"/>
      <c r="D85" s="1522"/>
      <c r="E85" s="1522"/>
      <c r="F85" s="1522"/>
      <c r="G85" s="1522"/>
      <c r="H85" s="1522"/>
      <c r="I85" s="1522"/>
      <c r="J85" s="1522"/>
      <c r="K85" s="1522"/>
      <c r="L85" s="1522"/>
      <c r="M85" s="1564"/>
      <c r="N85" s="1785"/>
      <c r="O85" s="1785"/>
      <c r="P85" s="1786"/>
      <c r="Q85" s="1787"/>
    </row>
    <row r="86" spans="1:17">
      <c r="A86" s="1325"/>
      <c r="B86" s="1527">
        <f>B28</f>
        <v>111</v>
      </c>
      <c r="C86" s="1517"/>
      <c r="D86" s="1517"/>
      <c r="E86" s="1517"/>
      <c r="F86" s="1517"/>
      <c r="G86" s="1547"/>
      <c r="H86" s="1547"/>
      <c r="I86" s="1547"/>
      <c r="J86" s="1547"/>
      <c r="K86" s="1594"/>
      <c r="L86" s="1595"/>
      <c r="M86" s="1596"/>
      <c r="N86" s="1782"/>
      <c r="O86" s="1782"/>
      <c r="P86" s="1783"/>
      <c r="Q86" s="1777"/>
    </row>
    <row r="87" spans="1:17">
      <c r="A87" s="1334"/>
      <c r="B87" s="1537"/>
      <c r="C87" s="1538"/>
      <c r="D87" s="1538"/>
      <c r="E87" s="1538"/>
      <c r="F87" s="1538"/>
      <c r="G87" s="1548"/>
      <c r="H87" s="1548"/>
      <c r="I87" s="1548"/>
      <c r="J87" s="1548"/>
      <c r="K87" s="1548"/>
      <c r="L87" s="1548"/>
      <c r="M87" s="1597"/>
      <c r="N87" s="1784"/>
      <c r="O87" s="1784"/>
      <c r="P87" s="1783"/>
      <c r="Q87" s="1777"/>
    </row>
    <row r="88" spans="1:17" ht="14.4">
      <c r="A88" s="1338" t="s">
        <v>1533</v>
      </c>
      <c r="B88" s="1520" t="s">
        <v>1534</v>
      </c>
      <c r="C88" s="1468"/>
      <c r="D88" s="1468"/>
      <c r="E88" s="1468"/>
      <c r="F88" s="1468"/>
      <c r="G88" s="1468"/>
      <c r="H88" s="1468"/>
      <c r="I88" s="1468"/>
      <c r="J88" s="1468"/>
      <c r="K88" s="1560"/>
      <c r="L88" s="1561"/>
      <c r="M88" s="1562"/>
      <c r="N88" s="1782"/>
      <c r="O88" s="1782"/>
      <c r="P88" s="1783"/>
      <c r="Q88" s="1777"/>
    </row>
    <row r="89" spans="1:17">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4.4">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c r="A92" s="1530"/>
      <c r="B92" s="1525"/>
      <c r="C92" s="1533"/>
      <c r="D92" s="1522"/>
      <c r="E92" s="1522"/>
      <c r="F92" s="1522"/>
      <c r="G92" s="1522"/>
      <c r="H92" s="1522"/>
      <c r="I92" s="1522"/>
      <c r="J92" s="1522"/>
      <c r="K92" s="1522"/>
      <c r="L92" s="1522"/>
      <c r="M92" s="1564"/>
      <c r="N92" s="1784"/>
      <c r="O92" s="1784"/>
      <c r="P92" s="1786"/>
      <c r="Q92" s="1787"/>
    </row>
    <row r="93" spans="1:17" ht="14.4">
      <c r="A93" s="1374"/>
      <c r="B93" s="1523" t="s">
        <v>1537</v>
      </c>
      <c r="C93" s="1531"/>
      <c r="D93" s="1531"/>
      <c r="E93" s="1546"/>
      <c r="F93" s="1546"/>
      <c r="G93" s="1546"/>
      <c r="H93" s="1546"/>
      <c r="I93" s="1546"/>
      <c r="J93" s="1546"/>
      <c r="K93" s="1591"/>
      <c r="L93" s="1592"/>
      <c r="M93" s="1593"/>
      <c r="N93" s="1782"/>
      <c r="O93" s="1782"/>
      <c r="P93" s="1783"/>
      <c r="Q93" s="1777"/>
    </row>
    <row r="94" spans="1:17">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ht="14.4">
      <c r="A95" s="1374"/>
      <c r="B95" s="1523" t="s">
        <v>1539</v>
      </c>
      <c r="C95" s="1531"/>
      <c r="D95" s="1531"/>
      <c r="E95" s="1531"/>
      <c r="F95" s="1546"/>
      <c r="G95" s="1546"/>
      <c r="H95" s="1546"/>
      <c r="I95" s="1546"/>
      <c r="J95" s="1546"/>
      <c r="K95" s="1591"/>
      <c r="L95" s="1592"/>
      <c r="M95" s="1593"/>
      <c r="N95" s="1782"/>
      <c r="O95" s="1782"/>
      <c r="P95" s="1783"/>
      <c r="Q95" s="1777"/>
    </row>
    <row r="96" spans="1:17">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ht="14.4">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ht="14.4">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ht="14.4">
      <c r="A102" s="1374"/>
      <c r="B102" s="1523" t="s">
        <v>1541</v>
      </c>
      <c r="C102" s="1531"/>
      <c r="D102" s="1531"/>
      <c r="E102" s="1531"/>
      <c r="F102" s="1531"/>
      <c r="G102" s="1531"/>
      <c r="H102" s="1546"/>
      <c r="I102" s="1546"/>
      <c r="J102" s="1546"/>
      <c r="K102" s="1591"/>
      <c r="L102" s="1592"/>
      <c r="M102" s="1593"/>
      <c r="N102" s="1782"/>
      <c r="O102" s="1782"/>
      <c r="P102" s="1783"/>
      <c r="Q102" s="1777"/>
    </row>
    <row r="103" spans="1:17">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ht="14.4">
      <c r="A104" s="1374"/>
      <c r="B104" s="1523" t="s">
        <v>1544</v>
      </c>
      <c r="C104" s="1531"/>
      <c r="D104" s="1531"/>
      <c r="E104" s="1531"/>
      <c r="F104" s="1531"/>
      <c r="G104" s="1531"/>
      <c r="H104" s="1546"/>
      <c r="I104" s="1546"/>
      <c r="J104" s="1546"/>
      <c r="K104" s="1591"/>
      <c r="L104" s="1592"/>
      <c r="M104" s="1593"/>
      <c r="N104" s="1782"/>
      <c r="O104" s="1782"/>
      <c r="P104" s="1783"/>
      <c r="Q104" s="1777"/>
    </row>
    <row r="105" spans="1:17">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ht="28.8">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5.44140625" style="1290" customWidth="1"/>
    <col min="10" max="10" width="12.21875" style="1290" customWidth="1"/>
    <col min="11" max="11" width="12.21875" style="1291" customWidth="1"/>
    <col min="12" max="12" width="12.21875" style="1292" customWidth="1"/>
    <col min="13" max="15" width="12.21875" style="1290" customWidth="1"/>
    <col min="16" max="16" width="4.77734375" style="1702"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85" t="s">
        <v>1503</v>
      </c>
      <c r="AC4" s="3384" t="s">
        <v>1504</v>
      </c>
    </row>
    <row r="5" spans="1:29">
      <c r="A5" s="1305"/>
      <c r="B5" s="1306"/>
      <c r="C5" s="3425" t="s">
        <v>1507</v>
      </c>
      <c r="D5" s="3426"/>
      <c r="E5" s="3427" t="s">
        <v>1508</v>
      </c>
      <c r="F5" s="3428"/>
      <c r="G5" s="3425" t="s">
        <v>1509</v>
      </c>
      <c r="H5" s="3426"/>
      <c r="I5" s="3425" t="s">
        <v>1510</v>
      </c>
      <c r="J5" s="3426"/>
      <c r="K5" s="1446"/>
      <c r="L5" s="1447"/>
      <c r="M5" s="1398"/>
      <c r="N5" s="1398"/>
      <c r="O5" s="1398"/>
      <c r="P5" s="3389"/>
      <c r="Q5" s="3390"/>
      <c r="R5" s="3395"/>
      <c r="S5" s="3396"/>
      <c r="T5" s="3395"/>
      <c r="U5" s="3396"/>
      <c r="V5" s="3399"/>
      <c r="W5" s="3399"/>
      <c r="X5" s="1489"/>
      <c r="Y5" s="3395"/>
      <c r="Z5" s="3396"/>
      <c r="AA5" s="3385"/>
      <c r="AB5" s="3385"/>
      <c r="AC5" s="3385"/>
    </row>
    <row r="6" spans="1:29" ht="14.4">
      <c r="A6" s="1307"/>
      <c r="B6" s="1308"/>
      <c r="C6" s="3416" t="s">
        <v>1511</v>
      </c>
      <c r="D6" s="3417"/>
      <c r="E6" s="3418" t="s">
        <v>1511</v>
      </c>
      <c r="F6" s="3419"/>
      <c r="G6" s="3416" t="s">
        <v>1511</v>
      </c>
      <c r="H6" s="3417"/>
      <c r="I6" s="3416" t="s">
        <v>1511</v>
      </c>
      <c r="J6" s="3417"/>
      <c r="K6" s="1446" t="s">
        <v>1512</v>
      </c>
      <c r="L6" s="1447"/>
      <c r="M6" s="1398"/>
      <c r="N6" s="1398"/>
      <c r="O6" s="1398"/>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4" t="s">
        <v>1514</v>
      </c>
      <c r="Q7" s="3420"/>
      <c r="R7" s="1490" t="s">
        <v>1515</v>
      </c>
      <c r="S7" s="1491">
        <f t="shared" ref="S7:S14" si="0">F7</f>
        <v>0</v>
      </c>
      <c r="T7" s="1490" t="s">
        <v>1515</v>
      </c>
      <c r="U7" s="1491">
        <f t="shared" ref="U7:U14" si="1">H7</f>
        <v>0</v>
      </c>
      <c r="V7" s="1490" t="s">
        <v>1515</v>
      </c>
      <c r="W7" s="1491">
        <f t="shared" ref="W7:W14" si="2">J7</f>
        <v>0</v>
      </c>
      <c r="X7" s="1492"/>
      <c r="Y7" s="3404" t="s">
        <v>1514</v>
      </c>
      <c r="Z7" s="3405"/>
      <c r="AA7" s="1501" t="e">
        <f>D7/F7</f>
        <v>#DIV/0!</v>
      </c>
      <c r="AB7" s="1501" t="e">
        <f>D7/H7</f>
        <v>#DIV/0!</v>
      </c>
      <c r="AC7" s="1501" t="e">
        <f>D7/J7</f>
        <v>#DIV/0!</v>
      </c>
    </row>
    <row r="8" spans="1:29" s="1284" customFormat="1" ht="14.4">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4" t="s">
        <v>1517</v>
      </c>
      <c r="Q8" s="3405"/>
      <c r="R8" s="1490" t="s">
        <v>1515</v>
      </c>
      <c r="S8" s="1491">
        <f t="shared" si="0"/>
        <v>100</v>
      </c>
      <c r="T8" s="1490" t="s">
        <v>1515</v>
      </c>
      <c r="U8" s="1491">
        <f t="shared" si="1"/>
        <v>100</v>
      </c>
      <c r="V8" s="1490" t="s">
        <v>1515</v>
      </c>
      <c r="W8" s="1491">
        <f t="shared" si="2"/>
        <v>100</v>
      </c>
      <c r="X8" s="1492"/>
      <c r="Y8" s="3404" t="s">
        <v>1517</v>
      </c>
      <c r="Z8" s="3405"/>
      <c r="AA8" s="1501">
        <f t="shared" ref="AA8:AA36" si="3">D8/F8</f>
        <v>1</v>
      </c>
      <c r="AB8" s="1501">
        <f t="shared" ref="AB8:AB36" si="4">D8/H8</f>
        <v>1</v>
      </c>
      <c r="AC8" s="1501">
        <f t="shared" ref="AC8:AC36" si="5">D8/J8</f>
        <v>1</v>
      </c>
    </row>
    <row r="9" spans="1:29" s="1284" customFormat="1" ht="14.4">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0" t="s">
        <v>1520</v>
      </c>
      <c r="Q9" s="1080" t="str">
        <f t="shared" ref="Q9:Q14" si="6">B9</f>
        <v>用途</v>
      </c>
      <c r="R9" s="1490" t="s">
        <v>1515</v>
      </c>
      <c r="S9" s="1491">
        <f t="shared" si="0"/>
        <v>100</v>
      </c>
      <c r="T9" s="1490" t="s">
        <v>1515</v>
      </c>
      <c r="U9" s="1491">
        <f t="shared" si="1"/>
        <v>100</v>
      </c>
      <c r="V9" s="1490" t="s">
        <v>1515</v>
      </c>
      <c r="W9" s="1491">
        <f t="shared" si="2"/>
        <v>100</v>
      </c>
      <c r="X9" s="1492"/>
      <c r="Y9" s="3270" t="s">
        <v>1521</v>
      </c>
      <c r="Z9" s="1501" t="str">
        <f t="shared" ref="Z9:Z14" si="7">Q9</f>
        <v>用途</v>
      </c>
      <c r="AA9" s="1501">
        <f t="shared" si="3"/>
        <v>1</v>
      </c>
      <c r="AB9" s="1501">
        <f t="shared" si="4"/>
        <v>1</v>
      </c>
      <c r="AC9" s="1501">
        <f t="shared" si="5"/>
        <v>1</v>
      </c>
    </row>
    <row r="10" spans="1:29" s="1285" customFormat="1" ht="28.8">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0"/>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0"/>
      <c r="Q11" s="1080">
        <f t="shared" si="6"/>
        <v>111</v>
      </c>
      <c r="R11" s="1490" t="s">
        <v>1515</v>
      </c>
      <c r="S11" s="1491">
        <f t="shared" si="0"/>
        <v>100</v>
      </c>
      <c r="T11" s="1490" t="s">
        <v>1515</v>
      </c>
      <c r="U11" s="1491">
        <f t="shared" si="1"/>
        <v>100</v>
      </c>
      <c r="V11" s="1490" t="s">
        <v>1515</v>
      </c>
      <c r="W11" s="1491">
        <f t="shared" si="2"/>
        <v>100</v>
      </c>
      <c r="X11" s="1492"/>
      <c r="Y11" s="3270"/>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0"/>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0"/>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2" t="s">
        <v>1526</v>
      </c>
      <c r="Q14" s="912" t="str">
        <f t="shared" si="6"/>
        <v>交通便捷度</v>
      </c>
      <c r="R14" s="1494" t="s">
        <v>1515</v>
      </c>
      <c r="S14" s="1495">
        <f t="shared" si="0"/>
        <v>100</v>
      </c>
      <c r="T14" s="1494" t="s">
        <v>1515</v>
      </c>
      <c r="U14" s="1495">
        <f t="shared" si="1"/>
        <v>100</v>
      </c>
      <c r="V14" s="1494" t="s">
        <v>1515</v>
      </c>
      <c r="W14" s="1495">
        <f t="shared" si="2"/>
        <v>100</v>
      </c>
      <c r="X14" s="1489"/>
      <c r="Y14" s="3412"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3"/>
      <c r="Q15" s="912"/>
      <c r="R15" s="1494"/>
      <c r="S15" s="1495"/>
      <c r="T15" s="1494"/>
      <c r="U15" s="1495"/>
      <c r="V15" s="1494"/>
      <c r="W15" s="1495"/>
      <c r="X15" s="1489"/>
      <c r="Y15" s="3413"/>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3"/>
      <c r="Q16" s="912" t="str">
        <f>B16</f>
        <v>公共配套设施</v>
      </c>
      <c r="R16" s="1494" t="s">
        <v>1515</v>
      </c>
      <c r="S16" s="1495">
        <f>F16</f>
        <v>100</v>
      </c>
      <c r="T16" s="1494" t="s">
        <v>1515</v>
      </c>
      <c r="U16" s="1495">
        <f>H16</f>
        <v>100</v>
      </c>
      <c r="V16" s="1494" t="s">
        <v>1515</v>
      </c>
      <c r="W16" s="1495">
        <f>J16</f>
        <v>100</v>
      </c>
      <c r="X16" s="1489"/>
      <c r="Y16" s="3413"/>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3"/>
      <c r="Q17" s="912"/>
      <c r="R17" s="1494"/>
      <c r="S17" s="1495"/>
      <c r="T17" s="1494"/>
      <c r="U17" s="1495"/>
      <c r="V17" s="1494"/>
      <c r="W17" s="1495"/>
      <c r="X17" s="1489"/>
      <c r="Y17" s="3413"/>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3"/>
      <c r="Q18" s="912" t="str">
        <f>B18</f>
        <v>基础设施水平</v>
      </c>
      <c r="R18" s="1494" t="s">
        <v>1515</v>
      </c>
      <c r="S18" s="1495">
        <f>F18</f>
        <v>100</v>
      </c>
      <c r="T18" s="1494" t="s">
        <v>1515</v>
      </c>
      <c r="U18" s="1495">
        <f>H18</f>
        <v>100</v>
      </c>
      <c r="V18" s="1494" t="s">
        <v>1515</v>
      </c>
      <c r="W18" s="1495">
        <f>J18</f>
        <v>100</v>
      </c>
      <c r="X18" s="1489"/>
      <c r="Y18" s="3413"/>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3"/>
      <c r="Q19" s="912"/>
      <c r="R19" s="1494"/>
      <c r="S19" s="1495"/>
      <c r="T19" s="1494"/>
      <c r="U19" s="1495"/>
      <c r="V19" s="1494"/>
      <c r="W19" s="1495"/>
      <c r="X19" s="1489"/>
      <c r="Y19" s="3413"/>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3"/>
      <c r="Q20" s="912" t="str">
        <f>B20</f>
        <v>自然及人文环境</v>
      </c>
      <c r="R20" s="1494" t="s">
        <v>1515</v>
      </c>
      <c r="S20" s="1495">
        <f>F20</f>
        <v>100</v>
      </c>
      <c r="T20" s="1494" t="s">
        <v>1515</v>
      </c>
      <c r="U20" s="1495">
        <f>H20</f>
        <v>100</v>
      </c>
      <c r="V20" s="1494" t="s">
        <v>1515</v>
      </c>
      <c r="W20" s="1495">
        <f>J20</f>
        <v>100</v>
      </c>
      <c r="X20" s="1489"/>
      <c r="Y20" s="3413"/>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3"/>
      <c r="Q21" s="912"/>
      <c r="R21" s="1494"/>
      <c r="S21" s="1495"/>
      <c r="T21" s="1494"/>
      <c r="U21" s="1495"/>
      <c r="V21" s="1494"/>
      <c r="W21" s="1495"/>
      <c r="X21" s="1489"/>
      <c r="Y21" s="3413"/>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3"/>
      <c r="Q22" s="912" t="str">
        <f>B22</f>
        <v>楼层</v>
      </c>
      <c r="R22" s="1494" t="s">
        <v>1515</v>
      </c>
      <c r="S22" s="1495">
        <f>F22</f>
        <v>100</v>
      </c>
      <c r="T22" s="1494" t="s">
        <v>1515</v>
      </c>
      <c r="U22" s="1495">
        <f>H22</f>
        <v>100</v>
      </c>
      <c r="V22" s="1494" t="s">
        <v>1515</v>
      </c>
      <c r="W22" s="1495">
        <f>J22</f>
        <v>100</v>
      </c>
      <c r="X22" s="1489"/>
      <c r="Y22" s="3413"/>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3"/>
      <c r="Q23" s="912">
        <f>B23</f>
        <v>111</v>
      </c>
      <c r="R23" s="1494" t="s">
        <v>1515</v>
      </c>
      <c r="S23" s="1495">
        <f>F23</f>
        <v>100</v>
      </c>
      <c r="T23" s="1494" t="s">
        <v>1515</v>
      </c>
      <c r="U23" s="1495">
        <f>H23</f>
        <v>100</v>
      </c>
      <c r="V23" s="1494" t="s">
        <v>1515</v>
      </c>
      <c r="W23" s="1495">
        <f>J23</f>
        <v>100</v>
      </c>
      <c r="X23" s="1489"/>
      <c r="Y23" s="3413"/>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3"/>
      <c r="Q24" s="912">
        <f t="shared" ref="Q24:Q36" si="11">B24</f>
        <v>111</v>
      </c>
      <c r="R24" s="1494" t="s">
        <v>1515</v>
      </c>
      <c r="S24" s="1495">
        <f>F24</f>
        <v>100</v>
      </c>
      <c r="T24" s="1494" t="s">
        <v>1515</v>
      </c>
      <c r="U24" s="1495">
        <f>H24</f>
        <v>100</v>
      </c>
      <c r="V24" s="1494" t="s">
        <v>1515</v>
      </c>
      <c r="W24" s="1495">
        <f>J24</f>
        <v>100</v>
      </c>
      <c r="X24" s="1489"/>
      <c r="Y24" s="3413"/>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3"/>
      <c r="Q25" s="1080">
        <f t="shared" si="11"/>
        <v>111</v>
      </c>
      <c r="R25" s="1490" t="s">
        <v>1515</v>
      </c>
      <c r="S25" s="1491">
        <f>F25</f>
        <v>100</v>
      </c>
      <c r="T25" s="1490" t="s">
        <v>1515</v>
      </c>
      <c r="U25" s="1491">
        <f>H25</f>
        <v>100</v>
      </c>
      <c r="V25" s="1490" t="s">
        <v>1515</v>
      </c>
      <c r="W25" s="1491">
        <f>J25</f>
        <v>100</v>
      </c>
      <c r="X25" s="1492"/>
      <c r="Y25" s="3413"/>
      <c r="Z25" s="1501">
        <f>Q25</f>
        <v>111</v>
      </c>
      <c r="AA25" s="1479">
        <f t="shared" si="3"/>
        <v>1</v>
      </c>
      <c r="AB25" s="1479">
        <f t="shared" si="4"/>
        <v>1</v>
      </c>
      <c r="AC25" s="1479">
        <f t="shared" si="5"/>
        <v>1</v>
      </c>
    </row>
    <row r="26" spans="1:29" ht="30">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0"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14"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4"/>
      <c r="Q27" s="1689" t="str">
        <f t="shared" si="11"/>
        <v>项目停车位配比</v>
      </c>
      <c r="R27" s="1496" t="s">
        <v>1515</v>
      </c>
      <c r="S27" s="1497">
        <f t="shared" si="12"/>
        <v>100</v>
      </c>
      <c r="T27" s="1496" t="s">
        <v>1515</v>
      </c>
      <c r="U27" s="1497">
        <f t="shared" si="13"/>
        <v>100</v>
      </c>
      <c r="V27" s="1496" t="s">
        <v>1515</v>
      </c>
      <c r="W27" s="1497">
        <f t="shared" si="14"/>
        <v>100</v>
      </c>
      <c r="X27" s="1498"/>
      <c r="Y27" s="3414"/>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4"/>
      <c r="Q28" s="912" t="str">
        <f t="shared" si="11"/>
        <v>公共部分装修</v>
      </c>
      <c r="R28" s="1494" t="s">
        <v>1515</v>
      </c>
      <c r="S28" s="1495">
        <f t="shared" si="12"/>
        <v>100</v>
      </c>
      <c r="T28" s="1494" t="s">
        <v>1515</v>
      </c>
      <c r="U28" s="1495">
        <f t="shared" si="13"/>
        <v>100</v>
      </c>
      <c r="V28" s="1494" t="s">
        <v>1515</v>
      </c>
      <c r="W28" s="1495">
        <f t="shared" si="14"/>
        <v>100</v>
      </c>
      <c r="X28" s="1489"/>
      <c r="Y28" s="3414"/>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4"/>
      <c r="Q29" s="912" t="str">
        <f t="shared" si="11"/>
        <v>成新率</v>
      </c>
      <c r="R29" s="1494" t="s">
        <v>1515</v>
      </c>
      <c r="S29" s="1495" t="e">
        <f t="shared" si="12"/>
        <v>#N/A</v>
      </c>
      <c r="T29" s="1494" t="s">
        <v>1515</v>
      </c>
      <c r="U29" s="1495" t="e">
        <f t="shared" si="13"/>
        <v>#N/A</v>
      </c>
      <c r="V29" s="1494" t="s">
        <v>1515</v>
      </c>
      <c r="W29" s="1495" t="e">
        <f t="shared" si="14"/>
        <v>#N/A</v>
      </c>
      <c r="X29" s="1489"/>
      <c r="Y29" s="3414"/>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4"/>
      <c r="Q30" s="912" t="str">
        <f t="shared" si="11"/>
        <v>物业等级</v>
      </c>
      <c r="R30" s="1494" t="s">
        <v>1515</v>
      </c>
      <c r="S30" s="1495">
        <f t="shared" si="12"/>
        <v>100</v>
      </c>
      <c r="T30" s="1494" t="s">
        <v>1515</v>
      </c>
      <c r="U30" s="1495">
        <f t="shared" si="13"/>
        <v>100</v>
      </c>
      <c r="V30" s="1494" t="s">
        <v>1515</v>
      </c>
      <c r="W30" s="1495">
        <f t="shared" si="14"/>
        <v>100</v>
      </c>
      <c r="X30" s="1489"/>
      <c r="Y30" s="3414"/>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4"/>
      <c r="Q31" s="1080" t="str">
        <f t="shared" si="11"/>
        <v>停车位面积</v>
      </c>
      <c r="R31" s="1490" t="s">
        <v>1515</v>
      </c>
      <c r="S31" s="1491" t="e">
        <f t="shared" si="12"/>
        <v>#N/A</v>
      </c>
      <c r="T31" s="1490" t="s">
        <v>1515</v>
      </c>
      <c r="U31" s="1491" t="e">
        <f t="shared" si="13"/>
        <v>#N/A</v>
      </c>
      <c r="V31" s="1490" t="s">
        <v>1515</v>
      </c>
      <c r="W31" s="1491" t="e">
        <f t="shared" si="14"/>
        <v>#N/A</v>
      </c>
      <c r="X31" s="1492"/>
      <c r="Y31" s="3414"/>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4" t="s">
        <v>1535</v>
      </c>
      <c r="Q32" s="912" t="str">
        <f t="shared" si="11"/>
        <v>车位类型</v>
      </c>
      <c r="R32" s="1494" t="s">
        <v>1515</v>
      </c>
      <c r="S32" s="1495">
        <f t="shared" si="12"/>
        <v>100</v>
      </c>
      <c r="T32" s="1494" t="s">
        <v>1515</v>
      </c>
      <c r="U32" s="1495">
        <f t="shared" si="13"/>
        <v>100</v>
      </c>
      <c r="V32" s="1494" t="s">
        <v>1515</v>
      </c>
      <c r="W32" s="1495">
        <f t="shared" si="14"/>
        <v>100</v>
      </c>
      <c r="X32" s="1489"/>
      <c r="Y32" s="3414"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4"/>
      <c r="Q33" s="912" t="str">
        <f t="shared" si="11"/>
        <v>是否直接入户</v>
      </c>
      <c r="R33" s="1494" t="s">
        <v>1515</v>
      </c>
      <c r="S33" s="1495">
        <f t="shared" si="12"/>
        <v>100</v>
      </c>
      <c r="T33" s="1494" t="s">
        <v>1515</v>
      </c>
      <c r="U33" s="1495">
        <f t="shared" si="13"/>
        <v>100</v>
      </c>
      <c r="V33" s="1494" t="s">
        <v>1515</v>
      </c>
      <c r="W33" s="1495">
        <f t="shared" si="14"/>
        <v>100</v>
      </c>
      <c r="X33" s="1489"/>
      <c r="Y33" s="3414"/>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4"/>
      <c r="Q34" s="912">
        <f t="shared" si="11"/>
        <v>111</v>
      </c>
      <c r="R34" s="1494" t="s">
        <v>1515</v>
      </c>
      <c r="S34" s="1495">
        <f t="shared" si="12"/>
        <v>100</v>
      </c>
      <c r="T34" s="1494" t="s">
        <v>1515</v>
      </c>
      <c r="U34" s="1495">
        <f t="shared" si="13"/>
        <v>100</v>
      </c>
      <c r="V34" s="1494" t="s">
        <v>1515</v>
      </c>
      <c r="W34" s="1495">
        <f t="shared" si="14"/>
        <v>100</v>
      </c>
      <c r="X34" s="1489"/>
      <c r="Y34" s="3414"/>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4"/>
      <c r="Q35" s="1689">
        <f t="shared" si="11"/>
        <v>111</v>
      </c>
      <c r="R35" s="1496" t="s">
        <v>1515</v>
      </c>
      <c r="S35" s="1497">
        <f t="shared" si="12"/>
        <v>100</v>
      </c>
      <c r="T35" s="1496" t="s">
        <v>1515</v>
      </c>
      <c r="U35" s="1497">
        <f t="shared" si="13"/>
        <v>100</v>
      </c>
      <c r="V35" s="1496" t="s">
        <v>1515</v>
      </c>
      <c r="W35" s="1497">
        <f t="shared" si="14"/>
        <v>100</v>
      </c>
      <c r="X35" s="1498"/>
      <c r="Y35" s="3414"/>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4"/>
      <c r="Q36" s="912">
        <f t="shared" si="11"/>
        <v>111</v>
      </c>
      <c r="R36" s="1494" t="s">
        <v>1515</v>
      </c>
      <c r="S36" s="1495">
        <f t="shared" si="12"/>
        <v>100</v>
      </c>
      <c r="T36" s="1494" t="s">
        <v>1515</v>
      </c>
      <c r="U36" s="1495">
        <f t="shared" si="13"/>
        <v>100</v>
      </c>
      <c r="V36" s="1494" t="s">
        <v>1515</v>
      </c>
      <c r="W36" s="1495">
        <f t="shared" si="14"/>
        <v>100</v>
      </c>
      <c r="X36" s="1489"/>
      <c r="Y36" s="3414"/>
      <c r="Z36" s="1479">
        <f t="shared" si="15"/>
        <v>111</v>
      </c>
      <c r="AA36" s="1479">
        <f t="shared" si="3"/>
        <v>1</v>
      </c>
      <c r="AB36" s="1479">
        <f t="shared" si="4"/>
        <v>1</v>
      </c>
      <c r="AC36" s="1479">
        <f t="shared" si="5"/>
        <v>1</v>
      </c>
    </row>
    <row r="37" spans="1:29" ht="14.4">
      <c r="A37" s="1381" t="s">
        <v>1634</v>
      </c>
      <c r="B37" s="1727" t="s">
        <v>1635</v>
      </c>
      <c r="C37" s="1673" t="s">
        <v>124</v>
      </c>
      <c r="D37" s="1384"/>
      <c r="E37" s="1385"/>
      <c r="F37" s="1386"/>
      <c r="G37" s="1387"/>
      <c r="H37" s="1388"/>
      <c r="I37" s="1385"/>
      <c r="J37" s="1388"/>
      <c r="K37" s="1736"/>
      <c r="L37" s="1471"/>
      <c r="M37" s="1398"/>
      <c r="N37" s="1398"/>
      <c r="O37" s="1398"/>
      <c r="P37" s="3400" t="str">
        <f>A37</f>
        <v>成交单价</v>
      </c>
      <c r="Q37" s="3400"/>
      <c r="R37" s="3399">
        <f>E37</f>
        <v>0</v>
      </c>
      <c r="S37" s="3399"/>
      <c r="T37" s="3399">
        <f>G37</f>
        <v>0</v>
      </c>
      <c r="U37" s="3399"/>
      <c r="V37" s="3399">
        <f>I37</f>
        <v>0</v>
      </c>
      <c r="W37" s="3399"/>
      <c r="X37" s="1437"/>
      <c r="Y37" s="1503"/>
      <c r="Z37" s="1437"/>
      <c r="AA37" s="1437"/>
      <c r="AB37" s="1437"/>
      <c r="AC37" s="1437"/>
    </row>
    <row r="38" spans="1:29" ht="14.4">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0" t="str">
        <f>A38</f>
        <v>比较价值（元/平方米）</v>
      </c>
      <c r="Q38" s="3400"/>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1437"/>
      <c r="Y38" s="1437"/>
      <c r="Z38" s="1437"/>
      <c r="AA38" s="1437"/>
      <c r="AB38" s="1437"/>
      <c r="AC38" s="1437"/>
    </row>
    <row r="39" spans="1:29" ht="14.4">
      <c r="A39" s="1395" t="s">
        <v>1636</v>
      </c>
      <c r="B39" s="1396"/>
      <c r="C39" s="1308" t="e">
        <f>R39</f>
        <v>#DIV/0!</v>
      </c>
      <c r="D39" s="1308"/>
      <c r="E39" s="1308"/>
      <c r="F39" s="1308"/>
      <c r="G39" s="1308"/>
      <c r="H39" s="1308"/>
      <c r="I39" s="1308"/>
      <c r="J39" s="1308"/>
      <c r="K39" s="1737"/>
      <c r="L39" s="1471"/>
      <c r="M39" s="1398"/>
      <c r="N39" s="1398"/>
      <c r="O39" s="1398"/>
      <c r="P39" s="3401" t="str">
        <f>A39</f>
        <v>估价对象XX用房的比较价值（楼面单价，元/平方米）</v>
      </c>
      <c r="Q39" s="3402"/>
      <c r="R39" s="3451" t="e">
        <f>IF(F1="售价",ROUND(IF(D38="简单平均",AVERAGE(R38:W38),R38*F38+T38*H38+V38*J38),0),ROUND(IF(D38="简单平均",AVERAGE(R38:V38),R38*F38+T38*H38+V38*J38),1))</f>
        <v>#DIV/0!</v>
      </c>
      <c r="S39" s="3451"/>
      <c r="T39" s="3451"/>
      <c r="U39" s="3451"/>
      <c r="V39" s="3451"/>
      <c r="W39" s="3451"/>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6">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4.4">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4.4">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4.4">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ht="14.4">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8.8">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ht="14.4">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4.4">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4.4">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4.4">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4.4">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8.8">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4.4">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ht="14.4">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ht="14.4">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ht="14.4">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ht="14.4">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ht="14.4">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ht="14.4">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66" customWidth="1"/>
    <col min="2" max="16384" width="9" style="1166"/>
  </cols>
  <sheetData>
    <row r="1" spans="1:1" ht="22.8">
      <c r="A1" s="3139" t="s">
        <v>82</v>
      </c>
    </row>
    <row r="3" spans="1:1" ht="17.399999999999999">
      <c r="A3" s="3140" t="str">
        <f>项目基本情况!B5&amp;"："</f>
        <v>：</v>
      </c>
    </row>
    <row r="4" spans="1:1" ht="17.399999999999999">
      <c r="A4" s="3141" t="str">
        <f>"受贵公司委托，我公司对"&amp;项目基本情况!S1&amp;"进行了预评估。"</f>
        <v>受贵公司委托，我公司对北京市房地产抵押价值进行了预评估。</v>
      </c>
    </row>
    <row r="5" spans="1:1" ht="17.399999999999999">
      <c r="A5" s="3142" t="s">
        <v>83</v>
      </c>
    </row>
    <row r="6" spans="1:1" ht="17.399999999999999">
      <c r="A6" s="3143" t="s">
        <v>84</v>
      </c>
    </row>
    <row r="7" spans="1:1" ht="52.2">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估价对象为北京市房地产，为所有。根据《国有土地使用证》[]，估价对象（分摊）出让国有建设用地使用权面积为0平方米，建筑面积为115.43平方米。</v>
      </c>
    </row>
    <row r="8" spans="1:1" ht="54.6">
      <c r="A8" s="3144" t="s">
        <v>85</v>
      </c>
    </row>
    <row r="9" spans="1:1" ht="17.399999999999999">
      <c r="A9" s="3143" t="s">
        <v>86</v>
      </c>
    </row>
    <row r="10" spans="1:1" ht="52.2">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估价对象为北京市房地产,属开发建设的办公项目，该项目尚在开发建设中。根据《国有土地使用证》[]，估价对象（分摊）出让国有建设用地使用权面积为0平方米，规划建筑面积为115.43平方米。</v>
      </c>
    </row>
    <row r="11" spans="1:1" ht="72">
      <c r="A11" s="3144" t="s">
        <v>87</v>
      </c>
    </row>
    <row r="12" spans="1:1" ht="17.399999999999999">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0" t="s">
        <v>89</v>
      </c>
    </row>
    <row r="15" spans="1:1" ht="17.399999999999999">
      <c r="A15" s="3145" t="str">
        <f>TEXT(项目基本情况!D3,"yyyy年m月d日;;")&amp;IF(项目基本情况!D3=项目基本情况!B3,"（评估专业人员实地查勘之日）","")</f>
        <v>2025年8月13日（评估专业人员实地查勘之日）</v>
      </c>
    </row>
    <row r="16" spans="1:1" ht="17.399999999999999">
      <c r="A16" s="3140" t="s">
        <v>90</v>
      </c>
    </row>
    <row r="17" spans="1:1" ht="69.599999999999994">
      <c r="A17" s="3141" t="s">
        <v>91</v>
      </c>
    </row>
    <row r="18" spans="1:1" ht="69.59999999999999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1" t="str">
        <f>IF(项目基本情况!B9="房地产市场价值","——",IF(项目基本情况!E9="——","",定义!C57))</f>
        <v/>
      </c>
    </row>
    <row r="23" spans="1:1" ht="17.399999999999999">
      <c r="A23" s="3140" t="s">
        <v>92</v>
      </c>
    </row>
    <row r="24" spans="1:1" ht="17.399999999999999">
      <c r="A24" s="3115" t="str">
        <f>"本次评估采用的主估价方法为"&amp;结果表!K4&amp;"和"&amp;结果表!L4&amp;"。"</f>
        <v>本次评估采用的主估价方法为比较法和收益法。</v>
      </c>
    </row>
    <row r="25" spans="1:1" ht="17.399999999999999">
      <c r="A25" s="3115"/>
    </row>
    <row r="26" spans="1:1" ht="17.399999999999999">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1" customWidth="1"/>
    <col min="12" max="12" width="12.21875" style="1292"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85" t="s">
        <v>1503</v>
      </c>
      <c r="AC4" s="3384" t="s">
        <v>1504</v>
      </c>
    </row>
    <row r="5" spans="1:29">
      <c r="A5" s="1305"/>
      <c r="B5" s="1306"/>
      <c r="C5" s="3425" t="s">
        <v>1507</v>
      </c>
      <c r="D5" s="3426"/>
      <c r="E5" s="3427" t="s">
        <v>1508</v>
      </c>
      <c r="F5" s="3428"/>
      <c r="G5" s="3425" t="s">
        <v>1509</v>
      </c>
      <c r="H5" s="3426"/>
      <c r="I5" s="3425" t="s">
        <v>1510</v>
      </c>
      <c r="J5" s="3426"/>
      <c r="K5" s="1446"/>
      <c r="L5" s="1447"/>
      <c r="M5" s="1398"/>
      <c r="N5" s="1398"/>
      <c r="O5" s="1398"/>
      <c r="P5" s="3389"/>
      <c r="Q5" s="3390"/>
      <c r="R5" s="3395"/>
      <c r="S5" s="3396"/>
      <c r="T5" s="3395"/>
      <c r="U5" s="3396"/>
      <c r="V5" s="3399"/>
      <c r="W5" s="3399"/>
      <c r="X5" s="1489"/>
      <c r="Y5" s="3395"/>
      <c r="Z5" s="3396"/>
      <c r="AA5" s="3385"/>
      <c r="AB5" s="3385"/>
      <c r="AC5" s="3385"/>
    </row>
    <row r="6" spans="1:29" ht="14.4">
      <c r="A6" s="1307"/>
      <c r="B6" s="1308"/>
      <c r="C6" s="3416" t="s">
        <v>1511</v>
      </c>
      <c r="D6" s="3417"/>
      <c r="E6" s="3418" t="s">
        <v>1511</v>
      </c>
      <c r="F6" s="3419"/>
      <c r="G6" s="3416" t="s">
        <v>1511</v>
      </c>
      <c r="H6" s="3417"/>
      <c r="I6" s="3416" t="s">
        <v>1511</v>
      </c>
      <c r="J6" s="3417"/>
      <c r="K6" s="1446" t="s">
        <v>1512</v>
      </c>
      <c r="L6" s="1447"/>
      <c r="M6" s="1398"/>
      <c r="N6" s="1398"/>
      <c r="O6" s="1398"/>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4" t="s">
        <v>1514</v>
      </c>
      <c r="Q7" s="3420"/>
      <c r="R7" s="1490" t="s">
        <v>1515</v>
      </c>
      <c r="S7" s="1491">
        <f t="shared" ref="S7:S14" si="0">F7</f>
        <v>0</v>
      </c>
      <c r="T7" s="1490" t="s">
        <v>1515</v>
      </c>
      <c r="U7" s="1491">
        <f t="shared" ref="U7:U14" si="1">H7</f>
        <v>0</v>
      </c>
      <c r="V7" s="1490" t="s">
        <v>1515</v>
      </c>
      <c r="W7" s="1491">
        <f t="shared" ref="W7:W14" si="2">J7</f>
        <v>0</v>
      </c>
      <c r="X7" s="1492"/>
      <c r="Y7" s="3404" t="s">
        <v>1514</v>
      </c>
      <c r="Z7" s="3405"/>
      <c r="AA7" s="1501" t="e">
        <f>D7/F7</f>
        <v>#DIV/0!</v>
      </c>
      <c r="AB7" s="1501" t="e">
        <f>D7/H7</f>
        <v>#DIV/0!</v>
      </c>
      <c r="AC7" s="1501" t="e">
        <f>D7/J7</f>
        <v>#DIV/0!</v>
      </c>
    </row>
    <row r="8" spans="1:29" s="1284" customFormat="1" ht="14.4">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4" t="s">
        <v>1517</v>
      </c>
      <c r="Q8" s="3405"/>
      <c r="R8" s="1490" t="s">
        <v>1515</v>
      </c>
      <c r="S8" s="1491">
        <f t="shared" si="0"/>
        <v>100</v>
      </c>
      <c r="T8" s="1490" t="s">
        <v>1515</v>
      </c>
      <c r="U8" s="1491">
        <f t="shared" si="1"/>
        <v>100</v>
      </c>
      <c r="V8" s="1490" t="s">
        <v>1515</v>
      </c>
      <c r="W8" s="1491">
        <f t="shared" si="2"/>
        <v>100</v>
      </c>
      <c r="X8" s="1492"/>
      <c r="Y8" s="3404" t="s">
        <v>1517</v>
      </c>
      <c r="Z8" s="3405"/>
      <c r="AA8" s="1501">
        <f t="shared" ref="AA8:AA34" si="3">D8/F8</f>
        <v>1</v>
      </c>
      <c r="AB8" s="1501">
        <f t="shared" ref="AB8:AB34" si="4">D8/H8</f>
        <v>1</v>
      </c>
      <c r="AC8" s="1501">
        <f t="shared" ref="AC8:AC34" si="5">D8/J8</f>
        <v>1</v>
      </c>
    </row>
    <row r="9" spans="1:29" s="1284" customFormat="1" ht="14.4">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0" t="s">
        <v>1520</v>
      </c>
      <c r="Q9" s="1080" t="str">
        <f t="shared" ref="Q9:Q14" si="6">B9</f>
        <v>用途</v>
      </c>
      <c r="R9" s="1490" t="s">
        <v>1515</v>
      </c>
      <c r="S9" s="1491">
        <f t="shared" si="0"/>
        <v>100</v>
      </c>
      <c r="T9" s="1490" t="s">
        <v>1515</v>
      </c>
      <c r="U9" s="1491">
        <f t="shared" si="1"/>
        <v>100</v>
      </c>
      <c r="V9" s="1490" t="s">
        <v>1515</v>
      </c>
      <c r="W9" s="1491">
        <f t="shared" si="2"/>
        <v>100</v>
      </c>
      <c r="X9" s="1492"/>
      <c r="Y9" s="3270" t="s">
        <v>1521</v>
      </c>
      <c r="Z9" s="1501" t="str">
        <f t="shared" ref="Z9:Z14" si="7">Q9</f>
        <v>用途</v>
      </c>
      <c r="AA9" s="1501">
        <f t="shared" si="3"/>
        <v>1</v>
      </c>
      <c r="AB9" s="1501">
        <f t="shared" si="4"/>
        <v>1</v>
      </c>
      <c r="AC9" s="1501">
        <f t="shared" si="5"/>
        <v>1</v>
      </c>
    </row>
    <row r="10" spans="1:29" s="1285" customFormat="1" ht="28.8">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0"/>
      <c r="Q10" s="1080" t="str">
        <f t="shared" si="6"/>
        <v>土地使用年限（年）</v>
      </c>
      <c r="R10" s="1490" t="s">
        <v>1515</v>
      </c>
      <c r="S10" s="1491">
        <f t="shared" si="0"/>
        <v>100</v>
      </c>
      <c r="T10" s="1490" t="s">
        <v>1515</v>
      </c>
      <c r="U10" s="1491">
        <f t="shared" si="1"/>
        <v>100</v>
      </c>
      <c r="V10" s="1490" t="s">
        <v>1515</v>
      </c>
      <c r="W10" s="1491">
        <f t="shared" si="2"/>
        <v>100</v>
      </c>
      <c r="X10" s="1492"/>
      <c r="Y10" s="3270"/>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0"/>
      <c r="Q11" s="1080">
        <f t="shared" si="6"/>
        <v>111</v>
      </c>
      <c r="R11" s="1490" t="s">
        <v>1515</v>
      </c>
      <c r="S11" s="1491">
        <f t="shared" si="0"/>
        <v>100</v>
      </c>
      <c r="T11" s="1490" t="s">
        <v>1515</v>
      </c>
      <c r="U11" s="1491">
        <f t="shared" si="1"/>
        <v>100</v>
      </c>
      <c r="V11" s="1490" t="s">
        <v>1515</v>
      </c>
      <c r="W11" s="1491">
        <f t="shared" si="2"/>
        <v>100</v>
      </c>
      <c r="X11" s="1492"/>
      <c r="Y11" s="3270"/>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0"/>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0"/>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2" t="s">
        <v>1526</v>
      </c>
      <c r="Q14" s="912" t="str">
        <f t="shared" si="6"/>
        <v>交通便捷度</v>
      </c>
      <c r="R14" s="1494" t="s">
        <v>1515</v>
      </c>
      <c r="S14" s="1495">
        <f t="shared" si="0"/>
        <v>100</v>
      </c>
      <c r="T14" s="1494" t="s">
        <v>1515</v>
      </c>
      <c r="U14" s="1495">
        <f t="shared" si="1"/>
        <v>100</v>
      </c>
      <c r="V14" s="1494" t="s">
        <v>1515</v>
      </c>
      <c r="W14" s="1495">
        <f t="shared" si="2"/>
        <v>100</v>
      </c>
      <c r="X14" s="1489"/>
      <c r="Y14" s="3412"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3"/>
      <c r="Q15" s="912"/>
      <c r="R15" s="1494"/>
      <c r="S15" s="1495"/>
      <c r="T15" s="1494"/>
      <c r="U15" s="1495"/>
      <c r="V15" s="1494"/>
      <c r="W15" s="1495"/>
      <c r="X15" s="1489"/>
      <c r="Y15" s="3413"/>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3"/>
      <c r="Q16" s="912" t="str">
        <f>B16</f>
        <v>公共配套设施</v>
      </c>
      <c r="R16" s="1494" t="s">
        <v>1515</v>
      </c>
      <c r="S16" s="1495">
        <f>F16</f>
        <v>100</v>
      </c>
      <c r="T16" s="1494" t="s">
        <v>1515</v>
      </c>
      <c r="U16" s="1495">
        <f>H16</f>
        <v>100</v>
      </c>
      <c r="V16" s="1494" t="s">
        <v>1515</v>
      </c>
      <c r="W16" s="1495">
        <f>J16</f>
        <v>100</v>
      </c>
      <c r="X16" s="1489"/>
      <c r="Y16" s="3413"/>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3"/>
      <c r="Q17" s="912"/>
      <c r="R17" s="1494"/>
      <c r="S17" s="1495"/>
      <c r="T17" s="1494"/>
      <c r="U17" s="1495"/>
      <c r="V17" s="1494"/>
      <c r="W17" s="1495"/>
      <c r="X17" s="1489"/>
      <c r="Y17" s="3413"/>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3"/>
      <c r="Q18" s="912" t="str">
        <f>B18</f>
        <v>基础设施水平</v>
      </c>
      <c r="R18" s="1494" t="s">
        <v>1515</v>
      </c>
      <c r="S18" s="1495">
        <f>F18</f>
        <v>100</v>
      </c>
      <c r="T18" s="1494" t="s">
        <v>1515</v>
      </c>
      <c r="U18" s="1495">
        <f>H18</f>
        <v>100</v>
      </c>
      <c r="V18" s="1494" t="s">
        <v>1515</v>
      </c>
      <c r="W18" s="1495">
        <f>J18</f>
        <v>100</v>
      </c>
      <c r="X18" s="1489"/>
      <c r="Y18" s="3413"/>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3"/>
      <c r="Q19" s="912"/>
      <c r="R19" s="1494"/>
      <c r="S19" s="1495"/>
      <c r="T19" s="1494"/>
      <c r="U19" s="1495"/>
      <c r="V19" s="1494"/>
      <c r="W19" s="1495"/>
      <c r="X19" s="1489"/>
      <c r="Y19" s="3413"/>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3"/>
      <c r="Q20" s="912" t="str">
        <f>B20</f>
        <v>自然及人文环境</v>
      </c>
      <c r="R20" s="1494" t="s">
        <v>1515</v>
      </c>
      <c r="S20" s="1495">
        <f>F20</f>
        <v>100</v>
      </c>
      <c r="T20" s="1494" t="s">
        <v>1515</v>
      </c>
      <c r="U20" s="1495">
        <f>H20</f>
        <v>100</v>
      </c>
      <c r="V20" s="1494" t="s">
        <v>1515</v>
      </c>
      <c r="W20" s="1495">
        <f>J20</f>
        <v>100</v>
      </c>
      <c r="X20" s="1489"/>
      <c r="Y20" s="3413"/>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3"/>
      <c r="Q21" s="912"/>
      <c r="R21" s="1494"/>
      <c r="S21" s="1495"/>
      <c r="T21" s="1494"/>
      <c r="U21" s="1495"/>
      <c r="V21" s="1494"/>
      <c r="W21" s="1495"/>
      <c r="X21" s="1489"/>
      <c r="Y21" s="3413"/>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3"/>
      <c r="Q22" s="912" t="str">
        <f>B22</f>
        <v>楼层</v>
      </c>
      <c r="R22" s="1494" t="s">
        <v>1515</v>
      </c>
      <c r="S22" s="1495">
        <f>F22</f>
        <v>100</v>
      </c>
      <c r="T22" s="1494" t="s">
        <v>1515</v>
      </c>
      <c r="U22" s="1495">
        <f>H22</f>
        <v>100</v>
      </c>
      <c r="V22" s="1494" t="s">
        <v>1515</v>
      </c>
      <c r="W22" s="1495">
        <f>J22</f>
        <v>100</v>
      </c>
      <c r="X22" s="1489"/>
      <c r="Y22" s="3413"/>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3"/>
      <c r="Q23" s="912">
        <f>B23</f>
        <v>111</v>
      </c>
      <c r="R23" s="1494" t="s">
        <v>1515</v>
      </c>
      <c r="S23" s="1495">
        <f>F23</f>
        <v>100</v>
      </c>
      <c r="T23" s="1494" t="s">
        <v>1515</v>
      </c>
      <c r="U23" s="1495">
        <f>H23</f>
        <v>100</v>
      </c>
      <c r="V23" s="1494" t="s">
        <v>1515</v>
      </c>
      <c r="W23" s="1495">
        <f>J23</f>
        <v>100</v>
      </c>
      <c r="X23" s="1489"/>
      <c r="Y23" s="3413"/>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3"/>
      <c r="Q24" s="912">
        <f t="shared" ref="Q24:Q34" si="11">B24</f>
        <v>111</v>
      </c>
      <c r="R24" s="1494" t="s">
        <v>1515</v>
      </c>
      <c r="S24" s="1495">
        <f>F24</f>
        <v>100</v>
      </c>
      <c r="T24" s="1494" t="s">
        <v>1515</v>
      </c>
      <c r="U24" s="1495">
        <f>H24</f>
        <v>100</v>
      </c>
      <c r="V24" s="1494" t="s">
        <v>1515</v>
      </c>
      <c r="W24" s="1495">
        <f>J24</f>
        <v>100</v>
      </c>
      <c r="X24" s="1489"/>
      <c r="Y24" s="3413"/>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3"/>
      <c r="Q25" s="1080">
        <f t="shared" si="11"/>
        <v>111</v>
      </c>
      <c r="R25" s="1490" t="s">
        <v>1515</v>
      </c>
      <c r="S25" s="1491">
        <f>F25</f>
        <v>100</v>
      </c>
      <c r="T25" s="1490" t="s">
        <v>1515</v>
      </c>
      <c r="U25" s="1491">
        <f>H25</f>
        <v>100</v>
      </c>
      <c r="V25" s="1490" t="s">
        <v>1515</v>
      </c>
      <c r="W25" s="1491">
        <f>J25</f>
        <v>100</v>
      </c>
      <c r="X25" s="1492"/>
      <c r="Y25" s="3413"/>
      <c r="Z25" s="1501">
        <f>Q25</f>
        <v>111</v>
      </c>
      <c r="AA25" s="1479">
        <f t="shared" si="3"/>
        <v>1</v>
      </c>
      <c r="AB25" s="1479">
        <f t="shared" si="4"/>
        <v>1</v>
      </c>
      <c r="AC25" s="1479">
        <f t="shared" si="5"/>
        <v>1</v>
      </c>
    </row>
    <row r="26" spans="1:29" ht="30">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0"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14"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4"/>
      <c r="Q27" s="1689" t="str">
        <f t="shared" si="11"/>
        <v>成新率</v>
      </c>
      <c r="R27" s="1496" t="s">
        <v>1515</v>
      </c>
      <c r="S27" s="1497" t="e">
        <f t="shared" si="12"/>
        <v>#N/A</v>
      </c>
      <c r="T27" s="1496" t="s">
        <v>1515</v>
      </c>
      <c r="U27" s="1497" t="e">
        <f t="shared" si="13"/>
        <v>#N/A</v>
      </c>
      <c r="V27" s="1496" t="s">
        <v>1515</v>
      </c>
      <c r="W27" s="1497" t="e">
        <f t="shared" si="14"/>
        <v>#N/A</v>
      </c>
      <c r="X27" s="1498"/>
      <c r="Y27" s="3414"/>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4"/>
      <c r="Q28" s="912" t="str">
        <f t="shared" si="11"/>
        <v>物业等级</v>
      </c>
      <c r="R28" s="1494" t="s">
        <v>1515</v>
      </c>
      <c r="S28" s="1495">
        <f t="shared" si="12"/>
        <v>100</v>
      </c>
      <c r="T28" s="1494" t="s">
        <v>1515</v>
      </c>
      <c r="U28" s="1495">
        <f t="shared" si="13"/>
        <v>100</v>
      </c>
      <c r="V28" s="1494" t="s">
        <v>1515</v>
      </c>
      <c r="W28" s="1495">
        <f t="shared" si="14"/>
        <v>100</v>
      </c>
      <c r="X28" s="1489"/>
      <c r="Y28" s="3414"/>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4"/>
      <c r="Q29" s="912" t="str">
        <f t="shared" si="11"/>
        <v>有无电梯</v>
      </c>
      <c r="R29" s="1494" t="s">
        <v>1515</v>
      </c>
      <c r="S29" s="1495">
        <f t="shared" si="12"/>
        <v>100</v>
      </c>
      <c r="T29" s="1494" t="s">
        <v>1515</v>
      </c>
      <c r="U29" s="1495">
        <f t="shared" si="13"/>
        <v>100</v>
      </c>
      <c r="V29" s="1494" t="s">
        <v>1515</v>
      </c>
      <c r="W29" s="1495">
        <f t="shared" si="14"/>
        <v>100</v>
      </c>
      <c r="X29" s="1489"/>
      <c r="Y29" s="3414"/>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4"/>
      <c r="Q30" s="912" t="str">
        <f t="shared" si="11"/>
        <v>建筑面积</v>
      </c>
      <c r="R30" s="1494" t="s">
        <v>1515</v>
      </c>
      <c r="S30" s="1495" t="e">
        <f t="shared" si="12"/>
        <v>#N/A</v>
      </c>
      <c r="T30" s="1494" t="s">
        <v>1515</v>
      </c>
      <c r="U30" s="1495" t="e">
        <f t="shared" si="13"/>
        <v>#N/A</v>
      </c>
      <c r="V30" s="1494" t="s">
        <v>1515</v>
      </c>
      <c r="W30" s="1495" t="e">
        <f t="shared" si="14"/>
        <v>#N/A</v>
      </c>
      <c r="X30" s="1489"/>
      <c r="Y30" s="3414"/>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4"/>
      <c r="Q31" s="1080" t="str">
        <f t="shared" si="11"/>
        <v>是否封闭</v>
      </c>
      <c r="R31" s="1490" t="s">
        <v>1515</v>
      </c>
      <c r="S31" s="1491">
        <f t="shared" si="12"/>
        <v>100</v>
      </c>
      <c r="T31" s="1490" t="s">
        <v>1515</v>
      </c>
      <c r="U31" s="1491">
        <f t="shared" si="13"/>
        <v>100</v>
      </c>
      <c r="V31" s="1490" t="s">
        <v>1515</v>
      </c>
      <c r="W31" s="1491">
        <f t="shared" si="14"/>
        <v>100</v>
      </c>
      <c r="X31" s="1492"/>
      <c r="Y31" s="3414"/>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4" t="s">
        <v>1535</v>
      </c>
      <c r="Q32" s="912">
        <f t="shared" si="11"/>
        <v>111</v>
      </c>
      <c r="R32" s="1494" t="s">
        <v>1515</v>
      </c>
      <c r="S32" s="1495">
        <f t="shared" si="12"/>
        <v>100</v>
      </c>
      <c r="T32" s="1494" t="s">
        <v>1515</v>
      </c>
      <c r="U32" s="1495">
        <f t="shared" si="13"/>
        <v>100</v>
      </c>
      <c r="V32" s="1494" t="s">
        <v>1515</v>
      </c>
      <c r="W32" s="1495">
        <f t="shared" si="14"/>
        <v>100</v>
      </c>
      <c r="X32" s="1489"/>
      <c r="Y32" s="3414"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4"/>
      <c r="Q33" s="912">
        <f t="shared" si="11"/>
        <v>111</v>
      </c>
      <c r="R33" s="1494" t="s">
        <v>1515</v>
      </c>
      <c r="S33" s="1495">
        <f t="shared" si="12"/>
        <v>100</v>
      </c>
      <c r="T33" s="1494" t="s">
        <v>1515</v>
      </c>
      <c r="U33" s="1495">
        <f t="shared" si="13"/>
        <v>100</v>
      </c>
      <c r="V33" s="1494" t="s">
        <v>1515</v>
      </c>
      <c r="W33" s="1495">
        <f t="shared" si="14"/>
        <v>100</v>
      </c>
      <c r="X33" s="1489"/>
      <c r="Y33" s="3414"/>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4"/>
      <c r="Q34" s="912">
        <f t="shared" si="11"/>
        <v>111</v>
      </c>
      <c r="R34" s="1494" t="s">
        <v>1515</v>
      </c>
      <c r="S34" s="1495">
        <f t="shared" si="12"/>
        <v>100</v>
      </c>
      <c r="T34" s="1494" t="s">
        <v>1515</v>
      </c>
      <c r="U34" s="1495">
        <f t="shared" si="13"/>
        <v>100</v>
      </c>
      <c r="V34" s="1494" t="s">
        <v>1515</v>
      </c>
      <c r="W34" s="1495">
        <f t="shared" si="14"/>
        <v>100</v>
      </c>
      <c r="X34" s="1489"/>
      <c r="Y34" s="3414"/>
      <c r="Z34" s="1479">
        <f t="shared" si="15"/>
        <v>111</v>
      </c>
      <c r="AA34" s="1479">
        <f t="shared" si="3"/>
        <v>1</v>
      </c>
      <c r="AB34" s="1479">
        <f t="shared" si="4"/>
        <v>1</v>
      </c>
      <c r="AC34" s="1479">
        <f t="shared" si="5"/>
        <v>1</v>
      </c>
    </row>
    <row r="35" spans="1:30" ht="14.4">
      <c r="A35" s="1381" t="s">
        <v>1546</v>
      </c>
      <c r="B35" s="1672"/>
      <c r="C35" s="1673" t="s">
        <v>124</v>
      </c>
      <c r="D35" s="1384"/>
      <c r="E35" s="1385"/>
      <c r="F35" s="1386"/>
      <c r="G35" s="1387"/>
      <c r="H35" s="1388"/>
      <c r="I35" s="1385"/>
      <c r="J35" s="1388"/>
      <c r="K35" s="1470"/>
      <c r="L35" s="1471"/>
      <c r="M35" s="1398"/>
      <c r="N35" s="1398"/>
      <c r="O35" s="1398"/>
      <c r="P35" s="3400" t="str">
        <f>A35</f>
        <v>成交单价（元/平方米）</v>
      </c>
      <c r="Q35" s="3400"/>
      <c r="R35" s="3399">
        <f>E35</f>
        <v>0</v>
      </c>
      <c r="S35" s="3399"/>
      <c r="T35" s="3399">
        <f>G35</f>
        <v>0</v>
      </c>
      <c r="U35" s="3399"/>
      <c r="V35" s="3399">
        <f>I35</f>
        <v>0</v>
      </c>
      <c r="W35" s="3399"/>
      <c r="X35" s="1437"/>
      <c r="Y35" s="1503"/>
      <c r="Z35" s="1437"/>
      <c r="AA35" s="1437"/>
      <c r="AB35" s="1437"/>
      <c r="AC35" s="1437"/>
    </row>
    <row r="36" spans="1:30" ht="14.4">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0" t="str">
        <f>A36</f>
        <v>比较价值（元/平方米）</v>
      </c>
      <c r="Q36" s="3400"/>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1437"/>
      <c r="Y36" s="1437"/>
      <c r="Z36" s="1437"/>
      <c r="AA36" s="1437"/>
      <c r="AB36" s="1437"/>
      <c r="AC36" s="1437"/>
    </row>
    <row r="37" spans="1:30" ht="14.4">
      <c r="A37" s="1395" t="s">
        <v>1549</v>
      </c>
      <c r="B37" s="1396"/>
      <c r="C37" s="1308" t="e">
        <f>R37</f>
        <v>#DIV/0!</v>
      </c>
      <c r="D37" s="1308"/>
      <c r="E37" s="1308"/>
      <c r="F37" s="1308"/>
      <c r="G37" s="1308"/>
      <c r="H37" s="1308"/>
      <c r="I37" s="1308"/>
      <c r="J37" s="1308"/>
      <c r="K37" s="1473"/>
      <c r="L37" s="1471"/>
      <c r="M37" s="1398"/>
      <c r="N37" s="1398"/>
      <c r="O37" s="1398"/>
      <c r="P37" s="3401" t="str">
        <f>A37</f>
        <v>估价对象XX用房的比较价值（楼面单价，元/平方米）</v>
      </c>
      <c r="Q37" s="3402"/>
      <c r="R37" s="3451" t="e">
        <f>IF(F1="售价",ROUND(IF(D36="简单平均",AVERAGE(R36:W36),R36*F36+T36*H36+V36*J36),0),ROUND(IF(D36="简单平均",AVERAGE(R36:V36),R36*F36+T36*H36+V36*J36),1))</f>
        <v>#DIV/0!</v>
      </c>
      <c r="S37" s="3451"/>
      <c r="T37" s="3451"/>
      <c r="U37" s="3451"/>
      <c r="V37" s="3451"/>
      <c r="W37" s="3451"/>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6">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4.4">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4.4">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4.4">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ht="14.4">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8.8">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ht="14.4">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8.8">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4.4">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4.4">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4.4">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ht="14.4">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4.4">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ht="14.4">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ht="14.4">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ht="14.4">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ht="14.4">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3.8"/>
  <cols>
    <col min="1" max="1" width="14.33203125" style="1290" customWidth="1"/>
    <col min="2" max="2" width="15.77734375" style="1290" customWidth="1"/>
    <col min="3" max="3" width="14.33203125" style="1290" customWidth="1"/>
    <col min="4" max="4" width="14.1093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1" customWidth="1"/>
    <col min="12" max="12" width="12.21875" style="1292"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85" t="s">
        <v>1503</v>
      </c>
      <c r="AC4" s="3384" t="s">
        <v>1504</v>
      </c>
    </row>
    <row r="5" spans="1:29">
      <c r="A5" s="1305"/>
      <c r="B5" s="1306"/>
      <c r="C5" s="3425" t="s">
        <v>1507</v>
      </c>
      <c r="D5" s="3426"/>
      <c r="E5" s="3427" t="s">
        <v>1508</v>
      </c>
      <c r="F5" s="3428"/>
      <c r="G5" s="3425" t="s">
        <v>1509</v>
      </c>
      <c r="H5" s="3426"/>
      <c r="I5" s="3425" t="s">
        <v>1510</v>
      </c>
      <c r="J5" s="3426"/>
      <c r="K5" s="1446"/>
      <c r="L5" s="1447"/>
      <c r="M5" s="1398"/>
      <c r="N5" s="1398"/>
      <c r="O5" s="1398"/>
      <c r="P5" s="3389"/>
      <c r="Q5" s="3390"/>
      <c r="R5" s="3395"/>
      <c r="S5" s="3396"/>
      <c r="T5" s="3395"/>
      <c r="U5" s="3396"/>
      <c r="V5" s="3399"/>
      <c r="W5" s="3399"/>
      <c r="X5" s="1489"/>
      <c r="Y5" s="3395"/>
      <c r="Z5" s="3396"/>
      <c r="AA5" s="3385"/>
      <c r="AB5" s="3385"/>
      <c r="AC5" s="3385"/>
    </row>
    <row r="6" spans="1:29" ht="14.4">
      <c r="A6" s="1307"/>
      <c r="B6" s="1308"/>
      <c r="C6" s="3416" t="s">
        <v>1511</v>
      </c>
      <c r="D6" s="3417"/>
      <c r="E6" s="3418" t="s">
        <v>1511</v>
      </c>
      <c r="F6" s="3419"/>
      <c r="G6" s="3416" t="s">
        <v>1511</v>
      </c>
      <c r="H6" s="3417"/>
      <c r="I6" s="3416" t="s">
        <v>1511</v>
      </c>
      <c r="J6" s="3417"/>
      <c r="K6" s="1446" t="s">
        <v>1512</v>
      </c>
      <c r="L6" s="1447"/>
      <c r="M6" s="1398"/>
      <c r="N6" s="1398"/>
      <c r="O6" s="1398"/>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4" t="s">
        <v>1514</v>
      </c>
      <c r="Q7" s="3420"/>
      <c r="R7" s="1490" t="s">
        <v>1515</v>
      </c>
      <c r="S7" s="1491">
        <f t="shared" ref="S7:S15" si="0">F7</f>
        <v>0</v>
      </c>
      <c r="T7" s="1490" t="s">
        <v>1515</v>
      </c>
      <c r="U7" s="1491">
        <f t="shared" ref="U7:U15" si="1">H7</f>
        <v>0</v>
      </c>
      <c r="V7" s="1490" t="s">
        <v>1515</v>
      </c>
      <c r="W7" s="1491">
        <f t="shared" ref="W7:W15" si="2">J7</f>
        <v>0</v>
      </c>
      <c r="X7" s="1492"/>
      <c r="Y7" s="3404" t="s">
        <v>1514</v>
      </c>
      <c r="Z7" s="3405"/>
      <c r="AA7" s="1501" t="e">
        <f>D7/F7</f>
        <v>#DIV/0!</v>
      </c>
      <c r="AB7" s="1501" t="e">
        <f>D7/H7</f>
        <v>#DIV/0!</v>
      </c>
      <c r="AC7" s="1501" t="e">
        <f>D7/J7</f>
        <v>#DIV/0!</v>
      </c>
    </row>
    <row r="8" spans="1:29" s="1284" customFormat="1" ht="14.4">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4" t="s">
        <v>1517</v>
      </c>
      <c r="Q8" s="3405"/>
      <c r="R8" s="1490" t="s">
        <v>1515</v>
      </c>
      <c r="S8" s="1491">
        <f t="shared" si="0"/>
        <v>0</v>
      </c>
      <c r="T8" s="1490" t="s">
        <v>1515</v>
      </c>
      <c r="U8" s="1491">
        <f t="shared" si="1"/>
        <v>0</v>
      </c>
      <c r="V8" s="1490" t="s">
        <v>1515</v>
      </c>
      <c r="W8" s="1491">
        <f t="shared" si="2"/>
        <v>0</v>
      </c>
      <c r="X8" s="1492"/>
      <c r="Y8" s="3404" t="s">
        <v>1517</v>
      </c>
      <c r="Z8" s="3405"/>
      <c r="AA8" s="1501" t="e">
        <f t="shared" ref="AA8:AA45" si="3">D8/F8</f>
        <v>#DIV/0!</v>
      </c>
      <c r="AB8" s="1501" t="e">
        <f t="shared" ref="AB8:AB45" si="4">D8/H8</f>
        <v>#DIV/0!</v>
      </c>
      <c r="AC8" s="1501" t="e">
        <f t="shared" ref="AC8:AC45" si="5">D8/J8</f>
        <v>#DIV/0!</v>
      </c>
    </row>
    <row r="9" spans="1:29" s="1284" customFormat="1" ht="14.4">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0"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501">
        <f t="shared" si="5"/>
        <v>1</v>
      </c>
    </row>
    <row r="10" spans="1:29" s="1285" customFormat="1" ht="28.8">
      <c r="A10" s="1321"/>
      <c r="B10" s="1322" t="s">
        <v>1522</v>
      </c>
      <c r="C10" s="1323"/>
      <c r="D10" s="1324">
        <v>100</v>
      </c>
      <c r="E10" s="1607"/>
      <c r="F10" s="1324">
        <f>ROUND(100/'数据-取费表'!G16,0)</f>
        <v>110</v>
      </c>
      <c r="G10" s="1608"/>
      <c r="H10" s="1324">
        <f>ROUND(100/'数据-取费表'!G16,0)</f>
        <v>110</v>
      </c>
      <c r="I10" s="1608"/>
      <c r="J10" s="1324">
        <f>ROUND(100/'数据-取费表'!G16,0)</f>
        <v>110</v>
      </c>
      <c r="K10" s="1452"/>
      <c r="L10" s="1453"/>
      <c r="M10" s="1454"/>
      <c r="N10" s="1454"/>
      <c r="O10" s="1455"/>
      <c r="P10" s="3400"/>
      <c r="Q10" s="1080" t="str">
        <f t="shared" si="6"/>
        <v>土地使用年限（年）</v>
      </c>
      <c r="R10" s="1490" t="s">
        <v>1515</v>
      </c>
      <c r="S10" s="1491">
        <f t="shared" si="0"/>
        <v>110</v>
      </c>
      <c r="T10" s="1490" t="s">
        <v>1515</v>
      </c>
      <c r="U10" s="1491">
        <f t="shared" si="1"/>
        <v>110</v>
      </c>
      <c r="V10" s="1490" t="s">
        <v>1515</v>
      </c>
      <c r="W10" s="1491">
        <f t="shared" si="2"/>
        <v>110</v>
      </c>
      <c r="X10" s="1492"/>
      <c r="Y10" s="3270"/>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0"/>
      <c r="Q11" s="1080" t="str">
        <f t="shared" si="6"/>
        <v>容积率</v>
      </c>
      <c r="R11" s="1490" t="s">
        <v>1515</v>
      </c>
      <c r="S11" s="1491" t="e">
        <f t="shared" si="0"/>
        <v>#N/A</v>
      </c>
      <c r="T11" s="1490" t="s">
        <v>1515</v>
      </c>
      <c r="U11" s="1491" t="e">
        <f t="shared" si="1"/>
        <v>#N/A</v>
      </c>
      <c r="V11" s="1490" t="s">
        <v>1515</v>
      </c>
      <c r="W11" s="1491" t="e">
        <f t="shared" si="2"/>
        <v>#N/A</v>
      </c>
      <c r="X11" s="1492"/>
      <c r="Y11" s="3270"/>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0"/>
      <c r="Q12" s="1080" t="str">
        <f t="shared" si="6"/>
        <v>配建</v>
      </c>
      <c r="R12" s="1490" t="s">
        <v>1515</v>
      </c>
      <c r="S12" s="1491">
        <f t="shared" si="0"/>
        <v>100</v>
      </c>
      <c r="T12" s="1490" t="s">
        <v>1515</v>
      </c>
      <c r="U12" s="1491">
        <f t="shared" si="1"/>
        <v>100</v>
      </c>
      <c r="V12" s="1490" t="s">
        <v>1515</v>
      </c>
      <c r="W12" s="1491">
        <f t="shared" si="2"/>
        <v>100</v>
      </c>
      <c r="X12" s="1492"/>
      <c r="Y12" s="3270"/>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0"/>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0"/>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2" t="s">
        <v>1526</v>
      </c>
      <c r="Q15" s="912" t="str">
        <f t="shared" si="6"/>
        <v>居住社区成熟度</v>
      </c>
      <c r="R15" s="1494" t="s">
        <v>1515</v>
      </c>
      <c r="S15" s="1495">
        <f t="shared" si="0"/>
        <v>100</v>
      </c>
      <c r="T15" s="1494" t="s">
        <v>1515</v>
      </c>
      <c r="U15" s="1495">
        <f t="shared" si="1"/>
        <v>100</v>
      </c>
      <c r="V15" s="1494" t="s">
        <v>1515</v>
      </c>
      <c r="W15" s="1495">
        <f t="shared" si="2"/>
        <v>100</v>
      </c>
      <c r="X15" s="1489"/>
      <c r="Y15" s="3412"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3"/>
      <c r="Q16" s="912"/>
      <c r="R16" s="1494"/>
      <c r="S16" s="1495"/>
      <c r="T16" s="1494"/>
      <c r="U16" s="1495"/>
      <c r="V16" s="1494"/>
      <c r="W16" s="1495"/>
      <c r="X16" s="1489"/>
      <c r="Y16" s="3413"/>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3"/>
      <c r="Q17" s="912" t="str">
        <f>B17</f>
        <v>商业繁华度</v>
      </c>
      <c r="R17" s="1494" t="s">
        <v>1515</v>
      </c>
      <c r="S17" s="1495">
        <f>F17</f>
        <v>100</v>
      </c>
      <c r="T17" s="1494" t="s">
        <v>1515</v>
      </c>
      <c r="U17" s="1495">
        <f>H17</f>
        <v>100</v>
      </c>
      <c r="V17" s="1494" t="s">
        <v>1515</v>
      </c>
      <c r="W17" s="1495">
        <f>J17</f>
        <v>100</v>
      </c>
      <c r="X17" s="1489"/>
      <c r="Y17" s="3413"/>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3"/>
      <c r="Q18" s="912"/>
      <c r="R18" s="1494"/>
      <c r="S18" s="1495"/>
      <c r="T18" s="1494"/>
      <c r="U18" s="1495"/>
      <c r="V18" s="1494"/>
      <c r="W18" s="1495"/>
      <c r="X18" s="1489"/>
      <c r="Y18" s="3413"/>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3"/>
      <c r="Q19" s="912" t="str">
        <f>B19</f>
        <v>办公集聚程度</v>
      </c>
      <c r="R19" s="1494" t="s">
        <v>1515</v>
      </c>
      <c r="S19" s="1495">
        <f>F19</f>
        <v>100</v>
      </c>
      <c r="T19" s="1494" t="s">
        <v>1515</v>
      </c>
      <c r="U19" s="1495">
        <f>H19</f>
        <v>100</v>
      </c>
      <c r="V19" s="1494" t="s">
        <v>1515</v>
      </c>
      <c r="W19" s="1495">
        <f>J19</f>
        <v>100</v>
      </c>
      <c r="X19" s="1489"/>
      <c r="Y19" s="3413"/>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3"/>
      <c r="Q20" s="912"/>
      <c r="R20" s="1494"/>
      <c r="S20" s="1495"/>
      <c r="T20" s="1494"/>
      <c r="U20" s="1495"/>
      <c r="V20" s="1494"/>
      <c r="W20" s="1495"/>
      <c r="X20" s="1489"/>
      <c r="Y20" s="3413"/>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3"/>
      <c r="Q21" s="912" t="str">
        <f>B21</f>
        <v>交通便捷度</v>
      </c>
      <c r="R21" s="1494" t="s">
        <v>1515</v>
      </c>
      <c r="S21" s="1495">
        <f>F21</f>
        <v>100</v>
      </c>
      <c r="T21" s="1494" t="s">
        <v>1515</v>
      </c>
      <c r="U21" s="1495">
        <f>H21</f>
        <v>100</v>
      </c>
      <c r="V21" s="1494" t="s">
        <v>1515</v>
      </c>
      <c r="W21" s="1495">
        <f>J21</f>
        <v>100</v>
      </c>
      <c r="X21" s="1489"/>
      <c r="Y21" s="3413"/>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3"/>
      <c r="Q22" s="912"/>
      <c r="R22" s="1494"/>
      <c r="S22" s="1495"/>
      <c r="T22" s="1494"/>
      <c r="U22" s="1495"/>
      <c r="V22" s="1494"/>
      <c r="W22" s="1495"/>
      <c r="X22" s="1489"/>
      <c r="Y22" s="3413"/>
      <c r="Z22" s="1479"/>
      <c r="AA22" s="1479">
        <v>1</v>
      </c>
      <c r="AB22" s="1479">
        <v>1</v>
      </c>
      <c r="AC22" s="1479">
        <v>1</v>
      </c>
    </row>
    <row r="23" spans="1:29" ht="28.8">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3"/>
      <c r="Q23" s="912" t="str">
        <f t="shared" ref="Q23:Q38" si="8">B23</f>
        <v>区域土地利用方向</v>
      </c>
      <c r="R23" s="1494" t="s">
        <v>1515</v>
      </c>
      <c r="S23" s="1495">
        <f>F23</f>
        <v>100</v>
      </c>
      <c r="T23" s="1494" t="s">
        <v>1515</v>
      </c>
      <c r="U23" s="1495">
        <f>H23</f>
        <v>100</v>
      </c>
      <c r="V23" s="1494" t="s">
        <v>1515</v>
      </c>
      <c r="W23" s="1495">
        <f>J23</f>
        <v>100</v>
      </c>
      <c r="X23" s="1489"/>
      <c r="Y23" s="3413"/>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3"/>
      <c r="Q24" s="912"/>
      <c r="R24" s="1494"/>
      <c r="S24" s="1495"/>
      <c r="T24" s="1494"/>
      <c r="U24" s="1495"/>
      <c r="V24" s="1494"/>
      <c r="W24" s="1495"/>
      <c r="X24" s="1489"/>
      <c r="Y24" s="3413"/>
      <c r="Z24" s="1479"/>
      <c r="AA24" s="1479"/>
      <c r="AB24" s="1479"/>
      <c r="AC24" s="1479"/>
    </row>
    <row r="25" spans="1:29" ht="28.8">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3"/>
      <c r="Q25" s="912" t="str">
        <f t="shared" si="8"/>
        <v>自然及人文环境状况</v>
      </c>
      <c r="R25" s="1494" t="s">
        <v>1515</v>
      </c>
      <c r="S25" s="1495">
        <f>F25</f>
        <v>100</v>
      </c>
      <c r="T25" s="1494" t="s">
        <v>1515</v>
      </c>
      <c r="U25" s="1495">
        <f>H25</f>
        <v>100</v>
      </c>
      <c r="V25" s="1494" t="s">
        <v>1515</v>
      </c>
      <c r="W25" s="1495">
        <f>J25</f>
        <v>100</v>
      </c>
      <c r="X25" s="1489"/>
      <c r="Y25" s="3413"/>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3"/>
      <c r="Q26" s="912"/>
      <c r="R26" s="1494"/>
      <c r="S26" s="1495"/>
      <c r="T26" s="1494"/>
      <c r="U26" s="1495"/>
      <c r="V26" s="1494"/>
      <c r="W26" s="1495"/>
      <c r="X26" s="1489"/>
      <c r="Y26" s="3413"/>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3"/>
      <c r="Q27" s="1080" t="str">
        <f t="shared" si="8"/>
        <v>公共配套设施</v>
      </c>
      <c r="R27" s="1490" t="s">
        <v>1515</v>
      </c>
      <c r="S27" s="1491">
        <f>F27</f>
        <v>100</v>
      </c>
      <c r="T27" s="1490" t="s">
        <v>1515</v>
      </c>
      <c r="U27" s="1491">
        <f>H27</f>
        <v>100</v>
      </c>
      <c r="V27" s="1490" t="s">
        <v>1515</v>
      </c>
      <c r="W27" s="1491">
        <f>J27</f>
        <v>100</v>
      </c>
      <c r="X27" s="1492"/>
      <c r="Y27" s="3413"/>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3"/>
      <c r="Q28" s="1080"/>
      <c r="R28" s="1490"/>
      <c r="S28" s="1491"/>
      <c r="T28" s="1490"/>
      <c r="U28" s="1491"/>
      <c r="V28" s="1490"/>
      <c r="W28" s="1491"/>
      <c r="X28" s="1492"/>
      <c r="Y28" s="3413"/>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3"/>
      <c r="Q29" s="1080" t="str">
        <f t="shared" ref="Q29" si="9">B29</f>
        <v>基础设施水平</v>
      </c>
      <c r="R29" s="1490" t="s">
        <v>1515</v>
      </c>
      <c r="S29" s="1491">
        <f>F29</f>
        <v>100</v>
      </c>
      <c r="T29" s="1490" t="s">
        <v>1515</v>
      </c>
      <c r="U29" s="1491">
        <f>H29</f>
        <v>100</v>
      </c>
      <c r="V29" s="1490" t="s">
        <v>1515</v>
      </c>
      <c r="W29" s="1491">
        <f>J29</f>
        <v>100</v>
      </c>
      <c r="X29" s="1492"/>
      <c r="Y29" s="3413"/>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3"/>
      <c r="Q30" s="1080"/>
      <c r="R30" s="1490"/>
      <c r="S30" s="1491"/>
      <c r="T30" s="1490"/>
      <c r="U30" s="1491"/>
      <c r="V30" s="1490"/>
      <c r="W30" s="1491"/>
      <c r="X30" s="1492"/>
      <c r="Y30" s="3413"/>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3"/>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3"/>
      <c r="Z31" s="1479" t="str">
        <f t="shared" ref="Z31:Z45" si="13">Q31</f>
        <v>临街状况</v>
      </c>
      <c r="AA31" s="1479">
        <f t="shared" si="3"/>
        <v>1</v>
      </c>
      <c r="AB31" s="1479">
        <f t="shared" si="4"/>
        <v>1</v>
      </c>
      <c r="AC31" s="1479">
        <f t="shared" si="5"/>
        <v>1</v>
      </c>
    </row>
    <row r="32" spans="1:29" ht="28.8">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3"/>
      <c r="Q32" s="912" t="str">
        <f t="shared" si="8"/>
        <v>毗邻道路的类型与等级</v>
      </c>
      <c r="R32" s="1494" t="s">
        <v>1515</v>
      </c>
      <c r="S32" s="1495">
        <f t="shared" si="10"/>
        <v>100</v>
      </c>
      <c r="T32" s="1494" t="s">
        <v>1515</v>
      </c>
      <c r="U32" s="1495">
        <f t="shared" si="11"/>
        <v>100</v>
      </c>
      <c r="V32" s="1494" t="s">
        <v>1515</v>
      </c>
      <c r="W32" s="1495">
        <f t="shared" si="12"/>
        <v>100</v>
      </c>
      <c r="X32" s="1489"/>
      <c r="Y32" s="3413"/>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3"/>
      <c r="Q33" s="912"/>
      <c r="R33" s="1494"/>
      <c r="S33" s="1495"/>
      <c r="T33" s="1494"/>
      <c r="U33" s="1495"/>
      <c r="V33" s="1494"/>
      <c r="W33" s="1495"/>
      <c r="X33" s="1489"/>
      <c r="Y33" s="3413"/>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3"/>
      <c r="Q34" s="912" t="str">
        <f t="shared" si="8"/>
        <v>土地级别</v>
      </c>
      <c r="R34" s="1494" t="s">
        <v>1515</v>
      </c>
      <c r="S34" s="1495">
        <f t="shared" si="10"/>
        <v>100</v>
      </c>
      <c r="T34" s="1494" t="s">
        <v>1515</v>
      </c>
      <c r="U34" s="1495">
        <f t="shared" si="11"/>
        <v>100</v>
      </c>
      <c r="V34" s="1494" t="s">
        <v>1515</v>
      </c>
      <c r="W34" s="1495">
        <f t="shared" si="12"/>
        <v>100</v>
      </c>
      <c r="X34" s="1489"/>
      <c r="Y34" s="3413"/>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3"/>
      <c r="Q35" s="912">
        <f t="shared" si="8"/>
        <v>111</v>
      </c>
      <c r="R35" s="1494" t="s">
        <v>1515</v>
      </c>
      <c r="S35" s="1495">
        <f t="shared" si="10"/>
        <v>100</v>
      </c>
      <c r="T35" s="1494" t="s">
        <v>1515</v>
      </c>
      <c r="U35" s="1495">
        <f t="shared" si="11"/>
        <v>100</v>
      </c>
      <c r="V35" s="1494" t="s">
        <v>1515</v>
      </c>
      <c r="W35" s="1495">
        <f t="shared" si="12"/>
        <v>100</v>
      </c>
      <c r="X35" s="1489"/>
      <c r="Y35" s="3413"/>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0" t="s">
        <v>1535</v>
      </c>
      <c r="Q36" s="912">
        <f t="shared" si="8"/>
        <v>111</v>
      </c>
      <c r="R36" s="1494" t="s">
        <v>1515</v>
      </c>
      <c r="S36" s="1495">
        <f t="shared" si="10"/>
        <v>100</v>
      </c>
      <c r="T36" s="1494" t="s">
        <v>1515</v>
      </c>
      <c r="U36" s="1495">
        <f t="shared" si="11"/>
        <v>100</v>
      </c>
      <c r="V36" s="1494" t="s">
        <v>1515</v>
      </c>
      <c r="W36" s="1495">
        <f t="shared" si="12"/>
        <v>100</v>
      </c>
      <c r="X36" s="1489"/>
      <c r="Y36" s="3414"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4"/>
      <c r="Q37" s="912">
        <f t="shared" si="8"/>
        <v>111</v>
      </c>
      <c r="R37" s="1496" t="s">
        <v>1515</v>
      </c>
      <c r="S37" s="1497">
        <f t="shared" si="10"/>
        <v>100</v>
      </c>
      <c r="T37" s="1496" t="s">
        <v>1515</v>
      </c>
      <c r="U37" s="1497">
        <f t="shared" si="11"/>
        <v>100</v>
      </c>
      <c r="V37" s="1496" t="s">
        <v>1515</v>
      </c>
      <c r="W37" s="1497">
        <f t="shared" si="12"/>
        <v>100</v>
      </c>
      <c r="X37" s="1498"/>
      <c r="Y37" s="3414"/>
      <c r="Z37" s="1502">
        <f t="shared" si="13"/>
        <v>111</v>
      </c>
      <c r="AA37" s="1479">
        <f t="shared" si="3"/>
        <v>1</v>
      </c>
      <c r="AB37" s="1479">
        <f t="shared" si="4"/>
        <v>1</v>
      </c>
      <c r="AC37" s="1479">
        <f t="shared" si="5"/>
        <v>1</v>
      </c>
    </row>
    <row r="38" spans="1:29" ht="15.6">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4"/>
      <c r="Q38" s="912" t="str">
        <f t="shared" si="8"/>
        <v>宗地面积</v>
      </c>
      <c r="R38" s="1494" t="s">
        <v>1515</v>
      </c>
      <c r="S38" s="1495" t="e">
        <f t="shared" si="10"/>
        <v>#N/A</v>
      </c>
      <c r="T38" s="1494" t="s">
        <v>1515</v>
      </c>
      <c r="U38" s="1495" t="e">
        <f t="shared" si="11"/>
        <v>#N/A</v>
      </c>
      <c r="V38" s="1494" t="s">
        <v>1515</v>
      </c>
      <c r="W38" s="1495" t="e">
        <f t="shared" si="12"/>
        <v>#N/A</v>
      </c>
      <c r="X38" s="1489"/>
      <c r="Y38" s="3414"/>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4"/>
      <c r="Q39" s="912" t="str">
        <f t="shared" ref="Q39:Q45" si="14">B39</f>
        <v>宗地形状</v>
      </c>
      <c r="R39" s="1494" t="s">
        <v>1515</v>
      </c>
      <c r="S39" s="1495">
        <f t="shared" si="10"/>
        <v>100</v>
      </c>
      <c r="T39" s="1494" t="s">
        <v>1515</v>
      </c>
      <c r="U39" s="1495">
        <f t="shared" si="11"/>
        <v>100</v>
      </c>
      <c r="V39" s="1494" t="s">
        <v>1515</v>
      </c>
      <c r="W39" s="1495">
        <f t="shared" si="12"/>
        <v>100</v>
      </c>
      <c r="X39" s="1489"/>
      <c r="Y39" s="3414"/>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4"/>
      <c r="Q40" s="912" t="str">
        <f t="shared" si="14"/>
        <v>临街宽度及深度</v>
      </c>
      <c r="R40" s="1494" t="s">
        <v>1515</v>
      </c>
      <c r="S40" s="1495">
        <f t="shared" si="10"/>
        <v>100</v>
      </c>
      <c r="T40" s="1494" t="s">
        <v>1515</v>
      </c>
      <c r="U40" s="1495">
        <f t="shared" si="11"/>
        <v>100</v>
      </c>
      <c r="V40" s="1494" t="s">
        <v>1515</v>
      </c>
      <c r="W40" s="1495">
        <f t="shared" si="12"/>
        <v>100</v>
      </c>
      <c r="X40" s="1489"/>
      <c r="Y40" s="3414"/>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4"/>
      <c r="Q41" s="912" t="str">
        <f t="shared" si="14"/>
        <v>宗地开发程度</v>
      </c>
      <c r="R41" s="1490" t="s">
        <v>1515</v>
      </c>
      <c r="S41" s="1491">
        <f t="shared" si="10"/>
        <v>100</v>
      </c>
      <c r="T41" s="1490" t="s">
        <v>1515</v>
      </c>
      <c r="U41" s="1491">
        <f t="shared" si="11"/>
        <v>100</v>
      </c>
      <c r="V41" s="1490" t="s">
        <v>1515</v>
      </c>
      <c r="W41" s="1491">
        <f t="shared" si="12"/>
        <v>100</v>
      </c>
      <c r="X41" s="1492"/>
      <c r="Y41" s="3414"/>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4" t="s">
        <v>1535</v>
      </c>
      <c r="Q42" s="912" t="str">
        <f t="shared" si="14"/>
        <v>工程地质条件</v>
      </c>
      <c r="R42" s="1494" t="s">
        <v>1515</v>
      </c>
      <c r="S42" s="1495">
        <f t="shared" si="10"/>
        <v>100</v>
      </c>
      <c r="T42" s="1494" t="s">
        <v>1515</v>
      </c>
      <c r="U42" s="1495">
        <f t="shared" si="11"/>
        <v>100</v>
      </c>
      <c r="V42" s="1494" t="s">
        <v>1515</v>
      </c>
      <c r="W42" s="1495">
        <f t="shared" si="12"/>
        <v>100</v>
      </c>
      <c r="X42" s="1489"/>
      <c r="Y42" s="3414"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4"/>
      <c r="Q43" s="912">
        <f t="shared" si="14"/>
        <v>111</v>
      </c>
      <c r="R43" s="1494" t="s">
        <v>1515</v>
      </c>
      <c r="S43" s="1495">
        <f t="shared" si="10"/>
        <v>100</v>
      </c>
      <c r="T43" s="1494" t="s">
        <v>1515</v>
      </c>
      <c r="U43" s="1495">
        <f t="shared" si="11"/>
        <v>100</v>
      </c>
      <c r="V43" s="1494" t="s">
        <v>1515</v>
      </c>
      <c r="W43" s="1495">
        <f t="shared" si="12"/>
        <v>100</v>
      </c>
      <c r="X43" s="1489"/>
      <c r="Y43" s="3414"/>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4"/>
      <c r="Q44" s="912">
        <f t="shared" si="14"/>
        <v>111</v>
      </c>
      <c r="R44" s="1494" t="s">
        <v>1515</v>
      </c>
      <c r="S44" s="1495">
        <f t="shared" si="10"/>
        <v>100</v>
      </c>
      <c r="T44" s="1494" t="s">
        <v>1515</v>
      </c>
      <c r="U44" s="1495">
        <f t="shared" si="11"/>
        <v>100</v>
      </c>
      <c r="V44" s="1494" t="s">
        <v>1515</v>
      </c>
      <c r="W44" s="1495">
        <f t="shared" si="12"/>
        <v>100</v>
      </c>
      <c r="X44" s="1489"/>
      <c r="Y44" s="3414"/>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4"/>
      <c r="Q45" s="912">
        <f t="shared" si="14"/>
        <v>111</v>
      </c>
      <c r="R45" s="1496" t="s">
        <v>1515</v>
      </c>
      <c r="S45" s="1497">
        <f t="shared" si="10"/>
        <v>100</v>
      </c>
      <c r="T45" s="1496" t="s">
        <v>1515</v>
      </c>
      <c r="U45" s="1497">
        <f t="shared" si="11"/>
        <v>100</v>
      </c>
      <c r="V45" s="1496" t="s">
        <v>1515</v>
      </c>
      <c r="W45" s="1497">
        <f t="shared" si="12"/>
        <v>100</v>
      </c>
      <c r="X45" s="1498"/>
      <c r="Y45" s="3414"/>
      <c r="Z45" s="1502">
        <f t="shared" si="13"/>
        <v>111</v>
      </c>
      <c r="AA45" s="1479">
        <f t="shared" si="3"/>
        <v>1</v>
      </c>
      <c r="AB45" s="1479">
        <f t="shared" si="4"/>
        <v>1</v>
      </c>
      <c r="AC45" s="1479">
        <f t="shared" si="5"/>
        <v>1</v>
      </c>
    </row>
    <row r="46" spans="1:29" ht="14.4">
      <c r="A46" s="1381" t="s">
        <v>1634</v>
      </c>
      <c r="B46" s="1382" t="s">
        <v>1653</v>
      </c>
      <c r="C46" s="1383" t="s">
        <v>124</v>
      </c>
      <c r="D46" s="1384"/>
      <c r="E46" s="1385"/>
      <c r="F46" s="1386"/>
      <c r="G46" s="1387"/>
      <c r="H46" s="1388"/>
      <c r="I46" s="1385"/>
      <c r="J46" s="1388"/>
      <c r="K46" s="1470"/>
      <c r="L46" s="1471"/>
      <c r="M46" s="1398"/>
      <c r="N46" s="1398"/>
      <c r="O46" s="1398"/>
      <c r="P46" s="3400" t="str">
        <f>A46</f>
        <v>成交单价</v>
      </c>
      <c r="Q46" s="3400"/>
      <c r="R46" s="3399">
        <f>E46</f>
        <v>0</v>
      </c>
      <c r="S46" s="3399"/>
      <c r="T46" s="3399">
        <f>G46</f>
        <v>0</v>
      </c>
      <c r="U46" s="3399"/>
      <c r="V46" s="3399">
        <f>I46</f>
        <v>0</v>
      </c>
      <c r="W46" s="3399"/>
      <c r="X46" s="1437"/>
      <c r="Y46" s="1503"/>
      <c r="Z46" s="1437"/>
      <c r="AA46" s="1437"/>
      <c r="AB46" s="1437"/>
      <c r="AC46" s="1437"/>
    </row>
    <row r="47" spans="1:29" ht="14.4">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0" t="str">
        <f>A47</f>
        <v>比较价值（元/平方米）</v>
      </c>
      <c r="Q47" s="3400"/>
      <c r="R47" s="3453" t="e">
        <f>ROUND(PRODUCT(R46,AA7:AA45),0)</f>
        <v>#DIV/0!</v>
      </c>
      <c r="S47" s="3453"/>
      <c r="T47" s="3453" t="e">
        <f>ROUND(PRODUCT(T46,AB7:AB45),0)</f>
        <v>#DIV/0!</v>
      </c>
      <c r="U47" s="3453"/>
      <c r="V47" s="3453" t="e">
        <f>ROUND(PRODUCT(V46,AC7:AC45),0)</f>
        <v>#DIV/0!</v>
      </c>
      <c r="W47" s="3453"/>
      <c r="X47" s="1437"/>
      <c r="Y47" s="1437"/>
      <c r="Z47" s="1437"/>
      <c r="AA47" s="1437"/>
      <c r="AB47" s="1437"/>
      <c r="AC47" s="1437"/>
    </row>
    <row r="48" spans="1:29" ht="14.4">
      <c r="A48" s="1395" t="s">
        <v>1654</v>
      </c>
      <c r="B48" s="1396"/>
      <c r="C48" s="1397" t="e">
        <f>R48</f>
        <v>#DIV/0!</v>
      </c>
      <c r="D48" s="1397"/>
      <c r="E48" s="1397"/>
      <c r="F48" s="1397"/>
      <c r="G48" s="1397"/>
      <c r="H48" s="1397"/>
      <c r="I48" s="1397"/>
      <c r="J48" s="1397"/>
      <c r="K48" s="1473"/>
      <c r="L48" s="1471"/>
      <c r="M48" s="1398"/>
      <c r="N48" s="1398"/>
      <c r="O48" s="1398"/>
      <c r="P48" s="3401" t="str">
        <f>A48</f>
        <v>估价对象XX用房的比较价值（楼面单价，元/平方米）</v>
      </c>
      <c r="Q48" s="3402"/>
      <c r="R48" s="3454" t="e">
        <f>ROUND(IF(D47="简单平均",AVERAGE(R47:W47),R47*F47+T47*H47+V47*J47),0)</f>
        <v>#DIV/0!</v>
      </c>
      <c r="S48" s="3454"/>
      <c r="T48" s="3454"/>
      <c r="U48" s="3454"/>
      <c r="V48" s="3454"/>
      <c r="W48" s="3454"/>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421" t="s">
        <v>1661</v>
      </c>
      <c r="H55" s="3452"/>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115.43</v>
      </c>
      <c r="F56" s="1619" t="e">
        <f t="shared" ref="F56:F64" si="15">ROUND(B56*E56/10000,0)</f>
        <v>#DIV/0!</v>
      </c>
      <c r="G56" s="3406"/>
      <c r="H56" s="3400"/>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3.2">
      <c r="A65" s="1428" t="s">
        <v>1677</v>
      </c>
      <c r="B65" s="1429" t="s">
        <v>1678</v>
      </c>
      <c r="C65" s="1429" t="s">
        <v>1678</v>
      </c>
      <c r="D65" s="1429" t="s">
        <v>1678</v>
      </c>
      <c r="E65" s="1429">
        <f>IF(B46="楼面地价",SUM(E56:E64),'数据-汇总表'!D3)</f>
        <v>115.43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6">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4.4">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4.4">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4.4">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ht="14.4">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8.8">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4.4">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ht="14.4">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4.4">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4.4">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4.4">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28.8">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8.8">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4.4">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4.4">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4.4">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8.8">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4.4">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ht="14.4">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ht="14.4">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ht="14.4">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ht="14.4">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ht="14.4">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3.8"/>
  <cols>
    <col min="1" max="1" width="14.332031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1" customWidth="1"/>
    <col min="12" max="12" width="12.21875" style="1292"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4.4">
      <c r="A4" s="1303" t="s">
        <v>1500</v>
      </c>
      <c r="B4" s="1304"/>
      <c r="C4" s="3421" t="s">
        <v>1501</v>
      </c>
      <c r="D4" s="3422"/>
      <c r="E4" s="3423" t="s">
        <v>1502</v>
      </c>
      <c r="F4" s="3424"/>
      <c r="G4" s="3421" t="s">
        <v>1503</v>
      </c>
      <c r="H4" s="3422"/>
      <c r="I4" s="3421" t="s">
        <v>1504</v>
      </c>
      <c r="J4" s="3422"/>
      <c r="K4" s="1446" t="s">
        <v>1505</v>
      </c>
      <c r="L4" s="1447"/>
      <c r="M4" s="1398"/>
      <c r="N4" s="1398"/>
      <c r="O4" s="1398"/>
      <c r="P4" s="3387" t="s">
        <v>1506</v>
      </c>
      <c r="Q4" s="3388"/>
      <c r="R4" s="3393" t="s">
        <v>1502</v>
      </c>
      <c r="S4" s="3394"/>
      <c r="T4" s="3393" t="s">
        <v>1503</v>
      </c>
      <c r="U4" s="3394"/>
      <c r="V4" s="3399" t="s">
        <v>1504</v>
      </c>
      <c r="W4" s="3399"/>
      <c r="X4" s="1489"/>
      <c r="Y4" s="3393" t="s">
        <v>1506</v>
      </c>
      <c r="Z4" s="3394"/>
      <c r="AA4" s="3384" t="s">
        <v>1502</v>
      </c>
      <c r="AB4" s="3385" t="s">
        <v>1503</v>
      </c>
      <c r="AC4" s="3384" t="s">
        <v>1504</v>
      </c>
    </row>
    <row r="5" spans="1:29">
      <c r="A5" s="1305"/>
      <c r="B5" s="1306"/>
      <c r="C5" s="3425" t="s">
        <v>1507</v>
      </c>
      <c r="D5" s="3426"/>
      <c r="E5" s="3427" t="s">
        <v>1508</v>
      </c>
      <c r="F5" s="3428"/>
      <c r="G5" s="3425" t="s">
        <v>1509</v>
      </c>
      <c r="H5" s="3426"/>
      <c r="I5" s="3425" t="s">
        <v>1510</v>
      </c>
      <c r="J5" s="3426"/>
      <c r="K5" s="1446"/>
      <c r="L5" s="1447"/>
      <c r="M5" s="1398"/>
      <c r="N5" s="1398"/>
      <c r="O5" s="1398"/>
      <c r="P5" s="3389"/>
      <c r="Q5" s="3390"/>
      <c r="R5" s="3395"/>
      <c r="S5" s="3396"/>
      <c r="T5" s="3395"/>
      <c r="U5" s="3396"/>
      <c r="V5" s="3399"/>
      <c r="W5" s="3399"/>
      <c r="X5" s="1489"/>
      <c r="Y5" s="3395"/>
      <c r="Z5" s="3396"/>
      <c r="AA5" s="3385"/>
      <c r="AB5" s="3385"/>
      <c r="AC5" s="3385"/>
    </row>
    <row r="6" spans="1:29" ht="14.4">
      <c r="A6" s="1307"/>
      <c r="B6" s="1308"/>
      <c r="C6" s="3455" t="s">
        <v>1685</v>
      </c>
      <c r="D6" s="3456"/>
      <c r="E6" s="3457" t="s">
        <v>1685</v>
      </c>
      <c r="F6" s="3458"/>
      <c r="G6" s="3455" t="s">
        <v>1685</v>
      </c>
      <c r="H6" s="3456"/>
      <c r="I6" s="3455" t="s">
        <v>1685</v>
      </c>
      <c r="J6" s="3456"/>
      <c r="K6" s="1446" t="s">
        <v>1512</v>
      </c>
      <c r="L6" s="1447"/>
      <c r="M6" s="1398"/>
      <c r="N6" s="1398"/>
      <c r="O6" s="1398"/>
      <c r="P6" s="3391"/>
      <c r="Q6" s="3392"/>
      <c r="R6" s="3395"/>
      <c r="S6" s="3396"/>
      <c r="T6" s="3397"/>
      <c r="U6" s="3398"/>
      <c r="V6" s="3399"/>
      <c r="W6" s="3399"/>
      <c r="X6" s="1489"/>
      <c r="Y6" s="3397"/>
      <c r="Z6" s="3398"/>
      <c r="AA6" s="3386"/>
      <c r="AB6" s="3386"/>
      <c r="AC6" s="3386"/>
    </row>
    <row r="7" spans="1:29" s="1284" customFormat="1" ht="14.4">
      <c r="A7" s="1309" t="s">
        <v>1513</v>
      </c>
      <c r="B7" s="1310"/>
      <c r="C7" s="1311">
        <f>'数据-取费表'!B2</f>
        <v>45882</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04" t="s">
        <v>1514</v>
      </c>
      <c r="Q7" s="3420"/>
      <c r="R7" s="1490" t="s">
        <v>1515</v>
      </c>
      <c r="S7" s="1491">
        <f t="shared" ref="S7:S15" si="0">F7</f>
        <v>0</v>
      </c>
      <c r="T7" s="1490" t="s">
        <v>1515</v>
      </c>
      <c r="U7" s="1491">
        <f t="shared" ref="U7:U15" si="1">H7</f>
        <v>0</v>
      </c>
      <c r="V7" s="1490" t="s">
        <v>1515</v>
      </c>
      <c r="W7" s="1491">
        <f t="shared" ref="W7:W15" si="2">J7</f>
        <v>0</v>
      </c>
      <c r="X7" s="1492"/>
      <c r="Y7" s="3404" t="s">
        <v>1514</v>
      </c>
      <c r="Z7" s="3405"/>
      <c r="AA7" s="1501" t="e">
        <f>D7/F7</f>
        <v>#DIV/0!</v>
      </c>
      <c r="AB7" s="1501" t="e">
        <f>D7/H7</f>
        <v>#DIV/0!</v>
      </c>
      <c r="AC7" s="1501" t="e">
        <f>D7/J7</f>
        <v>#DIV/0!</v>
      </c>
    </row>
    <row r="8" spans="1:29" s="1284" customFormat="1" ht="14.4">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04" t="s">
        <v>1517</v>
      </c>
      <c r="Q8" s="3405"/>
      <c r="R8" s="1490" t="s">
        <v>1515</v>
      </c>
      <c r="S8" s="1491">
        <f t="shared" si="0"/>
        <v>0</v>
      </c>
      <c r="T8" s="1490" t="s">
        <v>1515</v>
      </c>
      <c r="U8" s="1491">
        <f t="shared" si="1"/>
        <v>0</v>
      </c>
      <c r="V8" s="1490" t="s">
        <v>1515</v>
      </c>
      <c r="W8" s="1491">
        <f t="shared" si="2"/>
        <v>0</v>
      </c>
      <c r="X8" s="1492"/>
      <c r="Y8" s="3404" t="s">
        <v>1517</v>
      </c>
      <c r="Z8" s="3405"/>
      <c r="AA8" s="1501" t="e">
        <f t="shared" ref="AA8:AA40" si="3">D8/F8</f>
        <v>#DIV/0!</v>
      </c>
      <c r="AB8" s="1501" t="e">
        <f t="shared" ref="AB8:AB40" si="4">D8/H8</f>
        <v>#DIV/0!</v>
      </c>
      <c r="AC8" s="1501" t="e">
        <f t="shared" ref="AC8:AC40" si="5">D8/J8</f>
        <v>#DIV/0!</v>
      </c>
    </row>
    <row r="9" spans="1:29" s="1284" customFormat="1" ht="14.4">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0" t="s">
        <v>1520</v>
      </c>
      <c r="Q9" s="1080" t="str">
        <f t="shared" ref="Q9:Q15" si="6">B9</f>
        <v>用途</v>
      </c>
      <c r="R9" s="1490" t="s">
        <v>1515</v>
      </c>
      <c r="S9" s="1491">
        <f t="shared" si="0"/>
        <v>100</v>
      </c>
      <c r="T9" s="1490" t="s">
        <v>1515</v>
      </c>
      <c r="U9" s="1491">
        <f t="shared" si="1"/>
        <v>100</v>
      </c>
      <c r="V9" s="1490" t="s">
        <v>1515</v>
      </c>
      <c r="W9" s="1491">
        <f t="shared" si="2"/>
        <v>100</v>
      </c>
      <c r="X9" s="1492"/>
      <c r="Y9" s="3270" t="s">
        <v>1521</v>
      </c>
      <c r="Z9" s="1501" t="str">
        <f t="shared" ref="Z9:Z15" si="7">Q9</f>
        <v>用途</v>
      </c>
      <c r="AA9" s="1501">
        <f t="shared" si="3"/>
        <v>1</v>
      </c>
      <c r="AB9" s="1501">
        <f t="shared" si="4"/>
        <v>1</v>
      </c>
      <c r="AC9" s="1501">
        <f t="shared" si="5"/>
        <v>1</v>
      </c>
    </row>
    <row r="10" spans="1:29" s="1285" customFormat="1" ht="28.8">
      <c r="A10" s="1321"/>
      <c r="B10" s="1322" t="s">
        <v>1522</v>
      </c>
      <c r="C10" s="1323"/>
      <c r="D10" s="1324">
        <v>100</v>
      </c>
      <c r="E10" s="1323"/>
      <c r="F10" s="1324">
        <f>ROUND(100/'数据-取费表'!G16,0)</f>
        <v>110</v>
      </c>
      <c r="G10" s="1323"/>
      <c r="H10" s="1324">
        <f>ROUND(100/'数据-取费表'!G16,0)</f>
        <v>110</v>
      </c>
      <c r="I10" s="1323"/>
      <c r="J10" s="1324">
        <f>ROUND(100/'数据-取费表'!G16,0)</f>
        <v>110</v>
      </c>
      <c r="K10" s="1452"/>
      <c r="L10" s="1453"/>
      <c r="M10" s="1454"/>
      <c r="N10" s="1454"/>
      <c r="O10" s="1455"/>
      <c r="P10" s="3400"/>
      <c r="Q10" s="1080" t="str">
        <f t="shared" si="6"/>
        <v>土地使用年限（年）</v>
      </c>
      <c r="R10" s="1490" t="s">
        <v>1515</v>
      </c>
      <c r="S10" s="1491">
        <f t="shared" si="0"/>
        <v>110</v>
      </c>
      <c r="T10" s="1490" t="s">
        <v>1515</v>
      </c>
      <c r="U10" s="1491">
        <f t="shared" si="1"/>
        <v>110</v>
      </c>
      <c r="V10" s="1490" t="s">
        <v>1515</v>
      </c>
      <c r="W10" s="1491">
        <f t="shared" si="2"/>
        <v>110</v>
      </c>
      <c r="X10" s="1492"/>
      <c r="Y10" s="3270"/>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0"/>
      <c r="Q11" s="1080" t="str">
        <f t="shared" si="6"/>
        <v>容积率</v>
      </c>
      <c r="R11" s="1490" t="s">
        <v>1515</v>
      </c>
      <c r="S11" s="1491" t="e">
        <f t="shared" si="0"/>
        <v>#N/A</v>
      </c>
      <c r="T11" s="1490" t="s">
        <v>1515</v>
      </c>
      <c r="U11" s="1491" t="e">
        <f t="shared" si="1"/>
        <v>#N/A</v>
      </c>
      <c r="V11" s="1490" t="s">
        <v>1515</v>
      </c>
      <c r="W11" s="1491" t="e">
        <f t="shared" si="2"/>
        <v>#N/A</v>
      </c>
      <c r="X11" s="1492"/>
      <c r="Y11" s="3270"/>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0"/>
      <c r="Q12" s="1080">
        <f t="shared" si="6"/>
        <v>111</v>
      </c>
      <c r="R12" s="1490" t="s">
        <v>1515</v>
      </c>
      <c r="S12" s="1491">
        <f t="shared" si="0"/>
        <v>100</v>
      </c>
      <c r="T12" s="1490" t="s">
        <v>1515</v>
      </c>
      <c r="U12" s="1491">
        <f t="shared" si="1"/>
        <v>100</v>
      </c>
      <c r="V12" s="1490" t="s">
        <v>1515</v>
      </c>
      <c r="W12" s="1491">
        <f t="shared" si="2"/>
        <v>100</v>
      </c>
      <c r="X12" s="1492"/>
      <c r="Y12" s="3270"/>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0"/>
      <c r="Q13" s="1080">
        <f t="shared" si="6"/>
        <v>111</v>
      </c>
      <c r="R13" s="1490" t="s">
        <v>1515</v>
      </c>
      <c r="S13" s="1491">
        <f t="shared" si="0"/>
        <v>100</v>
      </c>
      <c r="T13" s="1490" t="s">
        <v>1515</v>
      </c>
      <c r="U13" s="1491">
        <f t="shared" si="1"/>
        <v>100</v>
      </c>
      <c r="V13" s="1490" t="s">
        <v>1515</v>
      </c>
      <c r="W13" s="1491">
        <f t="shared" si="2"/>
        <v>100</v>
      </c>
      <c r="X13" s="1492"/>
      <c r="Y13" s="3270"/>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0"/>
      <c r="Q14" s="1080">
        <f t="shared" si="6"/>
        <v>111</v>
      </c>
      <c r="R14" s="1490" t="s">
        <v>1515</v>
      </c>
      <c r="S14" s="1491">
        <f t="shared" si="0"/>
        <v>100</v>
      </c>
      <c r="T14" s="1490" t="s">
        <v>1515</v>
      </c>
      <c r="U14" s="1491">
        <f t="shared" si="1"/>
        <v>100</v>
      </c>
      <c r="V14" s="1490" t="s">
        <v>1515</v>
      </c>
      <c r="W14" s="1491">
        <f t="shared" si="2"/>
        <v>100</v>
      </c>
      <c r="X14" s="1492"/>
      <c r="Y14" s="3270"/>
      <c r="Z14" s="1501">
        <f t="shared" si="7"/>
        <v>111</v>
      </c>
      <c r="AA14" s="1501">
        <f t="shared" si="3"/>
        <v>1</v>
      </c>
      <c r="AB14" s="1501">
        <f t="shared" si="4"/>
        <v>1</v>
      </c>
      <c r="AC14" s="1501">
        <f t="shared" si="5"/>
        <v>1</v>
      </c>
    </row>
    <row r="15" spans="1:29" ht="69">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2" t="s">
        <v>1526</v>
      </c>
      <c r="Q15" s="912" t="str">
        <f t="shared" si="6"/>
        <v>产业集聚程度</v>
      </c>
      <c r="R15" s="1494" t="s">
        <v>1515</v>
      </c>
      <c r="S15" s="1495">
        <f t="shared" si="0"/>
        <v>100</v>
      </c>
      <c r="T15" s="1494" t="s">
        <v>1515</v>
      </c>
      <c r="U15" s="1495">
        <f t="shared" si="1"/>
        <v>100</v>
      </c>
      <c r="V15" s="1494" t="s">
        <v>1515</v>
      </c>
      <c r="W15" s="1495">
        <f t="shared" si="2"/>
        <v>100</v>
      </c>
      <c r="X15" s="1489"/>
      <c r="Y15" s="3412"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3"/>
      <c r="Q16" s="912"/>
      <c r="R16" s="1494"/>
      <c r="S16" s="1495"/>
      <c r="T16" s="1494"/>
      <c r="U16" s="1495"/>
      <c r="V16" s="1494"/>
      <c r="W16" s="1495"/>
      <c r="X16" s="1489"/>
      <c r="Y16" s="3413"/>
      <c r="Z16" s="1479"/>
      <c r="AA16" s="1479">
        <v>1</v>
      </c>
      <c r="AB16" s="1479">
        <v>1</v>
      </c>
      <c r="AC16" s="1479">
        <v>1</v>
      </c>
    </row>
    <row r="17" spans="1:29" ht="96.6">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3"/>
      <c r="Q17" s="912" t="str">
        <f>B17</f>
        <v>交通便捷度</v>
      </c>
      <c r="R17" s="1494" t="s">
        <v>1515</v>
      </c>
      <c r="S17" s="1495">
        <f>F17</f>
        <v>100</v>
      </c>
      <c r="T17" s="1494" t="s">
        <v>1515</v>
      </c>
      <c r="U17" s="1495">
        <f>H17</f>
        <v>100</v>
      </c>
      <c r="V17" s="1494" t="s">
        <v>1515</v>
      </c>
      <c r="W17" s="1495">
        <f>J17</f>
        <v>100</v>
      </c>
      <c r="X17" s="1489"/>
      <c r="Y17" s="3413"/>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3"/>
      <c r="Q18" s="912"/>
      <c r="R18" s="1494"/>
      <c r="S18" s="1495"/>
      <c r="T18" s="1494"/>
      <c r="U18" s="1495"/>
      <c r="V18" s="1494"/>
      <c r="W18" s="1495"/>
      <c r="X18" s="1489"/>
      <c r="Y18" s="3413"/>
      <c r="Z18" s="1479"/>
      <c r="AA18" s="1479">
        <v>1</v>
      </c>
      <c r="AB18" s="1479">
        <v>1</v>
      </c>
      <c r="AC18" s="1479">
        <v>1</v>
      </c>
    </row>
    <row r="19" spans="1:29" ht="28.8">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3"/>
      <c r="Q19" s="912" t="str">
        <f t="shared" ref="Q19:Q34" si="8">B19</f>
        <v>区域土地利用方向</v>
      </c>
      <c r="R19" s="1494" t="s">
        <v>1515</v>
      </c>
      <c r="S19" s="1495">
        <f>F19</f>
        <v>100</v>
      </c>
      <c r="T19" s="1494" t="s">
        <v>1515</v>
      </c>
      <c r="U19" s="1495">
        <f>H19</f>
        <v>100</v>
      </c>
      <c r="V19" s="1494" t="s">
        <v>1515</v>
      </c>
      <c r="W19" s="1495">
        <f>J19</f>
        <v>100</v>
      </c>
      <c r="X19" s="1489"/>
      <c r="Y19" s="3413"/>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3"/>
      <c r="Q20" s="912"/>
      <c r="R20" s="1494"/>
      <c r="S20" s="1495"/>
      <c r="T20" s="1494"/>
      <c r="U20" s="1495"/>
      <c r="V20" s="1494"/>
      <c r="W20" s="1495"/>
      <c r="X20" s="1489"/>
      <c r="Y20" s="3413"/>
      <c r="Z20" s="1479"/>
      <c r="AA20" s="1479"/>
      <c r="AB20" s="1479"/>
      <c r="AC20" s="1479"/>
    </row>
    <row r="21" spans="1:29" ht="82.8">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3"/>
      <c r="Q21" s="912" t="str">
        <f t="shared" si="8"/>
        <v>环境状况</v>
      </c>
      <c r="R21" s="1494" t="s">
        <v>1515</v>
      </c>
      <c r="S21" s="1495">
        <f>F21</f>
        <v>100</v>
      </c>
      <c r="T21" s="1494" t="s">
        <v>1515</v>
      </c>
      <c r="U21" s="1495">
        <f>H21</f>
        <v>100</v>
      </c>
      <c r="V21" s="1494" t="s">
        <v>1515</v>
      </c>
      <c r="W21" s="1495">
        <f>J21</f>
        <v>100</v>
      </c>
      <c r="X21" s="1489"/>
      <c r="Y21" s="3413"/>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3"/>
      <c r="Q22" s="912"/>
      <c r="R22" s="1494"/>
      <c r="S22" s="1495"/>
      <c r="T22" s="1494"/>
      <c r="U22" s="1495"/>
      <c r="V22" s="1494"/>
      <c r="W22" s="1495"/>
      <c r="X22" s="1489"/>
      <c r="Y22" s="3413"/>
      <c r="Z22" s="1479"/>
      <c r="AA22" s="1479">
        <v>1</v>
      </c>
      <c r="AB22" s="1479">
        <v>1</v>
      </c>
      <c r="AC22" s="1479">
        <v>1</v>
      </c>
    </row>
    <row r="23" spans="1:29" s="1284" customFormat="1" ht="41.4">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3"/>
      <c r="Q23" s="1080" t="str">
        <f t="shared" si="8"/>
        <v>公共配套设施</v>
      </c>
      <c r="R23" s="1490" t="s">
        <v>1515</v>
      </c>
      <c r="S23" s="1491">
        <f>F23</f>
        <v>100</v>
      </c>
      <c r="T23" s="1490" t="s">
        <v>1515</v>
      </c>
      <c r="U23" s="1491">
        <f>H23</f>
        <v>100</v>
      </c>
      <c r="V23" s="1490" t="s">
        <v>1515</v>
      </c>
      <c r="W23" s="1491">
        <f>J23</f>
        <v>100</v>
      </c>
      <c r="X23" s="1492"/>
      <c r="Y23" s="3413"/>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3"/>
      <c r="Q24" s="1080"/>
      <c r="R24" s="1490"/>
      <c r="S24" s="1491"/>
      <c r="T24" s="1490"/>
      <c r="U24" s="1491"/>
      <c r="V24" s="1490"/>
      <c r="W24" s="1491"/>
      <c r="X24" s="1492"/>
      <c r="Y24" s="3413"/>
      <c r="Z24" s="1501"/>
      <c r="AA24" s="1501">
        <v>1</v>
      </c>
      <c r="AB24" s="1501">
        <v>1</v>
      </c>
      <c r="AC24" s="1501">
        <v>1</v>
      </c>
    </row>
    <row r="25" spans="1:29" s="1284" customFormat="1" ht="41.4">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3"/>
      <c r="Q25" s="1080" t="str">
        <f t="shared" ref="Q25" si="9">B25</f>
        <v>基础设施水平</v>
      </c>
      <c r="R25" s="1490" t="s">
        <v>1515</v>
      </c>
      <c r="S25" s="1491">
        <f>F25</f>
        <v>100</v>
      </c>
      <c r="T25" s="1490" t="s">
        <v>1515</v>
      </c>
      <c r="U25" s="1491">
        <f>H25</f>
        <v>100</v>
      </c>
      <c r="V25" s="1490" t="s">
        <v>1515</v>
      </c>
      <c r="W25" s="1491">
        <f>J25</f>
        <v>100</v>
      </c>
      <c r="X25" s="1492"/>
      <c r="Y25" s="3413"/>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3"/>
      <c r="Q26" s="1080"/>
      <c r="R26" s="1490"/>
      <c r="S26" s="1491"/>
      <c r="T26" s="1490"/>
      <c r="U26" s="1491"/>
      <c r="V26" s="1490"/>
      <c r="W26" s="1491"/>
      <c r="X26" s="1492"/>
      <c r="Y26" s="3413"/>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3"/>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3"/>
      <c r="Z27" s="1479" t="str">
        <f t="shared" ref="Z27:Z40" si="13">Q27</f>
        <v>临街状况</v>
      </c>
      <c r="AA27" s="1479">
        <f t="shared" si="3"/>
        <v>1</v>
      </c>
      <c r="AB27" s="1479">
        <f t="shared" si="4"/>
        <v>1</v>
      </c>
      <c r="AC27" s="1479">
        <f t="shared" si="5"/>
        <v>1</v>
      </c>
    </row>
    <row r="28" spans="1:29" ht="28.8">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3"/>
      <c r="Q28" s="912" t="str">
        <f t="shared" si="8"/>
        <v>毗邻道路的类型与等级</v>
      </c>
      <c r="R28" s="1494" t="s">
        <v>1515</v>
      </c>
      <c r="S28" s="1495">
        <f t="shared" si="10"/>
        <v>100</v>
      </c>
      <c r="T28" s="1494" t="s">
        <v>1515</v>
      </c>
      <c r="U28" s="1495">
        <f t="shared" si="11"/>
        <v>100</v>
      </c>
      <c r="V28" s="1494" t="s">
        <v>1515</v>
      </c>
      <c r="W28" s="1495">
        <f t="shared" si="12"/>
        <v>100</v>
      </c>
      <c r="X28" s="1489"/>
      <c r="Y28" s="3413"/>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3"/>
      <c r="Q29" s="912"/>
      <c r="R29" s="1494"/>
      <c r="S29" s="1495"/>
      <c r="T29" s="1494"/>
      <c r="U29" s="1495"/>
      <c r="V29" s="1494"/>
      <c r="W29" s="1495"/>
      <c r="X29" s="1489"/>
      <c r="Y29" s="3413"/>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3"/>
      <c r="Q30" s="912" t="str">
        <f t="shared" si="8"/>
        <v>土地级别</v>
      </c>
      <c r="R30" s="1494" t="s">
        <v>1515</v>
      </c>
      <c r="S30" s="1495">
        <f t="shared" si="10"/>
        <v>100</v>
      </c>
      <c r="T30" s="1494" t="s">
        <v>1515</v>
      </c>
      <c r="U30" s="1495">
        <f t="shared" si="11"/>
        <v>100</v>
      </c>
      <c r="V30" s="1494" t="s">
        <v>1515</v>
      </c>
      <c r="W30" s="1495">
        <f t="shared" si="12"/>
        <v>100</v>
      </c>
      <c r="X30" s="1489"/>
      <c r="Y30" s="3413"/>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3"/>
      <c r="Q31" s="912">
        <f t="shared" si="8"/>
        <v>111</v>
      </c>
      <c r="R31" s="1494" t="s">
        <v>1515</v>
      </c>
      <c r="S31" s="1495">
        <f t="shared" si="10"/>
        <v>100</v>
      </c>
      <c r="T31" s="1494" t="s">
        <v>1515</v>
      </c>
      <c r="U31" s="1495">
        <f t="shared" si="11"/>
        <v>100</v>
      </c>
      <c r="V31" s="1494" t="s">
        <v>1515</v>
      </c>
      <c r="W31" s="1495">
        <f t="shared" si="12"/>
        <v>100</v>
      </c>
      <c r="X31" s="1489"/>
      <c r="Y31" s="3413"/>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0" t="s">
        <v>1535</v>
      </c>
      <c r="Q32" s="912">
        <f t="shared" si="8"/>
        <v>111</v>
      </c>
      <c r="R32" s="1494" t="s">
        <v>1515</v>
      </c>
      <c r="S32" s="1495">
        <f t="shared" si="10"/>
        <v>100</v>
      </c>
      <c r="T32" s="1494" t="s">
        <v>1515</v>
      </c>
      <c r="U32" s="1495">
        <f t="shared" si="11"/>
        <v>100</v>
      </c>
      <c r="V32" s="1494" t="s">
        <v>1515</v>
      </c>
      <c r="W32" s="1495">
        <f t="shared" si="12"/>
        <v>100</v>
      </c>
      <c r="X32" s="1489"/>
      <c r="Y32" s="3414"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4"/>
      <c r="Q33" s="912">
        <f t="shared" si="8"/>
        <v>111</v>
      </c>
      <c r="R33" s="1496" t="s">
        <v>1515</v>
      </c>
      <c r="S33" s="1497">
        <f t="shared" si="10"/>
        <v>100</v>
      </c>
      <c r="T33" s="1496" t="s">
        <v>1515</v>
      </c>
      <c r="U33" s="1497">
        <f t="shared" si="11"/>
        <v>100</v>
      </c>
      <c r="V33" s="1496" t="s">
        <v>1515</v>
      </c>
      <c r="W33" s="1497">
        <f t="shared" si="12"/>
        <v>100</v>
      </c>
      <c r="X33" s="1498"/>
      <c r="Y33" s="3414"/>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14"/>
      <c r="Q34" s="912" t="str">
        <f t="shared" si="8"/>
        <v>宗地面积</v>
      </c>
      <c r="R34" s="1494" t="s">
        <v>1515</v>
      </c>
      <c r="S34" s="1495" t="e">
        <f t="shared" si="10"/>
        <v>#N/A</v>
      </c>
      <c r="T34" s="1494" t="s">
        <v>1515</v>
      </c>
      <c r="U34" s="1495" t="e">
        <f t="shared" si="11"/>
        <v>#N/A</v>
      </c>
      <c r="V34" s="1494" t="s">
        <v>1515</v>
      </c>
      <c r="W34" s="1495" t="e">
        <f t="shared" si="12"/>
        <v>#N/A</v>
      </c>
      <c r="X34" s="1489"/>
      <c r="Y34" s="3414"/>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4"/>
      <c r="Q35" s="912" t="str">
        <f t="shared" ref="Q35:Q40" si="14">B35</f>
        <v>宗地形状</v>
      </c>
      <c r="R35" s="1494" t="s">
        <v>1515</v>
      </c>
      <c r="S35" s="1495">
        <f t="shared" si="10"/>
        <v>100</v>
      </c>
      <c r="T35" s="1494" t="s">
        <v>1515</v>
      </c>
      <c r="U35" s="1495">
        <f t="shared" si="11"/>
        <v>100</v>
      </c>
      <c r="V35" s="1494" t="s">
        <v>1515</v>
      </c>
      <c r="W35" s="1495">
        <f t="shared" si="12"/>
        <v>100</v>
      </c>
      <c r="X35" s="1489"/>
      <c r="Y35" s="3414"/>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4"/>
      <c r="Q36" s="912" t="str">
        <f t="shared" si="14"/>
        <v>宗地开发程度</v>
      </c>
      <c r="R36" s="1490" t="s">
        <v>1515</v>
      </c>
      <c r="S36" s="1491">
        <f t="shared" si="10"/>
        <v>100</v>
      </c>
      <c r="T36" s="1490" t="s">
        <v>1515</v>
      </c>
      <c r="U36" s="1491">
        <f t="shared" si="11"/>
        <v>100</v>
      </c>
      <c r="V36" s="1490" t="s">
        <v>1515</v>
      </c>
      <c r="W36" s="1491">
        <f t="shared" si="12"/>
        <v>100</v>
      </c>
      <c r="X36" s="1492"/>
      <c r="Y36" s="3414"/>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4" t="s">
        <v>1535</v>
      </c>
      <c r="Q37" s="912" t="str">
        <f t="shared" si="14"/>
        <v>工程地质条件</v>
      </c>
      <c r="R37" s="1494" t="s">
        <v>1515</v>
      </c>
      <c r="S37" s="1495">
        <f t="shared" si="10"/>
        <v>100</v>
      </c>
      <c r="T37" s="1494" t="s">
        <v>1515</v>
      </c>
      <c r="U37" s="1495">
        <f t="shared" si="11"/>
        <v>100</v>
      </c>
      <c r="V37" s="1494" t="s">
        <v>1515</v>
      </c>
      <c r="W37" s="1495">
        <f t="shared" si="12"/>
        <v>100</v>
      </c>
      <c r="X37" s="1489"/>
      <c r="Y37" s="3414"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4"/>
      <c r="Q38" s="912">
        <f t="shared" si="14"/>
        <v>111</v>
      </c>
      <c r="R38" s="1494" t="s">
        <v>1515</v>
      </c>
      <c r="S38" s="1495">
        <f t="shared" si="10"/>
        <v>100</v>
      </c>
      <c r="T38" s="1494" t="s">
        <v>1515</v>
      </c>
      <c r="U38" s="1495">
        <f t="shared" si="11"/>
        <v>100</v>
      </c>
      <c r="V38" s="1494" t="s">
        <v>1515</v>
      </c>
      <c r="W38" s="1495">
        <f t="shared" si="12"/>
        <v>100</v>
      </c>
      <c r="X38" s="1489"/>
      <c r="Y38" s="3414"/>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4"/>
      <c r="Q39" s="912">
        <f t="shared" si="14"/>
        <v>111</v>
      </c>
      <c r="R39" s="1494" t="s">
        <v>1515</v>
      </c>
      <c r="S39" s="1495">
        <f t="shared" si="10"/>
        <v>100</v>
      </c>
      <c r="T39" s="1494" t="s">
        <v>1515</v>
      </c>
      <c r="U39" s="1495">
        <f t="shared" si="11"/>
        <v>100</v>
      </c>
      <c r="V39" s="1494" t="s">
        <v>1515</v>
      </c>
      <c r="W39" s="1495">
        <f t="shared" si="12"/>
        <v>100</v>
      </c>
      <c r="X39" s="1489"/>
      <c r="Y39" s="3414"/>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4"/>
      <c r="Q40" s="912">
        <f t="shared" si="14"/>
        <v>111</v>
      </c>
      <c r="R40" s="1496" t="s">
        <v>1515</v>
      </c>
      <c r="S40" s="1497">
        <f t="shared" si="10"/>
        <v>100</v>
      </c>
      <c r="T40" s="1496" t="s">
        <v>1515</v>
      </c>
      <c r="U40" s="1497">
        <f t="shared" si="11"/>
        <v>100</v>
      </c>
      <c r="V40" s="1496" t="s">
        <v>1515</v>
      </c>
      <c r="W40" s="1497">
        <f t="shared" si="12"/>
        <v>100</v>
      </c>
      <c r="X40" s="1498"/>
      <c r="Y40" s="3414"/>
      <c r="Z40" s="1502">
        <f t="shared" si="13"/>
        <v>111</v>
      </c>
      <c r="AA40" s="1479">
        <f t="shared" si="3"/>
        <v>1</v>
      </c>
      <c r="AB40" s="1479">
        <f t="shared" si="4"/>
        <v>1</v>
      </c>
      <c r="AC40" s="1479">
        <f t="shared" si="5"/>
        <v>1</v>
      </c>
    </row>
    <row r="41" spans="1:31" ht="14.4">
      <c r="A41" s="1381" t="s">
        <v>1634</v>
      </c>
      <c r="B41" s="1382" t="s">
        <v>1687</v>
      </c>
      <c r="C41" s="1383" t="s">
        <v>124</v>
      </c>
      <c r="D41" s="1384"/>
      <c r="E41" s="1385"/>
      <c r="F41" s="1386"/>
      <c r="G41" s="1387"/>
      <c r="H41" s="1388"/>
      <c r="I41" s="1385"/>
      <c r="J41" s="1388"/>
      <c r="K41" s="1470"/>
      <c r="L41" s="1471"/>
      <c r="M41" s="1398"/>
      <c r="N41" s="1398"/>
      <c r="O41" s="1398"/>
      <c r="P41" s="3400" t="str">
        <f>A41</f>
        <v>成交单价</v>
      </c>
      <c r="Q41" s="3400"/>
      <c r="R41" s="3399">
        <f>E41</f>
        <v>0</v>
      </c>
      <c r="S41" s="3399"/>
      <c r="T41" s="3399">
        <f>G41</f>
        <v>0</v>
      </c>
      <c r="U41" s="3399"/>
      <c r="V41" s="3399">
        <f>I41</f>
        <v>0</v>
      </c>
      <c r="W41" s="3399"/>
      <c r="X41" s="1437"/>
      <c r="Y41" s="1503"/>
      <c r="Z41" s="1437"/>
      <c r="AA41" s="1437"/>
      <c r="AB41" s="1437"/>
      <c r="AC41" s="1437"/>
    </row>
    <row r="42" spans="1:31" ht="14.4">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0" t="str">
        <f>A42</f>
        <v>比较价值（元/平方米）</v>
      </c>
      <c r="Q42" s="3400"/>
      <c r="R42" s="3453" t="e">
        <f>ROUND(PRODUCT(R41,AA7:AA40),0)</f>
        <v>#DIV/0!</v>
      </c>
      <c r="S42" s="3453"/>
      <c r="T42" s="3453" t="e">
        <f>ROUND(PRODUCT(T41,AB7:AB40),0)</f>
        <v>#DIV/0!</v>
      </c>
      <c r="U42" s="3453"/>
      <c r="V42" s="3453" t="e">
        <f>ROUND(PRODUCT(V41,AC7:AC40),0)</f>
        <v>#DIV/0!</v>
      </c>
      <c r="W42" s="3453"/>
      <c r="X42" s="1437"/>
      <c r="Y42" s="1437"/>
      <c r="Z42" s="1437"/>
      <c r="AA42" s="1437"/>
      <c r="AB42" s="1437"/>
      <c r="AC42" s="1437"/>
    </row>
    <row r="43" spans="1:31" ht="14.4">
      <c r="A43" s="1395" t="s">
        <v>1549</v>
      </c>
      <c r="B43" s="1396"/>
      <c r="C43" s="1397" t="e">
        <f>R43</f>
        <v>#DIV/0!</v>
      </c>
      <c r="D43" s="1397"/>
      <c r="E43" s="1397"/>
      <c r="F43" s="1397"/>
      <c r="G43" s="1397"/>
      <c r="H43" s="1397"/>
      <c r="I43" s="1397"/>
      <c r="J43" s="1397"/>
      <c r="K43" s="1473"/>
      <c r="L43" s="1471"/>
      <c r="M43" s="1398"/>
      <c r="N43" s="1398"/>
      <c r="O43" s="1398"/>
      <c r="P43" s="3401" t="str">
        <f>A43</f>
        <v>估价对象XX用房的比较价值（楼面单价，元/平方米）</v>
      </c>
      <c r="Q43" s="3402"/>
      <c r="R43" s="3454" t="e">
        <f>ROUND(IF(D42="简单平均",AVERAGE(R42:W42),R42*F42+T42*H42+V42*J42),0)</f>
        <v>#DIV/0!</v>
      </c>
      <c r="S43" s="3454"/>
      <c r="T43" s="3454"/>
      <c r="U43" s="3454"/>
      <c r="V43" s="3454"/>
      <c r="W43" s="3454"/>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8.8">
      <c r="A50" s="1407" t="s">
        <v>1655</v>
      </c>
      <c r="B50" s="1408" t="s">
        <v>1656</v>
      </c>
      <c r="C50" s="1409" t="s">
        <v>1657</v>
      </c>
      <c r="D50" s="1410" t="s">
        <v>1658</v>
      </c>
      <c r="E50" s="1411" t="s">
        <v>1659</v>
      </c>
      <c r="F50" s="1412" t="s">
        <v>1660</v>
      </c>
      <c r="G50" s="3421" t="s">
        <v>1661</v>
      </c>
      <c r="H50" s="3452"/>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115.43</v>
      </c>
      <c r="F51" s="1416" t="e">
        <f t="shared" ref="F51:F60" si="15">ROUND(B51*E51/10000,0)</f>
        <v>#DIV/0!</v>
      </c>
      <c r="G51" s="3406"/>
      <c r="H51" s="3400"/>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6">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4.4">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4.4">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4.4">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ht="14.4">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8.8">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4.4">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ht="14.4">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4.4">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28.8">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8.8">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4.4">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4.4">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4.4">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8.8">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4.4">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ht="14.4">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ht="14.4">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ht="14.4">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ht="14.4">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workbookViewId="0">
      <selection activeCell="I13" sqref="I13"/>
    </sheetView>
  </sheetViews>
  <sheetFormatPr defaultColWidth="9" defaultRowHeight="13.8"/>
  <cols>
    <col min="1" max="1" width="23.33203125" style="1166" customWidth="1"/>
    <col min="2" max="2" width="12.44140625" style="1166" customWidth="1"/>
    <col min="3" max="3" width="12.109375" style="1166" customWidth="1"/>
    <col min="4" max="4" width="14.109375" style="1166" customWidth="1"/>
    <col min="5" max="5" width="12.44140625" style="1166" customWidth="1"/>
    <col min="6" max="16384" width="9" style="1166"/>
  </cols>
  <sheetData>
    <row r="1" spans="1:16" ht="21.6">
      <c r="A1" s="1167" t="s">
        <v>1708</v>
      </c>
      <c r="B1" s="968"/>
      <c r="C1" s="968"/>
      <c r="D1" s="968"/>
      <c r="E1" s="968"/>
      <c r="F1" s="1168"/>
      <c r="G1" s="1168"/>
      <c r="H1" s="1168"/>
      <c r="I1" s="1168"/>
      <c r="J1" s="1168"/>
      <c r="K1" s="1168"/>
      <c r="L1" s="1168"/>
      <c r="M1" s="1168"/>
      <c r="N1" s="1168"/>
      <c r="O1" s="1168"/>
      <c r="P1" s="1168"/>
    </row>
    <row r="2" spans="1:16" ht="15.6">
      <c r="A2" s="1169" t="s">
        <v>97</v>
      </c>
      <c r="B2" s="1170">
        <f ca="1">SUMIF(B6:B13,"&lt;&gt;#ref!",B6:B13)</f>
        <v>61</v>
      </c>
      <c r="C2" s="1169" t="s">
        <v>1709</v>
      </c>
      <c r="D2" s="1169" t="s">
        <v>1710</v>
      </c>
      <c r="E2" s="1171">
        <f ca="1">SUMIF(E6:E13,"&lt;&gt;#ref!",E6:E13)</f>
        <v>115.43</v>
      </c>
      <c r="F2" s="1168"/>
      <c r="G2" s="1168"/>
      <c r="H2" s="1168"/>
      <c r="I2" s="1168"/>
      <c r="J2" s="1168"/>
      <c r="K2" s="1168"/>
      <c r="L2" s="1168"/>
      <c r="M2" s="1168"/>
      <c r="N2" s="1168"/>
      <c r="O2" s="1168"/>
      <c r="P2" s="1168"/>
    </row>
    <row r="3" spans="1:16" ht="15.6">
      <c r="A3" s="1169" t="s">
        <v>1711</v>
      </c>
      <c r="B3" s="1170">
        <f ca="1">ROUND(B2*10000/E2,0)</f>
        <v>5285</v>
      </c>
      <c r="C3" s="1169" t="s">
        <v>1712</v>
      </c>
      <c r="D3" s="1168"/>
      <c r="E3" s="1168"/>
      <c r="F3" s="1168"/>
      <c r="G3" s="1168"/>
      <c r="H3" s="1168"/>
      <c r="I3" s="1168"/>
      <c r="J3" s="1168"/>
      <c r="K3" s="1168"/>
      <c r="L3" s="1168"/>
      <c r="M3" s="1168"/>
      <c r="N3" s="1168"/>
      <c r="O3" s="1168"/>
      <c r="P3" s="1168"/>
    </row>
    <row r="4" spans="1:16" ht="15.6">
      <c r="A4" s="1172"/>
      <c r="B4" s="1168"/>
      <c r="C4" s="1168"/>
      <c r="D4" s="1168"/>
      <c r="E4" s="1168"/>
      <c r="F4" s="1168"/>
      <c r="G4" s="1168"/>
      <c r="H4" s="1168"/>
      <c r="I4" s="1168"/>
      <c r="J4" s="1168"/>
      <c r="K4" s="1168"/>
      <c r="L4" s="1168"/>
      <c r="M4" s="1168"/>
      <c r="N4" s="1168"/>
      <c r="O4" s="1168"/>
      <c r="P4" s="1168"/>
    </row>
    <row r="5" spans="1:16" ht="31.2">
      <c r="A5" s="1173" t="s">
        <v>1713</v>
      </c>
      <c r="B5" s="1174" t="s">
        <v>1714</v>
      </c>
      <c r="C5" s="1175"/>
      <c r="D5" s="1168"/>
      <c r="E5" s="1176" t="s">
        <v>1715</v>
      </c>
      <c r="F5" s="1168"/>
      <c r="G5" s="1168"/>
      <c r="H5" s="1168"/>
      <c r="I5" s="1168"/>
      <c r="J5" s="1168"/>
      <c r="K5" s="1168"/>
      <c r="L5" s="1168"/>
      <c r="M5" s="1168"/>
      <c r="N5" s="1168"/>
      <c r="O5" s="1168"/>
      <c r="P5" s="1168"/>
    </row>
    <row r="6" spans="1:16" ht="15.6">
      <c r="A6" s="1177" t="s">
        <v>1716</v>
      </c>
      <c r="B6" s="1170">
        <f ca="1">SUMIF(INDIRECT("'"&amp;A6&amp;"'"&amp;"!A:A"),"总价",INDIRECT("'"&amp;A6&amp;"'"&amp;"!B:B"))</f>
        <v>61</v>
      </c>
      <c r="C6" s="1169" t="s">
        <v>1709</v>
      </c>
      <c r="D6" s="1168"/>
      <c r="E6" s="1171">
        <f ca="1">SUMIF(INDIRECT("'"&amp;A6&amp;"'"&amp;"!C:C"),"建筑面积",INDIRECT("'"&amp;A6&amp;"'"&amp;"!D:D"))</f>
        <v>115.43</v>
      </c>
      <c r="F6" s="1168"/>
      <c r="G6" s="1168"/>
      <c r="H6" s="1168"/>
      <c r="I6" s="1168"/>
      <c r="J6" s="1168"/>
      <c r="K6" s="1168"/>
      <c r="L6" s="1168"/>
      <c r="M6" s="1168"/>
      <c r="N6" s="1168"/>
      <c r="O6" s="1168"/>
      <c r="P6" s="1168"/>
    </row>
    <row r="7" spans="1:16" ht="15.6">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6">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6">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6">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6">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6">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6">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4" customWidth="1"/>
    <col min="14" max="14" width="10" style="584" customWidth="1"/>
    <col min="15" max="16" width="8.21875" style="584"/>
    <col min="17" max="17" width="34.109375" style="584" customWidth="1"/>
    <col min="18" max="18" width="8.21875" style="584" customWidth="1"/>
    <col min="19" max="19" width="8.21875" style="584"/>
    <col min="20" max="20" width="11.6640625" style="584" customWidth="1"/>
    <col min="21" max="16384" width="8.2187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63" t="s">
        <v>229</v>
      </c>
      <c r="B20" s="3469" t="s">
        <v>1923</v>
      </c>
      <c r="C20" s="750" t="s">
        <v>244</v>
      </c>
      <c r="D20" s="750"/>
      <c r="E20" s="751">
        <v>1</v>
      </c>
      <c r="F20" s="752" t="s">
        <v>1924</v>
      </c>
      <c r="G20" s="752"/>
    </row>
    <row r="21" spans="1:13" ht="19.5" customHeight="1">
      <c r="A21" s="3464"/>
      <c r="B21" s="3459"/>
      <c r="C21" s="753" t="s">
        <v>259</v>
      </c>
      <c r="D21" s="753"/>
      <c r="E21" s="754">
        <v>1</v>
      </c>
      <c r="F21" s="752" t="s">
        <v>1925</v>
      </c>
      <c r="G21" s="752"/>
    </row>
    <row r="22" spans="1:13" ht="19.5" customHeight="1">
      <c r="A22" s="3464"/>
      <c r="B22" s="3459"/>
      <c r="C22" s="753" t="s">
        <v>270</v>
      </c>
      <c r="D22" s="753"/>
      <c r="E22" s="754">
        <v>0.9</v>
      </c>
      <c r="F22" s="752" t="s">
        <v>1926</v>
      </c>
      <c r="G22" s="752"/>
    </row>
    <row r="23" spans="1:13" ht="19.5" customHeight="1">
      <c r="A23" s="3464"/>
      <c r="B23" s="3459"/>
      <c r="C23" s="753" t="s">
        <v>281</v>
      </c>
      <c r="D23" s="753"/>
      <c r="E23" s="754">
        <v>0.9</v>
      </c>
      <c r="F23" s="752" t="s">
        <v>1927</v>
      </c>
      <c r="G23" s="752"/>
    </row>
    <row r="24" spans="1:13" ht="19.5" customHeight="1">
      <c r="A24" s="3464"/>
      <c r="B24" s="3459"/>
      <c r="C24" s="753" t="s">
        <v>290</v>
      </c>
      <c r="D24" s="753"/>
      <c r="E24" s="754">
        <v>0.8</v>
      </c>
      <c r="F24" s="752" t="s">
        <v>1928</v>
      </c>
      <c r="G24" s="752"/>
    </row>
    <row r="25" spans="1:13" ht="19.5" customHeight="1">
      <c r="A25" s="3464"/>
      <c r="B25" s="3459"/>
      <c r="C25" s="753" t="s">
        <v>298</v>
      </c>
      <c r="D25" s="753"/>
      <c r="E25" s="754">
        <v>0.8</v>
      </c>
      <c r="F25" s="752"/>
      <c r="G25" s="752"/>
    </row>
    <row r="26" spans="1:13" ht="19.5" customHeight="1">
      <c r="A26" s="3464"/>
      <c r="B26" s="3459"/>
      <c r="C26" s="753" t="s">
        <v>306</v>
      </c>
      <c r="D26" s="753"/>
      <c r="E26" s="754">
        <v>0.43</v>
      </c>
      <c r="F26" s="752"/>
      <c r="G26" s="752"/>
    </row>
    <row r="27" spans="1:13" ht="19.5" customHeight="1">
      <c r="A27" s="3465"/>
      <c r="B27" s="3470"/>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66" t="s">
        <v>231</v>
      </c>
      <c r="B29" s="3471" t="s">
        <v>231</v>
      </c>
      <c r="C29" s="762" t="s">
        <v>246</v>
      </c>
      <c r="D29" s="763"/>
      <c r="E29" s="751">
        <v>1</v>
      </c>
      <c r="F29" s="752" t="s">
        <v>1931</v>
      </c>
      <c r="G29" s="752"/>
    </row>
    <row r="30" spans="1:13" ht="19.5" customHeight="1">
      <c r="A30" s="3467"/>
      <c r="B30" s="3462"/>
      <c r="C30" s="764" t="s">
        <v>260</v>
      </c>
      <c r="D30" s="765"/>
      <c r="E30" s="754">
        <v>1</v>
      </c>
      <c r="F30" s="752" t="s">
        <v>1932</v>
      </c>
      <c r="G30" s="752"/>
    </row>
    <row r="31" spans="1:13" ht="19.5" customHeight="1">
      <c r="A31" s="3467"/>
      <c r="B31" s="3462"/>
      <c r="C31" s="764" t="s">
        <v>271</v>
      </c>
      <c r="D31" s="765"/>
      <c r="E31" s="754">
        <v>0.8</v>
      </c>
      <c r="F31" s="752" t="s">
        <v>1933</v>
      </c>
      <c r="G31" s="752"/>
    </row>
    <row r="32" spans="1:13" ht="19.5" customHeight="1">
      <c r="A32" s="3467"/>
      <c r="B32" s="3462"/>
      <c r="C32" s="764" t="s">
        <v>282</v>
      </c>
      <c r="D32" s="765"/>
      <c r="E32" s="754">
        <v>0.8</v>
      </c>
      <c r="F32" s="752" t="s">
        <v>1934</v>
      </c>
      <c r="G32" s="752"/>
    </row>
    <row r="33" spans="1:7" ht="19.5" customHeight="1">
      <c r="A33" s="3467"/>
      <c r="B33" s="3462"/>
      <c r="C33" s="764" t="s">
        <v>291</v>
      </c>
      <c r="D33" s="765"/>
      <c r="E33" s="754">
        <v>0.8</v>
      </c>
      <c r="F33" s="752" t="s">
        <v>1935</v>
      </c>
      <c r="G33" s="752"/>
    </row>
    <row r="34" spans="1:7" ht="19.5" customHeight="1">
      <c r="A34" s="3467"/>
      <c r="B34" s="3462"/>
      <c r="C34" s="764" t="s">
        <v>299</v>
      </c>
      <c r="D34" s="765"/>
      <c r="E34" s="754">
        <v>0.7</v>
      </c>
      <c r="F34" s="752" t="s">
        <v>1936</v>
      </c>
      <c r="G34" s="752"/>
    </row>
    <row r="35" spans="1:7" ht="19.5" customHeight="1">
      <c r="A35" s="3467"/>
      <c r="B35" s="3462"/>
      <c r="C35" s="764" t="s">
        <v>307</v>
      </c>
      <c r="D35" s="765"/>
      <c r="E35" s="754">
        <v>0.8</v>
      </c>
      <c r="F35" s="752" t="s">
        <v>1937</v>
      </c>
      <c r="G35" s="752"/>
    </row>
    <row r="36" spans="1:7" ht="19.5" customHeight="1">
      <c r="A36" s="3467"/>
      <c r="B36" s="3462"/>
      <c r="C36" s="764" t="s">
        <v>314</v>
      </c>
      <c r="D36" s="765"/>
      <c r="E36" s="754">
        <v>0.6</v>
      </c>
      <c r="F36" s="752" t="s">
        <v>1938</v>
      </c>
      <c r="G36" s="752"/>
    </row>
    <row r="37" spans="1:7" ht="19.5" customHeight="1">
      <c r="A37" s="3467"/>
      <c r="B37" s="3462"/>
      <c r="C37" s="764" t="s">
        <v>320</v>
      </c>
      <c r="D37" s="765"/>
      <c r="E37" s="754">
        <v>0.2</v>
      </c>
      <c r="F37" s="752" t="s">
        <v>1939</v>
      </c>
      <c r="G37" s="752"/>
    </row>
    <row r="38" spans="1:7" ht="19.5" customHeight="1">
      <c r="A38" s="3467"/>
      <c r="B38" s="3462"/>
      <c r="C38" s="764" t="s">
        <v>326</v>
      </c>
      <c r="D38" s="765"/>
      <c r="E38" s="754">
        <v>0.2</v>
      </c>
      <c r="F38" s="752" t="s">
        <v>1940</v>
      </c>
      <c r="G38" s="752"/>
    </row>
    <row r="39" spans="1:7" ht="19.5" customHeight="1">
      <c r="A39" s="3467"/>
      <c r="B39" s="3460" t="s">
        <v>1941</v>
      </c>
      <c r="C39" s="764" t="s">
        <v>332</v>
      </c>
      <c r="D39" s="765"/>
      <c r="E39" s="754">
        <v>0.6</v>
      </c>
      <c r="F39" s="752" t="s">
        <v>1942</v>
      </c>
      <c r="G39" s="752"/>
    </row>
    <row r="40" spans="1:7" ht="19.5" customHeight="1">
      <c r="A40" s="3467"/>
      <c r="B40" s="3462"/>
      <c r="C40" s="764" t="s">
        <v>338</v>
      </c>
      <c r="D40" s="765"/>
      <c r="E40" s="754">
        <v>0.6</v>
      </c>
      <c r="F40" s="752" t="s">
        <v>1943</v>
      </c>
      <c r="G40" s="752"/>
    </row>
    <row r="41" spans="1:7" ht="19.5" customHeight="1">
      <c r="A41" s="3468"/>
      <c r="B41" s="3472"/>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63" t="s">
        <v>233</v>
      </c>
      <c r="B43" s="3471" t="s">
        <v>1946</v>
      </c>
      <c r="C43" s="762" t="s">
        <v>248</v>
      </c>
      <c r="D43" s="763"/>
      <c r="E43" s="751">
        <v>1</v>
      </c>
      <c r="F43" s="752" t="s">
        <v>1947</v>
      </c>
      <c r="G43" s="752"/>
    </row>
    <row r="44" spans="1:7" ht="19.5" customHeight="1">
      <c r="A44" s="3464"/>
      <c r="B44" s="3462"/>
      <c r="C44" s="764" t="s">
        <v>261</v>
      </c>
      <c r="D44" s="765"/>
      <c r="E44" s="754">
        <v>1</v>
      </c>
      <c r="F44" s="752" t="s">
        <v>1948</v>
      </c>
      <c r="G44" s="752"/>
    </row>
    <row r="45" spans="1:7" ht="19.5" customHeight="1">
      <c r="A45" s="3464"/>
      <c r="B45" s="3461"/>
      <c r="C45" s="764" t="s">
        <v>272</v>
      </c>
      <c r="D45" s="765"/>
      <c r="E45" s="754">
        <v>1.5</v>
      </c>
      <c r="F45" s="752" t="s">
        <v>1949</v>
      </c>
      <c r="G45" s="752"/>
    </row>
    <row r="46" spans="1:7" ht="19.5" customHeight="1">
      <c r="A46" s="3464"/>
      <c r="B46" s="753" t="s">
        <v>231</v>
      </c>
      <c r="C46" s="764" t="s">
        <v>283</v>
      </c>
      <c r="D46" s="765"/>
      <c r="E46" s="754">
        <v>2</v>
      </c>
      <c r="F46" s="752" t="s">
        <v>1950</v>
      </c>
      <c r="G46" s="752"/>
    </row>
    <row r="47" spans="1:7" ht="19.5" customHeight="1">
      <c r="A47" s="3464"/>
      <c r="B47" s="3460" t="s">
        <v>1951</v>
      </c>
      <c r="C47" s="764" t="s">
        <v>292</v>
      </c>
      <c r="D47" s="765"/>
      <c r="E47" s="754">
        <v>1</v>
      </c>
      <c r="F47" s="752" t="s">
        <v>1952</v>
      </c>
      <c r="G47" s="752"/>
    </row>
    <row r="48" spans="1:7" ht="19.5" customHeight="1">
      <c r="A48" s="3464"/>
      <c r="B48" s="3462"/>
      <c r="C48" s="764" t="s">
        <v>300</v>
      </c>
      <c r="D48" s="765"/>
      <c r="E48" s="754">
        <v>1</v>
      </c>
      <c r="F48" s="752" t="s">
        <v>1953</v>
      </c>
      <c r="G48" s="752"/>
    </row>
    <row r="49" spans="1:7" ht="19.5" customHeight="1">
      <c r="A49" s="3464"/>
      <c r="B49" s="3462"/>
      <c r="C49" s="764" t="s">
        <v>308</v>
      </c>
      <c r="D49" s="765"/>
      <c r="E49" s="754">
        <v>1</v>
      </c>
      <c r="F49" s="752" t="s">
        <v>1954</v>
      </c>
      <c r="G49" s="752"/>
    </row>
    <row r="50" spans="1:7" ht="19.5" customHeight="1">
      <c r="A50" s="3464"/>
      <c r="B50" s="3462"/>
      <c r="C50" s="764" t="s">
        <v>315</v>
      </c>
      <c r="D50" s="765"/>
      <c r="E50" s="754">
        <v>1</v>
      </c>
      <c r="F50" s="752" t="s">
        <v>1955</v>
      </c>
      <c r="G50" s="752"/>
    </row>
    <row r="51" spans="1:7" ht="19.5" customHeight="1">
      <c r="A51" s="3464"/>
      <c r="B51" s="3462"/>
      <c r="C51" s="764" t="s">
        <v>321</v>
      </c>
      <c r="D51" s="765"/>
      <c r="E51" s="754">
        <v>1</v>
      </c>
      <c r="F51" s="752" t="s">
        <v>1956</v>
      </c>
      <c r="G51" s="752"/>
    </row>
    <row r="52" spans="1:7" ht="19.5" customHeight="1">
      <c r="A52" s="3464"/>
      <c r="B52" s="3462"/>
      <c r="C52" s="764" t="s">
        <v>327</v>
      </c>
      <c r="D52" s="765"/>
      <c r="E52" s="754">
        <v>1</v>
      </c>
      <c r="F52" s="752" t="s">
        <v>1957</v>
      </c>
      <c r="G52" s="752"/>
    </row>
    <row r="53" spans="1:7" ht="19.5" customHeight="1">
      <c r="A53" s="3465"/>
      <c r="B53" s="3472"/>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4.4">
      <c r="A74" s="753"/>
      <c r="B74" s="753"/>
      <c r="C74" s="753" t="s">
        <v>1968</v>
      </c>
      <c r="D74" s="753"/>
      <c r="E74" s="753" t="s">
        <v>124</v>
      </c>
      <c r="F74" s="753" t="s">
        <v>124</v>
      </c>
    </row>
    <row r="75" spans="1:7" ht="14.4">
      <c r="A75" s="753">
        <v>1</v>
      </c>
      <c r="B75" s="3460" t="s">
        <v>1969</v>
      </c>
      <c r="C75" s="742" t="s">
        <v>1970</v>
      </c>
      <c r="D75" s="742" t="s">
        <v>1971</v>
      </c>
      <c r="E75" s="753">
        <v>0.2</v>
      </c>
      <c r="F75" s="753">
        <v>25</v>
      </c>
    </row>
    <row r="76" spans="1:7" ht="24">
      <c r="A76" s="753">
        <v>2</v>
      </c>
      <c r="B76" s="3462"/>
      <c r="C76" s="742" t="s">
        <v>1972</v>
      </c>
      <c r="D76" s="742" t="s">
        <v>1973</v>
      </c>
      <c r="E76" s="753">
        <v>0.2</v>
      </c>
      <c r="F76" s="753">
        <v>25</v>
      </c>
    </row>
    <row r="77" spans="1:7" ht="24">
      <c r="A77" s="753">
        <v>3</v>
      </c>
      <c r="B77" s="3462"/>
      <c r="C77" s="742" t="s">
        <v>1974</v>
      </c>
      <c r="D77" s="742" t="s">
        <v>1975</v>
      </c>
      <c r="E77" s="753">
        <v>0.2</v>
      </c>
      <c r="F77" s="753">
        <v>25</v>
      </c>
    </row>
    <row r="78" spans="1:7" ht="14.4">
      <c r="A78" s="753">
        <v>4</v>
      </c>
      <c r="B78" s="3462"/>
      <c r="C78" s="742" t="s">
        <v>1976</v>
      </c>
      <c r="D78" s="742" t="s">
        <v>1977</v>
      </c>
      <c r="E78" s="753">
        <v>0.15</v>
      </c>
      <c r="F78" s="753">
        <v>20</v>
      </c>
    </row>
    <row r="79" spans="1:7" ht="24">
      <c r="A79" s="753">
        <v>5</v>
      </c>
      <c r="B79" s="3462"/>
      <c r="C79" s="742" t="s">
        <v>1978</v>
      </c>
      <c r="D79" s="742" t="s">
        <v>1979</v>
      </c>
      <c r="E79" s="753">
        <v>0.15</v>
      </c>
      <c r="F79" s="753">
        <v>20</v>
      </c>
    </row>
    <row r="80" spans="1:7" ht="24">
      <c r="A80" s="753">
        <v>6</v>
      </c>
      <c r="B80" s="3462"/>
      <c r="C80" s="742" t="s">
        <v>1980</v>
      </c>
      <c r="D80" s="742" t="s">
        <v>1981</v>
      </c>
      <c r="E80" s="753">
        <v>0.15</v>
      </c>
      <c r="F80" s="753">
        <v>20</v>
      </c>
    </row>
    <row r="81" spans="1:6" ht="24">
      <c r="A81" s="753">
        <v>7</v>
      </c>
      <c r="B81" s="3462"/>
      <c r="C81" s="742" t="s">
        <v>1982</v>
      </c>
      <c r="D81" s="742" t="s">
        <v>1983</v>
      </c>
      <c r="E81" s="753">
        <v>0.15</v>
      </c>
      <c r="F81" s="753">
        <v>20</v>
      </c>
    </row>
    <row r="82" spans="1:6" ht="24">
      <c r="A82" s="753">
        <v>8</v>
      </c>
      <c r="B82" s="3462"/>
      <c r="C82" s="742" t="s">
        <v>1984</v>
      </c>
      <c r="D82" s="742" t="s">
        <v>1985</v>
      </c>
      <c r="E82" s="753">
        <v>0.1</v>
      </c>
      <c r="F82" s="753">
        <v>15</v>
      </c>
    </row>
    <row r="83" spans="1:6" ht="24">
      <c r="A83" s="753">
        <v>9</v>
      </c>
      <c r="B83" s="3462"/>
      <c r="C83" s="742" t="s">
        <v>1986</v>
      </c>
      <c r="D83" s="742" t="s">
        <v>1987</v>
      </c>
      <c r="E83" s="753">
        <v>0.1</v>
      </c>
      <c r="F83" s="753">
        <v>15</v>
      </c>
    </row>
    <row r="84" spans="1:6" ht="24">
      <c r="A84" s="753">
        <v>10</v>
      </c>
      <c r="B84" s="3462"/>
      <c r="C84" s="742" t="s">
        <v>1988</v>
      </c>
      <c r="D84" s="742" t="s">
        <v>1989</v>
      </c>
      <c r="E84" s="753">
        <v>0.1</v>
      </c>
      <c r="F84" s="753">
        <v>15</v>
      </c>
    </row>
    <row r="85" spans="1:6" ht="24">
      <c r="A85" s="753">
        <v>11</v>
      </c>
      <c r="B85" s="3462"/>
      <c r="C85" s="742" t="s">
        <v>1990</v>
      </c>
      <c r="D85" s="742" t="s">
        <v>1991</v>
      </c>
      <c r="E85" s="753">
        <v>0.1</v>
      </c>
      <c r="F85" s="753">
        <v>15</v>
      </c>
    </row>
    <row r="86" spans="1:6" ht="24">
      <c r="A86" s="753">
        <v>12</v>
      </c>
      <c r="B86" s="3462"/>
      <c r="C86" s="742" t="s">
        <v>1992</v>
      </c>
      <c r="D86" s="742" t="s">
        <v>1993</v>
      </c>
      <c r="E86" s="753">
        <v>0.1</v>
      </c>
      <c r="F86" s="753">
        <v>15</v>
      </c>
    </row>
    <row r="87" spans="1:6" ht="24">
      <c r="A87" s="753">
        <v>13</v>
      </c>
      <c r="B87" s="3462"/>
      <c r="C87" s="742" t="s">
        <v>1994</v>
      </c>
      <c r="D87" s="742" t="s">
        <v>1995</v>
      </c>
      <c r="E87" s="753">
        <v>0.1</v>
      </c>
      <c r="F87" s="753">
        <v>15</v>
      </c>
    </row>
    <row r="88" spans="1:6" ht="24">
      <c r="A88" s="753">
        <v>14</v>
      </c>
      <c r="B88" s="3462"/>
      <c r="C88" s="742" t="s">
        <v>1996</v>
      </c>
      <c r="D88" s="742" t="s">
        <v>1997</v>
      </c>
      <c r="E88" s="753">
        <v>0.1</v>
      </c>
      <c r="F88" s="753">
        <v>15</v>
      </c>
    </row>
    <row r="89" spans="1:6" ht="24">
      <c r="A89" s="753">
        <v>15</v>
      </c>
      <c r="B89" s="3462"/>
      <c r="C89" s="742" t="s">
        <v>1998</v>
      </c>
      <c r="D89" s="742" t="s">
        <v>1999</v>
      </c>
      <c r="E89" s="753">
        <v>0.1</v>
      </c>
      <c r="F89" s="753">
        <v>15</v>
      </c>
    </row>
    <row r="90" spans="1:6" ht="24">
      <c r="A90" s="753">
        <v>16</v>
      </c>
      <c r="B90" s="3462"/>
      <c r="C90" s="742" t="s">
        <v>2000</v>
      </c>
      <c r="D90" s="742" t="s">
        <v>2001</v>
      </c>
      <c r="E90" s="753">
        <v>0.1</v>
      </c>
      <c r="F90" s="753">
        <v>15</v>
      </c>
    </row>
    <row r="91" spans="1:6" ht="24">
      <c r="A91" s="753">
        <v>17</v>
      </c>
      <c r="B91" s="3461"/>
      <c r="C91" s="742" t="s">
        <v>2002</v>
      </c>
      <c r="D91" s="742" t="s">
        <v>2003</v>
      </c>
      <c r="E91" s="753">
        <v>0.1</v>
      </c>
      <c r="F91" s="753">
        <v>15</v>
      </c>
    </row>
    <row r="92" spans="1:6" ht="14.4">
      <c r="A92" s="753">
        <v>18</v>
      </c>
      <c r="B92" s="3460" t="s">
        <v>2004</v>
      </c>
      <c r="C92" s="742" t="s">
        <v>2005</v>
      </c>
      <c r="D92" s="742" t="s">
        <v>2006</v>
      </c>
      <c r="E92" s="753">
        <v>0.2</v>
      </c>
      <c r="F92" s="753">
        <v>25</v>
      </c>
    </row>
    <row r="93" spans="1:6" ht="24">
      <c r="A93" s="753">
        <v>19</v>
      </c>
      <c r="B93" s="3462"/>
      <c r="C93" s="742" t="s">
        <v>2007</v>
      </c>
      <c r="D93" s="742" t="s">
        <v>2008</v>
      </c>
      <c r="E93" s="753">
        <v>0.2</v>
      </c>
      <c r="F93" s="753">
        <v>25</v>
      </c>
    </row>
    <row r="94" spans="1:6" ht="14.4">
      <c r="A94" s="753">
        <v>20</v>
      </c>
      <c r="B94" s="3462"/>
      <c r="C94" s="742" t="s">
        <v>2009</v>
      </c>
      <c r="D94" s="742" t="s">
        <v>2010</v>
      </c>
      <c r="E94" s="753">
        <v>0.15</v>
      </c>
      <c r="F94" s="753">
        <v>20</v>
      </c>
    </row>
    <row r="95" spans="1:6" ht="24">
      <c r="A95" s="753">
        <v>21</v>
      </c>
      <c r="B95" s="3462"/>
      <c r="C95" s="742" t="s">
        <v>2011</v>
      </c>
      <c r="D95" s="742" t="s">
        <v>2012</v>
      </c>
      <c r="E95" s="753">
        <v>0.15</v>
      </c>
      <c r="F95" s="753">
        <v>20</v>
      </c>
    </row>
    <row r="96" spans="1:6" ht="24">
      <c r="A96" s="753">
        <v>22</v>
      </c>
      <c r="B96" s="3462"/>
      <c r="C96" s="742" t="s">
        <v>2013</v>
      </c>
      <c r="D96" s="742" t="s">
        <v>2014</v>
      </c>
      <c r="E96" s="753">
        <v>0.15</v>
      </c>
      <c r="F96" s="753">
        <v>20</v>
      </c>
    </row>
    <row r="97" spans="1:6" ht="36">
      <c r="A97" s="753">
        <v>23</v>
      </c>
      <c r="B97" s="3462"/>
      <c r="C97" s="742" t="s">
        <v>2015</v>
      </c>
      <c r="D97" s="742" t="s">
        <v>2016</v>
      </c>
      <c r="E97" s="753">
        <v>0.15</v>
      </c>
      <c r="F97" s="753">
        <v>20</v>
      </c>
    </row>
    <row r="98" spans="1:6" ht="24">
      <c r="A98" s="753">
        <v>24</v>
      </c>
      <c r="B98" s="3462"/>
      <c r="C98" s="742" t="s">
        <v>2017</v>
      </c>
      <c r="D98" s="742" t="s">
        <v>2018</v>
      </c>
      <c r="E98" s="753">
        <v>0.1</v>
      </c>
      <c r="F98" s="753">
        <v>15</v>
      </c>
    </row>
    <row r="99" spans="1:6" ht="24">
      <c r="A99" s="753">
        <v>25</v>
      </c>
      <c r="B99" s="3462"/>
      <c r="C99" s="742" t="s">
        <v>2019</v>
      </c>
      <c r="D99" s="742" t="s">
        <v>2020</v>
      </c>
      <c r="E99" s="753">
        <v>0.1</v>
      </c>
      <c r="F99" s="753">
        <v>15</v>
      </c>
    </row>
    <row r="100" spans="1:6" ht="24">
      <c r="A100" s="753">
        <v>26</v>
      </c>
      <c r="B100" s="3462"/>
      <c r="C100" s="742" t="s">
        <v>2021</v>
      </c>
      <c r="D100" s="742" t="s">
        <v>2022</v>
      </c>
      <c r="E100" s="753">
        <v>0.1</v>
      </c>
      <c r="F100" s="753">
        <v>15</v>
      </c>
    </row>
    <row r="101" spans="1:6" ht="24">
      <c r="A101" s="753">
        <v>27</v>
      </c>
      <c r="B101" s="3462"/>
      <c r="C101" s="742" t="s">
        <v>2023</v>
      </c>
      <c r="D101" s="742" t="s">
        <v>2024</v>
      </c>
      <c r="E101" s="753">
        <v>0.1</v>
      </c>
      <c r="F101" s="753">
        <v>15</v>
      </c>
    </row>
    <row r="102" spans="1:6" ht="24">
      <c r="A102" s="753">
        <v>28</v>
      </c>
      <c r="B102" s="3462"/>
      <c r="C102" s="742" t="s">
        <v>2025</v>
      </c>
      <c r="D102" s="742" t="s">
        <v>2026</v>
      </c>
      <c r="E102" s="753">
        <v>0.1</v>
      </c>
      <c r="F102" s="753">
        <v>15</v>
      </c>
    </row>
    <row r="103" spans="1:6" ht="24">
      <c r="A103" s="753">
        <v>29</v>
      </c>
      <c r="B103" s="3462"/>
      <c r="C103" s="742" t="s">
        <v>2027</v>
      </c>
      <c r="D103" s="742" t="s">
        <v>2028</v>
      </c>
      <c r="E103" s="753">
        <v>0.1</v>
      </c>
      <c r="F103" s="753">
        <v>15</v>
      </c>
    </row>
    <row r="104" spans="1:6" ht="24">
      <c r="A104" s="753">
        <v>30</v>
      </c>
      <c r="B104" s="3462"/>
      <c r="C104" s="742" t="s">
        <v>2029</v>
      </c>
      <c r="D104" s="742" t="s">
        <v>2030</v>
      </c>
      <c r="E104" s="753">
        <v>0.1</v>
      </c>
      <c r="F104" s="753">
        <v>15</v>
      </c>
    </row>
    <row r="105" spans="1:6" ht="24">
      <c r="A105" s="753">
        <v>31</v>
      </c>
      <c r="B105" s="3462"/>
      <c r="C105" s="742" t="s">
        <v>2031</v>
      </c>
      <c r="D105" s="742" t="s">
        <v>2032</v>
      </c>
      <c r="E105" s="753">
        <v>0.1</v>
      </c>
      <c r="F105" s="753">
        <v>15</v>
      </c>
    </row>
    <row r="106" spans="1:6" ht="24">
      <c r="A106" s="753">
        <v>32</v>
      </c>
      <c r="B106" s="3462"/>
      <c r="C106" s="742" t="s">
        <v>2033</v>
      </c>
      <c r="D106" s="742" t="s">
        <v>2034</v>
      </c>
      <c r="E106" s="753">
        <v>0.1</v>
      </c>
      <c r="F106" s="753">
        <v>15</v>
      </c>
    </row>
    <row r="107" spans="1:6" ht="24">
      <c r="A107" s="753">
        <v>33</v>
      </c>
      <c r="B107" s="3462"/>
      <c r="C107" s="742" t="s">
        <v>2035</v>
      </c>
      <c r="D107" s="742" t="s">
        <v>2036</v>
      </c>
      <c r="E107" s="753">
        <v>0.1</v>
      </c>
      <c r="F107" s="753">
        <v>15</v>
      </c>
    </row>
    <row r="108" spans="1:6" ht="24">
      <c r="A108" s="753">
        <v>34</v>
      </c>
      <c r="B108" s="3461"/>
      <c r="C108" s="742" t="s">
        <v>2037</v>
      </c>
      <c r="D108" s="742" t="s">
        <v>2038</v>
      </c>
      <c r="E108" s="753">
        <v>0.1</v>
      </c>
      <c r="F108" s="753">
        <v>15</v>
      </c>
    </row>
    <row r="109" spans="1:6" ht="36">
      <c r="A109" s="753">
        <v>35</v>
      </c>
      <c r="B109" s="3460" t="s">
        <v>2039</v>
      </c>
      <c r="C109" s="753" t="s">
        <v>2040</v>
      </c>
      <c r="D109" s="742" t="s">
        <v>2041</v>
      </c>
      <c r="E109" s="753">
        <v>0.15</v>
      </c>
      <c r="F109" s="753">
        <v>20</v>
      </c>
    </row>
    <row r="110" spans="1:6" ht="24">
      <c r="A110" s="753">
        <v>36</v>
      </c>
      <c r="B110" s="3462"/>
      <c r="C110" s="753" t="s">
        <v>2042</v>
      </c>
      <c r="D110" s="742" t="s">
        <v>2043</v>
      </c>
      <c r="E110" s="753">
        <v>0.15</v>
      </c>
      <c r="F110" s="753">
        <v>20</v>
      </c>
    </row>
    <row r="111" spans="1:6" ht="24">
      <c r="A111" s="753">
        <v>37</v>
      </c>
      <c r="B111" s="3462"/>
      <c r="C111" s="753" t="s">
        <v>2044</v>
      </c>
      <c r="D111" s="742" t="s">
        <v>2045</v>
      </c>
      <c r="E111" s="753">
        <v>0.15</v>
      </c>
      <c r="F111" s="753">
        <v>20</v>
      </c>
    </row>
    <row r="112" spans="1:6" ht="24">
      <c r="A112" s="753">
        <v>38</v>
      </c>
      <c r="B112" s="3462"/>
      <c r="C112" s="753" t="s">
        <v>2046</v>
      </c>
      <c r="D112" s="742" t="s">
        <v>2047</v>
      </c>
      <c r="E112" s="753">
        <v>0.1</v>
      </c>
      <c r="F112" s="753">
        <v>15</v>
      </c>
    </row>
    <row r="113" spans="1:6" ht="24">
      <c r="A113" s="753">
        <v>39</v>
      </c>
      <c r="B113" s="3462"/>
      <c r="C113" s="753" t="s">
        <v>2048</v>
      </c>
      <c r="D113" s="742" t="s">
        <v>2049</v>
      </c>
      <c r="E113" s="753">
        <v>0.1</v>
      </c>
      <c r="F113" s="753">
        <v>15</v>
      </c>
    </row>
    <row r="114" spans="1:6" ht="24">
      <c r="A114" s="753">
        <v>40</v>
      </c>
      <c r="B114" s="3461"/>
      <c r="C114" s="753" t="s">
        <v>2050</v>
      </c>
      <c r="D114" s="742" t="s">
        <v>2051</v>
      </c>
      <c r="E114" s="753">
        <v>0.1</v>
      </c>
      <c r="F114" s="753">
        <v>15</v>
      </c>
    </row>
    <row r="115" spans="1:6" ht="24">
      <c r="A115" s="753">
        <v>41</v>
      </c>
      <c r="B115" s="3459" t="s">
        <v>2052</v>
      </c>
      <c r="C115" s="753" t="s">
        <v>2053</v>
      </c>
      <c r="D115" s="742" t="s">
        <v>2054</v>
      </c>
      <c r="E115" s="753">
        <v>0.1</v>
      </c>
      <c r="F115" s="753">
        <v>15</v>
      </c>
    </row>
    <row r="116" spans="1:6" ht="24">
      <c r="A116" s="753">
        <v>42</v>
      </c>
      <c r="B116" s="3459"/>
      <c r="C116" s="753" t="s">
        <v>2055</v>
      </c>
      <c r="D116" s="742" t="s">
        <v>2056</v>
      </c>
      <c r="E116" s="753">
        <v>0.1</v>
      </c>
      <c r="F116" s="753">
        <v>15</v>
      </c>
    </row>
    <row r="117" spans="1:6" ht="24">
      <c r="A117" s="753">
        <v>43</v>
      </c>
      <c r="B117" s="3459"/>
      <c r="C117" s="753" t="s">
        <v>2057</v>
      </c>
      <c r="D117" s="742" t="s">
        <v>2058</v>
      </c>
      <c r="E117" s="753">
        <v>0.1</v>
      </c>
      <c r="F117" s="753">
        <v>15</v>
      </c>
    </row>
    <row r="118" spans="1:6" ht="24">
      <c r="A118" s="753">
        <v>44</v>
      </c>
      <c r="B118" s="3460" t="s">
        <v>2059</v>
      </c>
      <c r="C118" s="753" t="s">
        <v>2060</v>
      </c>
      <c r="D118" s="742" t="s">
        <v>2061</v>
      </c>
      <c r="E118" s="753">
        <v>0.1</v>
      </c>
      <c r="F118" s="753">
        <v>15</v>
      </c>
    </row>
    <row r="119" spans="1:6" ht="24">
      <c r="A119" s="753">
        <v>45</v>
      </c>
      <c r="B119" s="3461"/>
      <c r="C119" s="742" t="s">
        <v>2062</v>
      </c>
      <c r="D119" s="742" t="s">
        <v>2063</v>
      </c>
      <c r="E119" s="753">
        <v>0.1</v>
      </c>
      <c r="F119" s="753">
        <v>15</v>
      </c>
    </row>
    <row r="120" spans="1:6" ht="24">
      <c r="A120" s="753">
        <v>46</v>
      </c>
      <c r="B120" s="3460" t="s">
        <v>2064</v>
      </c>
      <c r="C120" s="753" t="s">
        <v>2065</v>
      </c>
      <c r="D120" s="742" t="s">
        <v>2066</v>
      </c>
      <c r="E120" s="753">
        <v>0.1</v>
      </c>
      <c r="F120" s="753">
        <v>15</v>
      </c>
    </row>
    <row r="121" spans="1:6" ht="24">
      <c r="A121" s="753">
        <v>47</v>
      </c>
      <c r="B121" s="3461"/>
      <c r="C121" s="753" t="s">
        <v>2067</v>
      </c>
      <c r="D121" s="742" t="s">
        <v>2068</v>
      </c>
      <c r="E121" s="753">
        <v>0.1</v>
      </c>
      <c r="F121" s="753">
        <v>15</v>
      </c>
    </row>
    <row r="122" spans="1:6" ht="24">
      <c r="A122" s="753">
        <v>48</v>
      </c>
      <c r="B122" s="3460" t="s">
        <v>2069</v>
      </c>
      <c r="C122" s="753" t="s">
        <v>2070</v>
      </c>
      <c r="D122" s="742" t="s">
        <v>2071</v>
      </c>
      <c r="E122" s="753">
        <v>0.1</v>
      </c>
      <c r="F122" s="753">
        <v>15</v>
      </c>
    </row>
    <row r="123" spans="1:6" ht="24">
      <c r="A123" s="753">
        <v>49</v>
      </c>
      <c r="B123" s="3461"/>
      <c r="C123" s="753" t="s">
        <v>2072</v>
      </c>
      <c r="D123" s="742" t="s">
        <v>2073</v>
      </c>
      <c r="E123" s="753">
        <v>0.1</v>
      </c>
      <c r="F123" s="753">
        <v>15</v>
      </c>
    </row>
    <row r="124" spans="1:6" ht="24">
      <c r="A124" s="753">
        <v>50</v>
      </c>
      <c r="B124" s="3459" t="s">
        <v>2074</v>
      </c>
      <c r="C124" s="753" t="s">
        <v>2075</v>
      </c>
      <c r="D124" s="742" t="s">
        <v>2076</v>
      </c>
      <c r="E124" s="753">
        <v>0.1</v>
      </c>
      <c r="F124" s="753">
        <v>15</v>
      </c>
    </row>
    <row r="125" spans="1:6" ht="24">
      <c r="A125" s="753">
        <v>51</v>
      </c>
      <c r="B125" s="3459"/>
      <c r="C125" s="753" t="s">
        <v>2077</v>
      </c>
      <c r="D125" s="742" t="s">
        <v>2078</v>
      </c>
      <c r="E125" s="753">
        <v>0.1</v>
      </c>
      <c r="F125" s="753">
        <v>15</v>
      </c>
    </row>
    <row r="126" spans="1:6" ht="24">
      <c r="A126" s="753">
        <v>52</v>
      </c>
      <c r="B126" s="3459" t="s">
        <v>2079</v>
      </c>
      <c r="C126" s="753" t="s">
        <v>2080</v>
      </c>
      <c r="D126" s="742" t="s">
        <v>2081</v>
      </c>
      <c r="E126" s="753">
        <v>0.1</v>
      </c>
      <c r="F126" s="753">
        <v>15</v>
      </c>
    </row>
    <row r="127" spans="1:6" ht="24">
      <c r="A127" s="753">
        <v>53</v>
      </c>
      <c r="B127" s="3459"/>
      <c r="C127" s="753" t="s">
        <v>2082</v>
      </c>
      <c r="D127" s="742" t="s">
        <v>2083</v>
      </c>
      <c r="E127" s="753">
        <v>0.1</v>
      </c>
      <c r="F127" s="753">
        <v>15</v>
      </c>
    </row>
    <row r="128" spans="1:6" ht="24">
      <c r="A128" s="753">
        <v>54</v>
      </c>
      <c r="B128" s="753" t="s">
        <v>2084</v>
      </c>
      <c r="C128" s="753" t="s">
        <v>2085</v>
      </c>
      <c r="D128" s="742" t="s">
        <v>2086</v>
      </c>
      <c r="E128" s="753">
        <v>0.1</v>
      </c>
      <c r="F128" s="753">
        <v>15</v>
      </c>
    </row>
    <row r="129" spans="1:6" ht="24">
      <c r="A129" s="753">
        <v>55</v>
      </c>
      <c r="B129" s="3459" t="s">
        <v>2087</v>
      </c>
      <c r="C129" s="753" t="s">
        <v>2088</v>
      </c>
      <c r="D129" s="742" t="s">
        <v>2089</v>
      </c>
      <c r="E129" s="753">
        <v>0.1</v>
      </c>
      <c r="F129" s="753">
        <v>15</v>
      </c>
    </row>
    <row r="130" spans="1:6" ht="24">
      <c r="A130" s="753">
        <v>56</v>
      </c>
      <c r="B130" s="3459"/>
      <c r="C130" s="753" t="s">
        <v>2090</v>
      </c>
      <c r="D130" s="742" t="s">
        <v>2091</v>
      </c>
      <c r="E130" s="753">
        <v>0.1</v>
      </c>
      <c r="F130" s="753">
        <v>15</v>
      </c>
    </row>
    <row r="131" spans="1:6" ht="24">
      <c r="A131" s="753">
        <v>57</v>
      </c>
      <c r="B131" s="3459"/>
      <c r="C131" s="753" t="s">
        <v>2092</v>
      </c>
      <c r="D131" s="742" t="s">
        <v>2093</v>
      </c>
      <c r="E131" s="753">
        <v>0.1</v>
      </c>
      <c r="F131" s="753">
        <v>15</v>
      </c>
    </row>
    <row r="132" spans="1:6" ht="24">
      <c r="A132" s="753">
        <v>58</v>
      </c>
      <c r="B132" s="3459" t="s">
        <v>2094</v>
      </c>
      <c r="C132" s="753" t="s">
        <v>2095</v>
      </c>
      <c r="D132" s="742" t="s">
        <v>2096</v>
      </c>
      <c r="E132" s="753">
        <v>0.1</v>
      </c>
      <c r="F132" s="753">
        <v>15</v>
      </c>
    </row>
    <row r="133" spans="1:6" ht="24">
      <c r="A133" s="753">
        <v>59</v>
      </c>
      <c r="B133" s="3459"/>
      <c r="C133" s="753" t="s">
        <v>2097</v>
      </c>
      <c r="D133" s="742" t="s">
        <v>2098</v>
      </c>
      <c r="E133" s="753">
        <v>0.1</v>
      </c>
      <c r="F133" s="753">
        <v>15</v>
      </c>
    </row>
    <row r="134" spans="1:6" ht="24">
      <c r="A134" s="753">
        <v>60</v>
      </c>
      <c r="B134" s="3460" t="s">
        <v>2099</v>
      </c>
      <c r="C134" s="753" t="s">
        <v>2100</v>
      </c>
      <c r="D134" s="742" t="s">
        <v>2101</v>
      </c>
      <c r="E134" s="753">
        <v>0.1</v>
      </c>
      <c r="F134" s="753">
        <v>15</v>
      </c>
    </row>
    <row r="135" spans="1:6" ht="24">
      <c r="A135" s="753">
        <v>61</v>
      </c>
      <c r="B135" s="3461"/>
      <c r="C135" s="753" t="s">
        <v>2102</v>
      </c>
      <c r="D135" s="742" t="s">
        <v>2103</v>
      </c>
      <c r="E135" s="753">
        <v>0.1</v>
      </c>
      <c r="F135" s="753">
        <v>15</v>
      </c>
    </row>
    <row r="136" spans="1:6" ht="24">
      <c r="A136" s="753">
        <v>62</v>
      </c>
      <c r="B136" s="753" t="s">
        <v>2104</v>
      </c>
      <c r="C136" s="753" t="s">
        <v>2105</v>
      </c>
      <c r="D136" s="742" t="s">
        <v>2106</v>
      </c>
      <c r="E136" s="753">
        <v>0.1</v>
      </c>
      <c r="F136" s="753">
        <v>15</v>
      </c>
    </row>
    <row r="137" spans="1:6" ht="24">
      <c r="A137" s="753">
        <v>63</v>
      </c>
      <c r="B137" s="3459" t="s">
        <v>2107</v>
      </c>
      <c r="C137" s="753" t="s">
        <v>2108</v>
      </c>
      <c r="D137" s="742" t="s">
        <v>2109</v>
      </c>
      <c r="E137" s="753">
        <v>0.1</v>
      </c>
      <c r="F137" s="753">
        <v>15</v>
      </c>
    </row>
    <row r="138" spans="1:6" ht="24">
      <c r="A138" s="753">
        <v>64</v>
      </c>
      <c r="B138" s="3459"/>
      <c r="C138" s="753" t="s">
        <v>2110</v>
      </c>
      <c r="D138" s="742" t="s">
        <v>2111</v>
      </c>
      <c r="E138" s="753">
        <v>0.1</v>
      </c>
      <c r="F138" s="753">
        <v>15</v>
      </c>
    </row>
    <row r="139" spans="1:6" ht="24">
      <c r="A139" s="753">
        <v>65</v>
      </c>
      <c r="B139" s="753" t="s">
        <v>2112</v>
      </c>
      <c r="C139" s="753" t="s">
        <v>2113</v>
      </c>
      <c r="D139" s="742" t="s">
        <v>2114</v>
      </c>
      <c r="E139" s="753">
        <v>0.1</v>
      </c>
      <c r="F139" s="753">
        <v>15</v>
      </c>
    </row>
    <row r="140" spans="1:6" ht="14.4">
      <c r="A140" s="753"/>
      <c r="B140" s="753"/>
      <c r="C140" s="753"/>
      <c r="D140" s="753"/>
      <c r="E140" s="753" t="s">
        <v>124</v>
      </c>
      <c r="F140" s="753"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4.4"/>
  <cols>
    <col min="1" max="13" width="9" style="709"/>
  </cols>
  <sheetData>
    <row r="1" spans="1:20" ht="15.6">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5.6">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5.6">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5.6">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5.6">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5.6">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5.6">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30" customWidth="1"/>
    <col min="2" max="2" width="29.21875" style="631" customWidth="1"/>
    <col min="3" max="3" width="12.109375" style="631" customWidth="1"/>
    <col min="4" max="5" width="11.21875" style="632" customWidth="1"/>
    <col min="6" max="6" width="9.44140625" style="631" customWidth="1"/>
    <col min="7" max="7" width="31.88671875" style="631" customWidth="1"/>
    <col min="8" max="254" width="9" style="631" customWidth="1"/>
    <col min="255" max="16384" width="8.33203125" style="631"/>
  </cols>
  <sheetData>
    <row r="1" spans="1:7" s="626" customFormat="1" ht="21">
      <c r="A1" s="633" t="s">
        <v>2127</v>
      </c>
      <c r="B1" s="634"/>
      <c r="C1" s="635"/>
      <c r="D1" s="635"/>
      <c r="E1" s="635"/>
      <c r="F1" s="635"/>
      <c r="G1" s="636"/>
    </row>
    <row r="2" spans="1:7" s="626" customFormat="1" ht="18" customHeight="1">
      <c r="A2" s="637" t="s">
        <v>2128</v>
      </c>
      <c r="B2" s="638">
        <f ca="1">C52</f>
        <v>27892</v>
      </c>
      <c r="C2" s="639" t="s">
        <v>2129</v>
      </c>
      <c r="D2" s="636"/>
      <c r="E2" s="636"/>
      <c r="F2" s="636"/>
      <c r="G2" s="636"/>
    </row>
    <row r="3" spans="1:7" s="626" customFormat="1" ht="18" customHeight="1">
      <c r="A3" s="640" t="s">
        <v>2130</v>
      </c>
      <c r="B3" s="641">
        <f ca="1">ROUND(B2*10000/'数据-汇总表'!E3,0)</f>
        <v>2416356</v>
      </c>
      <c r="C3" s="639" t="s">
        <v>1635</v>
      </c>
      <c r="D3" s="636"/>
      <c r="E3" s="636"/>
      <c r="F3" s="636"/>
      <c r="G3" s="636"/>
    </row>
    <row r="4" spans="1:7" s="627" customFormat="1" ht="16.2">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2</v>
      </c>
      <c r="D10" s="663">
        <f>'数据-汇总表'!E6</f>
        <v>115.43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2</v>
      </c>
      <c r="D19" s="648">
        <f>'数据-汇总表'!E3</f>
        <v>115.43</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6.4">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27830</v>
      </c>
      <c r="D31" s="691"/>
      <c r="E31" s="647"/>
      <c r="F31" s="692"/>
      <c r="G31" s="674" t="s">
        <v>2175</v>
      </c>
    </row>
    <row r="32" spans="1:7" s="627" customFormat="1" ht="16.2">
      <c r="A32" s="693" t="s">
        <v>2176</v>
      </c>
      <c r="B32" s="694"/>
      <c r="C32" s="694"/>
      <c r="D32" s="694"/>
      <c r="E32" s="694"/>
      <c r="F32" s="694"/>
      <c r="G32" s="695"/>
    </row>
    <row r="33" spans="1:7" s="628" customFormat="1" ht="13.5" customHeight="1">
      <c r="A33" s="645" t="s">
        <v>1036</v>
      </c>
      <c r="B33" s="646" t="s">
        <v>2177</v>
      </c>
      <c r="C33" s="696">
        <f>SUM(C34:C38)</f>
        <v>58</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52</v>
      </c>
      <c r="D34" s="653"/>
      <c r="E34" s="656"/>
      <c r="F34" s="697">
        <f>IF('数据-取费表'!B24=0,1,'数据-取费表'!N16)</f>
        <v>1</v>
      </c>
      <c r="G34" s="655" t="s">
        <v>2179</v>
      </c>
    </row>
    <row r="35" spans="1:7" ht="13.5" customHeight="1">
      <c r="A35" s="677" t="s">
        <v>1042</v>
      </c>
      <c r="B35" s="651" t="s">
        <v>2180</v>
      </c>
      <c r="C35" s="656">
        <f>ROUND(C34*F35,0)</f>
        <v>3</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2</v>
      </c>
      <c r="D37" s="653">
        <f>'数据-汇总表'!E3</f>
        <v>115.43</v>
      </c>
      <c r="E37" s="689">
        <f>'数据-取费表'!B35</f>
        <v>200</v>
      </c>
      <c r="F37" s="698"/>
      <c r="G37" s="700" t="s">
        <v>2185</v>
      </c>
    </row>
    <row r="38" spans="1:7" ht="13.5" customHeight="1">
      <c r="A38" s="677" t="s">
        <v>1106</v>
      </c>
      <c r="B38" s="651" t="s">
        <v>2143</v>
      </c>
      <c r="C38" s="656">
        <f>ROUND(C34*F38,0)</f>
        <v>1</v>
      </c>
      <c r="D38" s="656"/>
      <c r="E38" s="656"/>
      <c r="F38" s="698">
        <f>'数据-取费表'!B36</f>
        <v>0.02</v>
      </c>
      <c r="G38" s="655" t="s">
        <v>2181</v>
      </c>
    </row>
    <row r="39" spans="1:7" s="628" customFormat="1" ht="13.5" customHeight="1">
      <c r="A39" s="668" t="s">
        <v>1737</v>
      </c>
      <c r="B39" s="646" t="s">
        <v>2153</v>
      </c>
      <c r="C39" s="387">
        <f>ROUND(C33*F20,0)</f>
        <v>2</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2</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2</v>
      </c>
      <c r="D42" s="392"/>
      <c r="E42" s="392"/>
      <c r="F42" s="679"/>
      <c r="G42" s="3355" t="s">
        <v>2189</v>
      </c>
    </row>
    <row r="43" spans="1:7" ht="13.5" customHeight="1">
      <c r="A43" s="677" t="s">
        <v>1042</v>
      </c>
      <c r="B43" s="651" t="s">
        <v>2161</v>
      </c>
      <c r="C43" s="392">
        <f ca="1">ROUND(IF('数据-取费表'!B22&lt;=1,C39*F22*'数据-取费表'!B21/2,C39*(POWER((1+F22),'数据-取费表'!B21/2)-1)),0)</f>
        <v>0</v>
      </c>
      <c r="D43" s="392"/>
      <c r="E43" s="392"/>
      <c r="F43" s="679"/>
      <c r="G43" s="3356"/>
    </row>
    <row r="44" spans="1:7" ht="13.5" customHeight="1">
      <c r="A44" s="677" t="s">
        <v>1044</v>
      </c>
      <c r="B44" s="651" t="s">
        <v>2163</v>
      </c>
      <c r="C44" s="392">
        <f ca="1">ROUND(IF('数据-取费表'!B22&lt;=1,C40*F22*'数据-取费表'!B21/2,C40*(POWER((1+F22),'数据-取费表'!B21/2)-1)),4)</f>
        <v>5.9999999999999995E-4</v>
      </c>
      <c r="D44" s="392"/>
      <c r="E44" s="392"/>
      <c r="F44" s="679"/>
      <c r="G44" s="3357"/>
    </row>
    <row r="45" spans="1:7" s="628" customFormat="1" ht="13.5" customHeight="1">
      <c r="A45" s="668" t="s">
        <v>1787</v>
      </c>
      <c r="B45" s="684" t="s">
        <v>2166</v>
      </c>
      <c r="C45" s="685">
        <f>C46</f>
        <v>9</v>
      </c>
      <c r="D45" s="672">
        <f>C47</f>
        <v>3.0000000000000001E-3</v>
      </c>
      <c r="E45" s="673" t="s">
        <v>2187</v>
      </c>
      <c r="F45" s="686"/>
      <c r="G45" s="687" t="s">
        <v>2190</v>
      </c>
    </row>
    <row r="46" spans="1:7" s="628" customFormat="1" ht="13.5" customHeight="1">
      <c r="A46" s="677" t="s">
        <v>1040</v>
      </c>
      <c r="B46" s="688" t="s">
        <v>2191</v>
      </c>
      <c r="C46" s="689">
        <f>ROUND((C33+C39)*F27,0)</f>
        <v>9</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77</v>
      </c>
      <c r="D49" s="387"/>
      <c r="E49" s="387"/>
      <c r="F49" s="703"/>
      <c r="G49" s="674" t="s">
        <v>2196</v>
      </c>
    </row>
    <row r="50" spans="1:7" s="225" customFormat="1" ht="24">
      <c r="A50" s="668" t="s">
        <v>2197</v>
      </c>
      <c r="B50" s="646" t="s">
        <v>2198</v>
      </c>
      <c r="C50" s="387"/>
      <c r="D50" s="387"/>
      <c r="E50" s="387"/>
      <c r="F50" s="703">
        <f>IF('数据-取费表'!B24=0,'数据-取费表'!N16,1)</f>
        <v>0.8</v>
      </c>
      <c r="G50" s="687" t="s">
        <v>2199</v>
      </c>
    </row>
    <row r="51" spans="1:7" ht="16.5" customHeight="1">
      <c r="A51" s="668" t="s">
        <v>2200</v>
      </c>
      <c r="B51" s="646" t="s">
        <v>2201</v>
      </c>
      <c r="C51" s="387">
        <f ca="1">ROUND(C49*F50,0)</f>
        <v>62</v>
      </c>
      <c r="D51" s="387"/>
      <c r="E51" s="387"/>
      <c r="F51" s="703"/>
      <c r="G51" s="674" t="s">
        <v>2202</v>
      </c>
    </row>
    <row r="52" spans="1:7" s="627" customFormat="1" ht="16.2">
      <c r="A52" s="704" t="s">
        <v>2203</v>
      </c>
      <c r="B52" s="705"/>
      <c r="C52" s="706">
        <f ca="1">C31+C51</f>
        <v>27892</v>
      </c>
      <c r="D52" s="705"/>
      <c r="E52" s="705"/>
      <c r="F52" s="705"/>
      <c r="G52" s="707"/>
    </row>
    <row r="55" spans="1:7" ht="15">
      <c r="B55" s="511" t="s">
        <v>2204</v>
      </c>
      <c r="C55" s="708"/>
    </row>
    <row r="56" spans="1:7">
      <c r="B56" s="503" t="s">
        <v>2205</v>
      </c>
      <c r="C56" s="513">
        <f ca="1">ROUND(C51/C52,3)</f>
        <v>2E-3</v>
      </c>
    </row>
    <row r="57" spans="1:7">
      <c r="B57" s="503" t="s">
        <v>2206</v>
      </c>
      <c r="C57" s="514">
        <f ca="1">1-C56</f>
        <v>0.998</v>
      </c>
    </row>
  </sheetData>
  <mergeCells count="1">
    <mergeCell ref="G42:G44"/>
  </mergeCells>
  <phoneticPr fontId="225" type="noConversion"/>
  <dataValidations count="2">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8671875" defaultRowHeight="14.4"/>
  <cols>
    <col min="1" max="1" width="12.6640625" style="591" customWidth="1"/>
    <col min="2" max="2" width="20" style="591" customWidth="1"/>
    <col min="3" max="7" width="8.88671875" style="591"/>
    <col min="8" max="16384" width="8.88671875" style="584"/>
  </cols>
  <sheetData>
    <row r="1" spans="1:7">
      <c r="A1" s="3473" t="s">
        <v>2207</v>
      </c>
      <c r="B1" s="3473"/>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1875" defaultRowHeight="14.4"/>
  <cols>
    <col min="1" max="16384" width="13.21875" style="584"/>
  </cols>
  <sheetData>
    <row r="1" spans="1:6">
      <c r="A1" s="3474" t="s">
        <v>2590</v>
      </c>
      <c r="B1" s="3474"/>
      <c r="C1" s="3474"/>
      <c r="D1" s="3474"/>
      <c r="E1" s="3474"/>
      <c r="F1" s="3475"/>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R54"/>
  <sheetViews>
    <sheetView zoomScale="90" zoomScaleNormal="90" workbookViewId="0">
      <selection activeCell="I13" sqref="I13"/>
    </sheetView>
  </sheetViews>
  <sheetFormatPr defaultColWidth="9" defaultRowHeight="14.4"/>
  <cols>
    <col min="1" max="1" width="13.88671875" customWidth="1"/>
    <col min="11" max="17" width="9" hidden="1" customWidth="1"/>
    <col min="25" max="30" width="9" hidden="1" customWidth="1"/>
  </cols>
  <sheetData>
    <row r="1" spans="1:44">
      <c r="A1" s="520">
        <f>基准地价修正!G23</f>
        <v>45882</v>
      </c>
      <c r="B1" s="521" t="s">
        <v>2595</v>
      </c>
      <c r="C1" s="522"/>
      <c r="D1" s="522"/>
      <c r="E1" s="522"/>
      <c r="F1" s="522"/>
      <c r="G1" s="522"/>
      <c r="H1" s="522"/>
      <c r="I1" s="522"/>
      <c r="J1" s="540"/>
      <c r="K1" s="522" t="s">
        <v>2596</v>
      </c>
      <c r="L1" s="522"/>
      <c r="M1" s="522"/>
      <c r="N1" s="522"/>
      <c r="O1" s="522"/>
      <c r="P1" s="522"/>
      <c r="Q1" s="540"/>
      <c r="R1" s="3476" t="s">
        <v>2597</v>
      </c>
      <c r="S1" s="3477"/>
      <c r="T1" s="3477"/>
      <c r="U1" s="3477"/>
      <c r="V1" s="3477"/>
      <c r="W1" s="3477"/>
      <c r="X1" s="540"/>
      <c r="Y1" s="3476" t="s">
        <v>2598</v>
      </c>
      <c r="Z1" s="3477"/>
      <c r="AA1" s="3477"/>
      <c r="AB1" s="3477"/>
      <c r="AC1" s="3477"/>
      <c r="AD1" s="3477"/>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3.2">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3.2">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3.2">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3.2">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3.2">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3.2">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3.2">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3.2">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3.2">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3.2">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3.2">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3.2">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3.2">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3.2">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3.2">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3.2">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3.2">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3.2">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3.2">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3.2">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3.2">
      <c r="B29" s="521" t="s">
        <v>2622</v>
      </c>
      <c r="C29" s="522"/>
      <c r="D29" s="522"/>
      <c r="E29" s="522"/>
      <c r="F29" s="522"/>
      <c r="G29" s="522"/>
      <c r="H29" s="522"/>
      <c r="I29" s="522"/>
      <c r="J29" s="540"/>
      <c r="K29" s="522" t="s">
        <v>2596</v>
      </c>
      <c r="L29" s="522"/>
      <c r="M29" s="522"/>
      <c r="N29" s="522"/>
      <c r="O29" s="522"/>
      <c r="P29" s="522"/>
      <c r="Q29" s="540"/>
      <c r="R29" s="3476" t="s">
        <v>2597</v>
      </c>
      <c r="S29" s="3477"/>
      <c r="T29" s="3477"/>
      <c r="U29" s="3477"/>
      <c r="V29" s="3477"/>
      <c r="W29" s="3477"/>
      <c r="X29" s="540"/>
      <c r="Y29" s="3476" t="s">
        <v>2598</v>
      </c>
      <c r="Z29" s="3477"/>
      <c r="AA29" s="3477"/>
      <c r="AB29" s="3477"/>
      <c r="AC29" s="3477"/>
      <c r="AD29" s="3477"/>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3.2">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3.2">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3.2">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3.2">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3.2">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3.2">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3.2">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3.2">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3.2">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3.2">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3.2">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3.2">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3.2">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3.2">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3.2">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3.2">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3.2">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3.2">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3.2">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3.2">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9" customWidth="1"/>
    <col min="2" max="2" width="37.21875" style="3119" customWidth="1"/>
    <col min="3" max="3" width="11.33203125" style="3119" customWidth="1"/>
    <col min="4" max="4" width="31.77734375" style="3119" customWidth="1"/>
    <col min="5" max="5" width="0.44140625" style="3119" customWidth="1"/>
    <col min="6" max="7" width="13" style="3119" customWidth="1"/>
    <col min="8" max="16384" width="9" style="3119"/>
  </cols>
  <sheetData>
    <row r="1" spans="1:5" ht="17.399999999999999">
      <c r="A1" s="3120"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21"/>
      <c r="B4" s="3183" t="s">
        <v>95</v>
      </c>
      <c r="C4" s="3183"/>
      <c r="D4" s="3183"/>
      <c r="E4" s="3121"/>
    </row>
    <row r="5" spans="1:5" ht="15.6">
      <c r="B5" s="3175" t="s">
        <v>96</v>
      </c>
      <c r="C5" s="3122" t="s">
        <v>97</v>
      </c>
      <c r="D5" s="3123">
        <f ca="1">结果表!H101</f>
        <v>128</v>
      </c>
    </row>
    <row r="6" spans="1:5" ht="15.6">
      <c r="B6" s="3175"/>
      <c r="C6" s="3122" t="s">
        <v>98</v>
      </c>
      <c r="D6" s="3123" t="str">
        <f ca="1">NUMBERSTRING(INT(D5*10000),2)&amp;"元整"</f>
        <v>壹佰贰拾捌万元整</v>
      </c>
    </row>
    <row r="7" spans="1:5" ht="15.6">
      <c r="B7" s="3176"/>
      <c r="C7" s="3124" t="s">
        <v>99</v>
      </c>
      <c r="D7" s="3125">
        <f ca="1">结果表!H102</f>
        <v>11090</v>
      </c>
    </row>
    <row r="8" spans="1:5" ht="15.6">
      <c r="B8" s="3177" t="str">
        <f>结果表!E103</f>
        <v>2.估价师知悉的法定优先受偿款</v>
      </c>
      <c r="C8" s="3126" t="s">
        <v>100</v>
      </c>
      <c r="D8" s="3125">
        <f>结果表!H103</f>
        <v>0</v>
      </c>
    </row>
    <row r="9" spans="1:5" ht="15.6">
      <c r="B9" s="3179"/>
      <c r="C9" s="3122" t="s">
        <v>98</v>
      </c>
      <c r="D9" s="3123" t="str">
        <f>NUMBERSTRING(INT(D8*10000),2)&amp;"元整"</f>
        <v>零元整</v>
      </c>
    </row>
    <row r="10" spans="1:5" ht="15.6">
      <c r="B10" s="3127" t="s">
        <v>101</v>
      </c>
      <c r="C10" s="3128" t="s">
        <v>102</v>
      </c>
      <c r="D10" s="3129">
        <f>结果表!H104</f>
        <v>0</v>
      </c>
    </row>
    <row r="11" spans="1:5" ht="15.6">
      <c r="B11" s="3127" t="s">
        <v>103</v>
      </c>
      <c r="C11" s="3128" t="s">
        <v>102</v>
      </c>
      <c r="D11" s="3129">
        <f>结果表!H105</f>
        <v>0</v>
      </c>
    </row>
    <row r="12" spans="1:5" ht="15.6">
      <c r="B12" s="3127" t="s">
        <v>104</v>
      </c>
      <c r="C12" s="3128" t="s">
        <v>102</v>
      </c>
      <c r="D12" s="3129">
        <f>结果表!H106</f>
        <v>0</v>
      </c>
    </row>
    <row r="13" spans="1:5" ht="15.6">
      <c r="B13" s="3174" t="str">
        <f>结果表!E107</f>
        <v>3.房地产抵押价值</v>
      </c>
      <c r="C13" s="3130" t="s">
        <v>97</v>
      </c>
      <c r="D13" s="3131">
        <f ca="1">结果表!H107</f>
        <v>128</v>
      </c>
    </row>
    <row r="14" spans="1:5" ht="15.6">
      <c r="B14" s="3175"/>
      <c r="C14" s="3122" t="s">
        <v>98</v>
      </c>
      <c r="D14" s="3123" t="str">
        <f ca="1">NUMBERSTRING(INT(D13*10000),2)&amp;"元整"</f>
        <v>壹佰贰拾捌万元整</v>
      </c>
    </row>
    <row r="15" spans="1:5" ht="15.6">
      <c r="B15" s="3176"/>
      <c r="C15" s="3124" t="s">
        <v>99</v>
      </c>
      <c r="D15" s="3132">
        <f ca="1">结果表!H108</f>
        <v>11090</v>
      </c>
    </row>
    <row r="16" spans="1:5" ht="15.6">
      <c r="B16" s="3177" t="str">
        <f>结果表!E109</f>
        <v>——</v>
      </c>
      <c r="C16" s="3130" t="s">
        <v>97</v>
      </c>
      <c r="D16" s="3133" t="str">
        <f>结果表!H109</f>
        <v>——</v>
      </c>
    </row>
    <row r="17" spans="1:5" ht="15.6">
      <c r="B17" s="3178"/>
      <c r="C17" s="3122" t="s">
        <v>98</v>
      </c>
      <c r="D17" s="3123" t="e">
        <f>NUMBERSTRING(INT(D16*10000),2)&amp;"元整"</f>
        <v>#VALUE!</v>
      </c>
    </row>
    <row r="18" spans="1:5" ht="15.6">
      <c r="B18" s="3179"/>
      <c r="C18" s="3124" t="s">
        <v>99</v>
      </c>
      <c r="D18" s="3132" t="str">
        <f>结果表!H110</f>
        <v>——</v>
      </c>
    </row>
    <row r="19" spans="1:5" ht="15.6">
      <c r="B19" s="3174" t="str">
        <f>结果表!E111</f>
        <v>——</v>
      </c>
      <c r="C19" s="3130" t="s">
        <v>97</v>
      </c>
      <c r="D19" s="3125" t="str">
        <f>结果表!H111</f>
        <v>——</v>
      </c>
    </row>
    <row r="20" spans="1:5" ht="15.6">
      <c r="B20" s="3175"/>
      <c r="C20" s="3122" t="s">
        <v>98</v>
      </c>
      <c r="D20" s="3123" t="e">
        <f>NUMBERSTRING(INT(D19*10000),2)&amp;"元整"</f>
        <v>#VALUE!</v>
      </c>
    </row>
    <row r="21" spans="1:5" ht="15.6">
      <c r="B21" s="3180"/>
      <c r="C21" s="3134" t="s">
        <v>99</v>
      </c>
      <c r="D21" s="3135" t="str">
        <f>结果表!H112</f>
        <v>——</v>
      </c>
    </row>
    <row r="22" spans="1:5">
      <c r="B22" s="3136" t="s">
        <v>105</v>
      </c>
    </row>
    <row r="24" spans="1:5" ht="17.399999999999999">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topLeftCell="A22" zoomScale="70" zoomScaleNormal="70" workbookViewId="0">
      <selection activeCell="I21" sqref="I21"/>
    </sheetView>
  </sheetViews>
  <sheetFormatPr defaultColWidth="9" defaultRowHeight="13.2"/>
  <cols>
    <col min="1" max="1" width="9" style="225" customWidth="1"/>
    <col min="2" max="2" width="20.6640625" style="226" customWidth="1"/>
    <col min="3" max="3" width="11.88671875" style="226"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27" customWidth="1"/>
    <col min="12" max="12" width="16.33203125" style="225" customWidth="1"/>
    <col min="13" max="13" width="13" style="225" customWidth="1"/>
    <col min="14" max="14" width="13.77734375" style="224" customWidth="1"/>
    <col min="15" max="15" width="5.109375" style="224" customWidth="1"/>
    <col min="16" max="16" width="25.77734375" style="224" customWidth="1"/>
    <col min="17" max="17" width="13.77734375" style="224" customWidth="1"/>
    <col min="18" max="18" width="20.44140625" style="224" customWidth="1"/>
    <col min="19" max="19" width="13.21875" style="224" customWidth="1"/>
    <col min="20" max="37" width="9" style="224"/>
    <col min="38" max="16384" width="9" style="225"/>
  </cols>
  <sheetData>
    <row r="1" spans="1:37" s="222" customFormat="1" ht="21.6">
      <c r="A1" s="228" t="s">
        <v>1186</v>
      </c>
      <c r="B1" s="229"/>
      <c r="C1" s="230" t="s">
        <v>230</v>
      </c>
      <c r="D1" s="231" t="s">
        <v>124</v>
      </c>
      <c r="E1" s="232" t="s">
        <v>1187</v>
      </c>
      <c r="F1" s="233">
        <f ca="1">J53</f>
        <v>36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73.862099999999998</v>
      </c>
      <c r="C2" s="238" t="s">
        <v>1189</v>
      </c>
      <c r="D2" s="239">
        <f ca="1">C40+J29+L46</f>
        <v>738621</v>
      </c>
      <c r="E2" s="240" t="s">
        <v>2624</v>
      </c>
      <c r="F2" s="241"/>
      <c r="G2" s="242"/>
      <c r="H2" s="243"/>
      <c r="I2" s="243"/>
      <c r="J2" s="243"/>
      <c r="K2" s="408"/>
      <c r="L2" s="243"/>
      <c r="M2" s="243"/>
    </row>
    <row r="3" spans="1:37" ht="18" customHeight="1">
      <c r="A3" s="244" t="s">
        <v>1190</v>
      </c>
      <c r="B3" s="245">
        <f ca="1">IF(ISERROR(D2/F43),0,ROUND(D2/F43,0))</f>
        <v>6399</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50200</v>
      </c>
      <c r="D5" s="254" t="s">
        <v>1199</v>
      </c>
      <c r="E5" s="255"/>
      <c r="F5" s="256"/>
      <c r="G5" s="224"/>
      <c r="H5" s="251">
        <v>1</v>
      </c>
      <c r="I5" s="252" t="s">
        <v>1198</v>
      </c>
      <c r="J5" s="253">
        <f ca="1">J6+J10+J12</f>
        <v>0</v>
      </c>
      <c r="K5" s="254" t="s">
        <v>1199</v>
      </c>
      <c r="L5" s="255"/>
      <c r="M5" s="256"/>
    </row>
    <row r="6" spans="1:37" ht="18" customHeight="1">
      <c r="A6" s="257" t="s">
        <v>941</v>
      </c>
      <c r="B6" s="3360" t="s">
        <v>1200</v>
      </c>
      <c r="C6" s="258">
        <f ca="1">ROUND(F6*F8*F7*(1-F9),0)</f>
        <v>50137</v>
      </c>
      <c r="D6" s="259" t="s">
        <v>2625</v>
      </c>
      <c r="E6" s="260" t="s">
        <v>1202</v>
      </c>
      <c r="F6" s="261">
        <f ca="1">INDIRECT("'数据-取费表'!u"&amp;$G$1)</f>
        <v>1.4</v>
      </c>
      <c r="G6" s="224"/>
      <c r="H6" s="257" t="s">
        <v>941</v>
      </c>
      <c r="I6" s="3360" t="s">
        <v>1200</v>
      </c>
      <c r="J6" s="335">
        <f ca="1">ROUND(M6*M8*M7*(1-M9),0)</f>
        <v>0</v>
      </c>
      <c r="K6" s="411" t="s">
        <v>2626</v>
      </c>
      <c r="L6" s="260" t="s">
        <v>1202</v>
      </c>
      <c r="M6" s="261">
        <f ca="1">INDIRECT("'数据-取费表'!z"&amp;$G$1)</f>
        <v>0</v>
      </c>
    </row>
    <row r="7" spans="1:37" ht="18" customHeight="1">
      <c r="A7" s="262"/>
      <c r="B7" s="3361"/>
      <c r="C7" s="263"/>
      <c r="D7" s="264"/>
      <c r="E7" s="265" t="s">
        <v>1204</v>
      </c>
      <c r="F7" s="261">
        <f ca="1">IF(INDIRECT("'数据-取费表'!ah"&amp;$G$1)="",INDIRECT("'数据-取费表'!k"&amp;$G$1),INDIRECT("'数据-取费表'!ah"&amp;$G$1))</f>
        <v>115.43</v>
      </c>
      <c r="G7" s="224"/>
      <c r="H7" s="266"/>
      <c r="I7" s="3361"/>
      <c r="J7" s="267"/>
      <c r="K7" s="264"/>
      <c r="L7" s="260" t="s">
        <v>1204</v>
      </c>
      <c r="M7" s="261">
        <f ca="1">F7</f>
        <v>115.43</v>
      </c>
    </row>
    <row r="8" spans="1:37" ht="18" customHeight="1">
      <c r="A8" s="266"/>
      <c r="B8" s="3361"/>
      <c r="C8" s="267"/>
      <c r="D8" s="264"/>
      <c r="E8" s="260" t="s">
        <v>1205</v>
      </c>
      <c r="F8" s="261">
        <f ca="1">INDIRECT("'数据-取费表'!ai"&amp;$G$1)</f>
        <v>365</v>
      </c>
      <c r="G8" s="224"/>
      <c r="H8" s="266"/>
      <c r="I8" s="3361"/>
      <c r="J8" s="267"/>
      <c r="K8" s="264"/>
      <c r="L8" s="260" t="s">
        <v>1205</v>
      </c>
      <c r="M8" s="261">
        <f ca="1">INDIRECT("'数据-取费表'!ai"&amp;$G$1)</f>
        <v>365</v>
      </c>
    </row>
    <row r="9" spans="1:37" ht="18" customHeight="1">
      <c r="A9" s="266"/>
      <c r="B9" s="3362"/>
      <c r="C9" s="267"/>
      <c r="D9" s="264"/>
      <c r="E9" s="260" t="s">
        <v>1206</v>
      </c>
      <c r="F9" s="268">
        <f ca="1">INDIRECT("'数据-取费表'!w"&amp;$G$1)</f>
        <v>0.15</v>
      </c>
      <c r="G9" s="224"/>
      <c r="H9" s="266"/>
      <c r="I9" s="3362"/>
      <c r="J9" s="267"/>
      <c r="K9" s="264"/>
      <c r="L9" s="272" t="s">
        <v>1206</v>
      </c>
      <c r="M9" s="277">
        <f ca="1">INDIRECT("'数据-取费表'!ab"&amp;$G$1)</f>
        <v>0</v>
      </c>
    </row>
    <row r="10" spans="1:37" ht="18" customHeight="1">
      <c r="A10" s="257" t="s">
        <v>945</v>
      </c>
      <c r="B10" s="269" t="s">
        <v>1207</v>
      </c>
      <c r="C10" s="270">
        <f ca="1">ROUND(IF(F10="押一",C6/12*F11,IF(F10="押二",C6/12*2*F11,IF(F10="押三",C6/12*3*F11,C11*F11))),0)</f>
        <v>63</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609747</v>
      </c>
      <c r="D13" s="288" t="s">
        <v>1214</v>
      </c>
      <c r="E13" s="288" t="s">
        <v>1215</v>
      </c>
      <c r="F13" s="289">
        <f ca="1">INDIRECT("'数据-取费表'!y"&amp;$G$1)</f>
        <v>0.8</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519435</v>
      </c>
      <c r="D14" s="292" t="s">
        <v>1217</v>
      </c>
      <c r="E14" s="293"/>
      <c r="F14" s="294"/>
      <c r="G14" s="224"/>
      <c r="H14" s="290" t="s">
        <v>941</v>
      </c>
      <c r="I14" s="260" t="s">
        <v>1218</v>
      </c>
      <c r="J14" s="295">
        <f ca="1">C29</f>
        <v>762184</v>
      </c>
      <c r="K14" s="420"/>
      <c r="L14" s="421"/>
      <c r="M14" s="422"/>
    </row>
    <row r="15" spans="1:37" s="223" customFormat="1" ht="18" customHeight="1">
      <c r="A15" s="290" t="s">
        <v>968</v>
      </c>
      <c r="B15" s="260" t="s">
        <v>1147</v>
      </c>
      <c r="C15" s="295">
        <f ca="1">ROUND(C14*F15,0)</f>
        <v>25972</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7622</v>
      </c>
      <c r="K16" s="313" t="s">
        <v>1223</v>
      </c>
      <c r="L16" s="314"/>
      <c r="M16" s="256"/>
    </row>
    <row r="17" spans="1:37" s="223" customFormat="1" ht="18" customHeight="1">
      <c r="A17" s="290" t="s">
        <v>1224</v>
      </c>
      <c r="B17" s="260" t="s">
        <v>1225</v>
      </c>
      <c r="C17" s="295">
        <f ca="1">ROUND(F17*(F43+INDIRECT("'数据-取费表'!S"&amp;$G$1)),0)</f>
        <v>23086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10389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578882</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17366</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7622</v>
      </c>
      <c r="K22" s="317" t="s">
        <v>1249</v>
      </c>
      <c r="L22" s="260" t="s">
        <v>1220</v>
      </c>
      <c r="M22" s="329">
        <f ca="1">INDIRECT("'数据-取费表'!Ak"&amp;$G$1)</f>
        <v>0.01</v>
      </c>
    </row>
    <row r="23" spans="1:37" s="223" customFormat="1" ht="18" customHeight="1">
      <c r="A23" s="290" t="s">
        <v>964</v>
      </c>
      <c r="B23" s="260" t="s">
        <v>1250</v>
      </c>
      <c r="C23" s="295">
        <f ca="1">IF('数据-取费表'!B22&lt;=1,ROUND(C19*F24*F23/2,0)+ROUND(C20*F24*F23/2,0),ROUND(C19*(POWER((1+F24),F23/2)-1),0)+ROUND(C20*(POWER((1+F24),F23/2)-1),0))</f>
        <v>17887</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0.01</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-7622</v>
      </c>
      <c r="K25" s="332" t="s">
        <v>1261</v>
      </c>
      <c r="L25" s="333"/>
      <c r="M25" s="334"/>
    </row>
    <row r="26" spans="1:37" ht="18" customHeight="1">
      <c r="A26" s="290" t="s">
        <v>964</v>
      </c>
      <c r="B26" s="260" t="s">
        <v>1262</v>
      </c>
      <c r="C26" s="295">
        <f ca="1">ROUND((C19+C20)*F26,0)</f>
        <v>89437</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762184</v>
      </c>
      <c r="D29" s="310"/>
      <c r="E29" s="283"/>
      <c r="F29" s="311"/>
      <c r="G29" s="298"/>
      <c r="H29" s="312" t="s">
        <v>1277</v>
      </c>
      <c r="I29" s="342" t="s">
        <v>1278</v>
      </c>
      <c r="J29" s="343">
        <f ca="1">ROUND(J26/(1+F40)^F41,0)</f>
        <v>0</v>
      </c>
      <c r="K29" s="344" t="s">
        <v>1279</v>
      </c>
      <c r="L29" s="345"/>
      <c r="M29" s="346">
        <f ca="1">INDIRECT("'数据-取费表'!k"&amp;$G$1)</f>
        <v>115.43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12076</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3342</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7622</v>
      </c>
      <c r="D36" s="317" t="s">
        <v>1281</v>
      </c>
      <c r="E36" s="260" t="s">
        <v>1220</v>
      </c>
      <c r="F36" s="329">
        <f ca="1">INDIRECT("'数据-取费表'!Ak"&amp;$G$1)</f>
        <v>0.01</v>
      </c>
      <c r="G36" s="224"/>
      <c r="H36" s="321"/>
      <c r="I36" s="427"/>
      <c r="J36" s="428"/>
      <c r="K36" s="434"/>
      <c r="L36" s="321"/>
      <c r="M36" s="321"/>
    </row>
    <row r="37" spans="1:18" ht="18" customHeight="1">
      <c r="A37" s="290" t="s">
        <v>990</v>
      </c>
      <c r="B37" s="260" t="s">
        <v>1252</v>
      </c>
      <c r="C37" s="295">
        <f ca="1">ROUND(C13*F37,0)</f>
        <v>610</v>
      </c>
      <c r="D37" s="317" t="s">
        <v>1253</v>
      </c>
      <c r="E37" s="260" t="s">
        <v>1220</v>
      </c>
      <c r="F37" s="330">
        <f ca="1">INDIRECT("'数据-取费表'!Al"&amp;$G$1)</f>
        <v>1E-3</v>
      </c>
      <c r="G37" s="224"/>
      <c r="H37" s="321"/>
      <c r="I37" s="427"/>
      <c r="J37" s="428"/>
      <c r="K37" s="434"/>
      <c r="L37" s="321"/>
      <c r="M37" s="321"/>
    </row>
    <row r="38" spans="1:18" ht="18" customHeight="1">
      <c r="A38" s="299" t="s">
        <v>993</v>
      </c>
      <c r="B38" s="283" t="s">
        <v>1238</v>
      </c>
      <c r="C38" s="309">
        <f ca="1">ROUND(C5*F38,0)</f>
        <v>502</v>
      </c>
      <c r="D38" s="310" t="s">
        <v>1256</v>
      </c>
      <c r="E38" s="283" t="s">
        <v>1220</v>
      </c>
      <c r="F38" s="284">
        <f ca="1">INDIRECT("'数据-取费表'!Am"&amp;$G$1)</f>
        <v>0.01</v>
      </c>
      <c r="G38" s="224"/>
      <c r="H38" s="321"/>
      <c r="I38" s="427"/>
      <c r="J38" s="428"/>
      <c r="K38" s="429"/>
      <c r="L38" s="321"/>
      <c r="M38" s="321"/>
    </row>
    <row r="39" spans="1:18" ht="24.6" customHeight="1">
      <c r="A39" s="285" t="s">
        <v>1259</v>
      </c>
      <c r="B39" s="331" t="s">
        <v>1260</v>
      </c>
      <c r="C39" s="287">
        <f ca="1">C5-C30</f>
        <v>38124</v>
      </c>
      <c r="D39" s="332" t="s">
        <v>1261</v>
      </c>
      <c r="E39" s="333"/>
      <c r="F39" s="334"/>
      <c r="G39" s="224"/>
      <c r="H39" s="321">
        <f ca="1">C39/C5</f>
        <v>0.75944223107569719</v>
      </c>
      <c r="I39" s="427"/>
      <c r="J39" s="428"/>
      <c r="K39" s="429"/>
      <c r="L39" s="321"/>
      <c r="M39" s="321"/>
    </row>
    <row r="40" spans="1:18" ht="18" customHeight="1">
      <c r="A40" s="251" t="s">
        <v>1265</v>
      </c>
      <c r="B40" s="252" t="s">
        <v>1282</v>
      </c>
      <c r="C40" s="335">
        <f ca="1">ROUND(C39*(1-((1+F42)/(1+F40))^F41)/(F40-F42),0)</f>
        <v>716057</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36</v>
      </c>
      <c r="G41" s="224"/>
      <c r="H41" s="340"/>
      <c r="I41" s="427"/>
      <c r="J41" s="428"/>
      <c r="K41" s="434"/>
      <c r="L41" s="340"/>
      <c r="M41" s="340"/>
    </row>
    <row r="42" spans="1:18" ht="18" customHeight="1">
      <c r="A42" s="274"/>
      <c r="B42" s="341"/>
      <c r="C42" s="287"/>
      <c r="D42" s="327"/>
      <c r="E42" s="260" t="s">
        <v>1275</v>
      </c>
      <c r="F42" s="268">
        <f ca="1">INDIRECT("'数据-取费表'!v"&amp;$G$1)</f>
        <v>1.4999999999999999E-2</v>
      </c>
      <c r="G42" s="224"/>
      <c r="H42" s="340"/>
      <c r="I42" s="427"/>
      <c r="J42" s="428"/>
      <c r="K42" s="434"/>
      <c r="L42" s="340"/>
      <c r="M42" s="340"/>
    </row>
    <row r="43" spans="1:18" ht="18" customHeight="1">
      <c r="A43" s="312" t="s">
        <v>1277</v>
      </c>
      <c r="B43" s="342" t="s">
        <v>1283</v>
      </c>
      <c r="C43" s="343">
        <f ca="1">ROUND(C40/F43,0)</f>
        <v>6203</v>
      </c>
      <c r="D43" s="344" t="s">
        <v>1284</v>
      </c>
      <c r="E43" s="345" t="s">
        <v>1285</v>
      </c>
      <c r="F43" s="346">
        <f ca="1">INDIRECT("'数据-取费表'!k"&amp;$G$1)</f>
        <v>115.43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-84.394999999999996</v>
      </c>
      <c r="D45" s="351" t="s">
        <v>2129</v>
      </c>
      <c r="E45" s="347"/>
      <c r="F45" s="347"/>
      <c r="O45" s="436" t="s">
        <v>1286</v>
      </c>
      <c r="P45" s="336"/>
      <c r="Q45" s="336"/>
      <c r="R45" s="336"/>
    </row>
    <row r="46" spans="1:18" s="224" customFormat="1">
      <c r="A46" s="352" t="s">
        <v>1287</v>
      </c>
      <c r="C46" s="353">
        <f ca="1">ROUND(C45,0)</f>
        <v>-84</v>
      </c>
      <c r="D46" s="354" t="str">
        <f>C2</f>
        <v>万元</v>
      </c>
      <c r="I46" s="437" t="s">
        <v>1288</v>
      </c>
      <c r="J46" s="438"/>
      <c r="K46" s="439"/>
      <c r="L46" s="3168">
        <f ca="1">IF(M47="住宅",0,IF(L48&gt;J51,L60,J60))</f>
        <v>22564</v>
      </c>
      <c r="N46" s="224">
        <f ca="1">'收益法 (元)'!B3</f>
        <v>6399</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716057</v>
      </c>
      <c r="R47" s="486" t="s">
        <v>1296</v>
      </c>
    </row>
    <row r="48" spans="1:18" s="224" customFormat="1" ht="39.6">
      <c r="A48" s="360" t="s">
        <v>1297</v>
      </c>
      <c r="B48" s="252" t="s">
        <v>1198</v>
      </c>
      <c r="C48" s="361">
        <f ca="1">C49+C53+C55</f>
        <v>0</v>
      </c>
      <c r="D48" s="362"/>
      <c r="E48" s="363"/>
      <c r="F48" s="364"/>
      <c r="G48" s="359"/>
      <c r="H48" s="365"/>
      <c r="I48" s="450" t="s">
        <v>1298</v>
      </c>
      <c r="J48" s="451" t="s">
        <v>2632</v>
      </c>
      <c r="K48" s="452" t="s">
        <v>1299</v>
      </c>
      <c r="L48" s="453">
        <f ca="1">INDIRECT("'数据-取费表'!f"&amp;$G$1)</f>
        <v>36</v>
      </c>
      <c r="O48" s="448" t="s">
        <v>1049</v>
      </c>
      <c r="P48" s="449" t="s">
        <v>1300</v>
      </c>
      <c r="Q48" s="486">
        <f ca="1">J60</f>
        <v>22564</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2013</v>
      </c>
      <c r="K49" s="452" t="s">
        <v>1306</v>
      </c>
      <c r="L49" s="455"/>
      <c r="O49" s="456" t="s">
        <v>1307</v>
      </c>
      <c r="P49" s="449" t="s">
        <v>1308</v>
      </c>
      <c r="Q49" s="486">
        <f ca="1">C29</f>
        <v>762184</v>
      </c>
      <c r="R49" s="486" t="s">
        <v>1296</v>
      </c>
    </row>
    <row r="50" spans="1:18" s="224" customFormat="1">
      <c r="A50" s="372"/>
      <c r="B50" s="373"/>
      <c r="C50" s="374"/>
      <c r="D50" s="375"/>
      <c r="E50" s="376" t="s">
        <v>1204</v>
      </c>
      <c r="F50" s="377">
        <f ca="1">F7</f>
        <v>115.43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48</v>
      </c>
      <c r="K51" s="460" t="s">
        <v>1314</v>
      </c>
      <c r="L51" s="461">
        <f ca="1">ROUND(-PV(INDIRECT("'数据-取费表'!h"&amp;$G$1),J51,(C39-C13*C76),0),0)</f>
        <v>-82401</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36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36</v>
      </c>
      <c r="K53" s="3358" t="s">
        <v>1324</v>
      </c>
      <c r="L53" s="3359"/>
      <c r="O53" s="448" t="s">
        <v>1149</v>
      </c>
      <c r="P53" s="449" t="s">
        <v>1325</v>
      </c>
      <c r="Q53" s="486">
        <f ca="1">Q47+Q48</f>
        <v>738621</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v>
      </c>
      <c r="K55" s="471" t="s">
        <v>1329</v>
      </c>
      <c r="L55" s="472"/>
      <c r="O55" s="441" t="s">
        <v>1289</v>
      </c>
      <c r="P55" s="442" t="s">
        <v>1290</v>
      </c>
      <c r="Q55" s="485" t="s">
        <v>1291</v>
      </c>
      <c r="R55" s="485" t="s">
        <v>1292</v>
      </c>
    </row>
    <row r="56" spans="1:18" s="224" customFormat="1" ht="36" customHeight="1">
      <c r="A56" s="385">
        <v>2</v>
      </c>
      <c r="B56" s="386" t="s">
        <v>1213</v>
      </c>
      <c r="C56" s="387">
        <f ca="1">C13</f>
        <v>609747</v>
      </c>
      <c r="D56" s="388"/>
      <c r="E56" s="389"/>
      <c r="F56" s="384"/>
      <c r="I56" s="473" t="s">
        <v>1330</v>
      </c>
      <c r="J56" s="474" t="s">
        <v>534</v>
      </c>
      <c r="K56" s="450" t="s">
        <v>1331</v>
      </c>
      <c r="L56" s="453" t="str">
        <f ca="1">IF(L48&lt;J51,"——",L48-J51)</f>
        <v>——</v>
      </c>
      <c r="O56" s="448" t="s">
        <v>1046</v>
      </c>
      <c r="P56" s="449" t="s">
        <v>1295</v>
      </c>
      <c r="Q56" s="486">
        <f ca="1">C40+J29</f>
        <v>716057</v>
      </c>
      <c r="R56" s="486" t="s">
        <v>1296</v>
      </c>
    </row>
    <row r="57" spans="1:18" s="224" customFormat="1" ht="24">
      <c r="A57" s="390"/>
      <c r="B57" s="391" t="s">
        <v>1276</v>
      </c>
      <c r="C57" s="392">
        <f ca="1">C29</f>
        <v>762184</v>
      </c>
      <c r="D57" s="393"/>
      <c r="E57" s="394"/>
      <c r="F57" s="395"/>
      <c r="I57" s="475" t="s">
        <v>1332</v>
      </c>
      <c r="J57" s="476">
        <f ca="1">IF(OR(M47="住宅",J51&lt;L48,J56="是"),"——",J51-L48)</f>
        <v>12</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8232</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304874</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6">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22564</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716057</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7622</v>
      </c>
      <c r="D64" s="400" t="s">
        <v>1281</v>
      </c>
      <c r="E64" s="391" t="s">
        <v>1220</v>
      </c>
      <c r="F64" s="329">
        <f t="shared" ca="1" si="0"/>
        <v>0.01</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610</v>
      </c>
      <c r="D65" s="400" t="s">
        <v>1253</v>
      </c>
      <c r="E65" s="391" t="s">
        <v>1220</v>
      </c>
      <c r="F65" s="330">
        <f t="shared" ca="1" si="0"/>
        <v>1E-3</v>
      </c>
      <c r="I65" s="481" t="s">
        <v>1354</v>
      </c>
      <c r="J65" s="482">
        <v>40</v>
      </c>
      <c r="K65" s="482">
        <v>30</v>
      </c>
      <c r="L65" s="482">
        <v>50</v>
      </c>
      <c r="M65" s="484">
        <v>0.02</v>
      </c>
      <c r="O65" s="448" t="s">
        <v>1046</v>
      </c>
      <c r="P65" s="449" t="s">
        <v>1295</v>
      </c>
      <c r="Q65" s="486">
        <f ca="1">C40+J29</f>
        <v>716057</v>
      </c>
      <c r="R65" s="486" t="s">
        <v>1296</v>
      </c>
    </row>
    <row r="66" spans="1:18" s="224" customFormat="1" ht="15.6">
      <c r="A66" s="290" t="s">
        <v>993</v>
      </c>
      <c r="B66" s="391" t="s">
        <v>1238</v>
      </c>
      <c r="C66" s="295">
        <f ca="1">ROUND(C48*F66,0)</f>
        <v>0</v>
      </c>
      <c r="D66" s="400" t="s">
        <v>1256</v>
      </c>
      <c r="E66" s="391" t="s">
        <v>1220</v>
      </c>
      <c r="F66" s="268">
        <f t="shared" ca="1" si="0"/>
        <v>0.01</v>
      </c>
      <c r="O66" s="448" t="s">
        <v>1049</v>
      </c>
      <c r="P66" s="449" t="s">
        <v>1334</v>
      </c>
      <c r="Q66" s="486">
        <f ca="1">L60</f>
        <v>0</v>
      </c>
      <c r="R66" s="486" t="s">
        <v>1335</v>
      </c>
    </row>
    <row r="67" spans="1:18" s="224" customFormat="1" ht="24">
      <c r="A67" s="385" t="s">
        <v>1259</v>
      </c>
      <c r="B67" s="488" t="s">
        <v>1260</v>
      </c>
      <c r="C67" s="270">
        <f ca="1">C48-C58</f>
        <v>-8232</v>
      </c>
      <c r="D67" s="399" t="s">
        <v>1261</v>
      </c>
      <c r="E67" s="489"/>
      <c r="F67" s="490"/>
      <c r="O67" s="456" t="s">
        <v>1307</v>
      </c>
      <c r="P67" s="449" t="s">
        <v>1338</v>
      </c>
      <c r="Q67" s="516">
        <f ca="1">L51</f>
        <v>-82401</v>
      </c>
      <c r="R67" s="486" t="s">
        <v>1355</v>
      </c>
    </row>
    <row r="68" spans="1:18" s="224" customFormat="1" ht="15.6">
      <c r="A68" s="491" t="s">
        <v>1265</v>
      </c>
      <c r="B68" s="492" t="s">
        <v>1282</v>
      </c>
      <c r="C68" s="335">
        <f ca="1">ROUND(C67*(1-((1+F70)/(1+F68))^F69)/(F68-F70),0)</f>
        <v>-127893</v>
      </c>
      <c r="D68" s="402" t="s">
        <v>1267</v>
      </c>
      <c r="E68" s="391" t="s">
        <v>1268</v>
      </c>
      <c r="F68" s="268">
        <f ca="1">F40</f>
        <v>5.5E-2</v>
      </c>
      <c r="O68" s="456" t="s">
        <v>1311</v>
      </c>
      <c r="P68" s="515" t="s">
        <v>1356</v>
      </c>
      <c r="Q68" s="486">
        <f ca="1">ROUND(Q69-Q70*Q71,0)</f>
        <v>-4558</v>
      </c>
      <c r="R68" s="486" t="s">
        <v>1357</v>
      </c>
    </row>
    <row r="69" spans="1:18" s="224" customFormat="1">
      <c r="A69" s="493"/>
      <c r="B69" s="494"/>
      <c r="C69" s="267"/>
      <c r="D69" s="495" t="s">
        <v>1271</v>
      </c>
      <c r="E69" s="391" t="s">
        <v>1272</v>
      </c>
      <c r="F69" s="339">
        <f ca="1">F41</f>
        <v>36</v>
      </c>
      <c r="O69" s="456" t="s">
        <v>1358</v>
      </c>
      <c r="P69" s="515" t="s">
        <v>1359</v>
      </c>
      <c r="Q69" s="486">
        <f ca="1">C39</f>
        <v>38124</v>
      </c>
      <c r="R69" s="486" t="s">
        <v>1296</v>
      </c>
    </row>
    <row r="70" spans="1:18" s="224" customFormat="1">
      <c r="A70" s="496"/>
      <c r="B70" s="497"/>
      <c r="C70" s="287"/>
      <c r="D70" s="404"/>
      <c r="E70" s="391" t="s">
        <v>1275</v>
      </c>
      <c r="F70" s="380"/>
      <c r="O70" s="456" t="s">
        <v>1360</v>
      </c>
      <c r="P70" s="515" t="s">
        <v>1361</v>
      </c>
      <c r="Q70" s="486">
        <f ca="1">C13</f>
        <v>609747</v>
      </c>
      <c r="R70" s="486" t="s">
        <v>1296</v>
      </c>
    </row>
    <row r="71" spans="1:18" s="224" customFormat="1">
      <c r="A71" s="498" t="s">
        <v>1277</v>
      </c>
      <c r="B71" s="499" t="s">
        <v>1283</v>
      </c>
      <c r="C71" s="343">
        <f ca="1">ROUND(C68/F71,0)</f>
        <v>-1108</v>
      </c>
      <c r="D71" s="500" t="s">
        <v>1284</v>
      </c>
      <c r="E71" s="501" t="s">
        <v>1285</v>
      </c>
      <c r="F71" s="346">
        <f ca="1">F43</f>
        <v>115.43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6">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42682</v>
      </c>
      <c r="D75" s="224"/>
      <c r="E75" s="224"/>
      <c r="F75" s="224"/>
      <c r="K75" s="435"/>
      <c r="L75" s="224"/>
      <c r="O75" s="448" t="s">
        <v>1149</v>
      </c>
      <c r="P75" s="449" t="s">
        <v>1325</v>
      </c>
      <c r="Q75" s="486">
        <f ca="1">Q65+Q66</f>
        <v>716057</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-0.12000000000000011</v>
      </c>
    </row>
    <row r="80" spans="1:18">
      <c r="B80" s="505" t="s">
        <v>1371</v>
      </c>
      <c r="C80" s="513">
        <f ca="1">ROUND(C75/C39,3)</f>
        <v>1.1200000000000001</v>
      </c>
    </row>
    <row r="81" spans="2:3">
      <c r="B81" s="511" t="s">
        <v>1372</v>
      </c>
      <c r="C81" s="392"/>
    </row>
    <row r="82" spans="2:3">
      <c r="B82" s="503" t="s">
        <v>1125</v>
      </c>
      <c r="C82" s="514">
        <f ca="1">1-C83</f>
        <v>0.14800000000000002</v>
      </c>
    </row>
    <row r="83" spans="2:3">
      <c r="B83" s="503" t="s">
        <v>1126</v>
      </c>
      <c r="C83" s="513">
        <f ca="1">ROUND(C13/C40,3)</f>
        <v>0.85199999999999998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700-000000000000}">
      <formula1>项目类型</formula1>
    </dataValidation>
    <dataValidation type="list" allowBlank="1" showInputMessage="1" showErrorMessage="1" sqref="D1" xr:uid="{00000000-0002-0000-2700-000001000000}">
      <formula1>"在建（套用方法）,土地（套用方法）,——"</formula1>
    </dataValidation>
    <dataValidation type="list" allowBlank="1" showInputMessage="1" showErrorMessage="1" sqref="F10 M10 F53" xr:uid="{00000000-0002-0000-2700-000002000000}">
      <formula1>"押一,押二,押三,自定义"</formula1>
    </dataValidation>
    <dataValidation type="list" allowBlank="1" showInputMessage="1" showErrorMessage="1" sqref="K19" xr:uid="{00000000-0002-0000-2700-000003000000}">
      <formula1>"按租金收入计税,按房产原值计税"</formula1>
    </dataValidation>
    <dataValidation type="list" allowBlank="1" showInputMessage="1" showErrorMessage="1" sqref="D33 D61" xr:uid="{00000000-0002-0000-2700-000004000000}">
      <formula1>"按租金收入计税,按房产原值计税,按票据"</formula1>
    </dataValidation>
    <dataValidation type="list" allowBlank="1" showInputMessage="1" showErrorMessage="1" sqref="J47" xr:uid="{00000000-0002-0000-2700-000005000000}">
      <formula1>"钢,钢混,砖混"</formula1>
    </dataValidation>
    <dataValidation type="list" allowBlank="1" showInputMessage="1" showErrorMessage="1" sqref="J48" xr:uid="{00000000-0002-0000-2700-000006000000}">
      <formula1>"非生产用房,生产用房,受腐蚀的生产用房"</formula1>
    </dataValidation>
    <dataValidation type="list" allowBlank="1" showInputMessage="1" showErrorMessage="1" sqref="L55" xr:uid="{00000000-0002-0000-2700-000007000000}">
      <formula1>"比较法,基准地价,收益还原"</formula1>
    </dataValidation>
    <dataValidation type="list" allowBlank="1" showInputMessage="1" showErrorMessage="1" sqref="J56" xr:uid="{00000000-0002-0000-2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86" t="s">
        <v>2637</v>
      </c>
      <c r="C1" s="3486"/>
      <c r="D1" s="3486"/>
      <c r="E1" s="3486"/>
      <c r="F1" s="3486"/>
      <c r="G1" s="3477" t="s">
        <v>2638</v>
      </c>
      <c r="H1" s="3477"/>
      <c r="I1" s="3477"/>
      <c r="J1" s="3477"/>
      <c r="K1" s="3477"/>
      <c r="L1" s="3477"/>
      <c r="N1" s="3477" t="s">
        <v>2596</v>
      </c>
      <c r="O1" s="3477"/>
      <c r="P1" s="3477"/>
      <c r="Q1" s="3477"/>
      <c r="S1" s="3477" t="s">
        <v>2639</v>
      </c>
      <c r="T1" s="3477"/>
      <c r="U1" s="3477"/>
      <c r="V1" s="3477"/>
      <c r="X1" s="3476" t="s">
        <v>2597</v>
      </c>
      <c r="Y1" s="3477"/>
      <c r="Z1" s="3477"/>
      <c r="AA1" s="3477"/>
      <c r="AB1" s="3477"/>
      <c r="AD1" s="3476" t="s">
        <v>2598</v>
      </c>
      <c r="AE1" s="3477"/>
      <c r="AF1" s="3477"/>
      <c r="AG1" s="3477"/>
      <c r="AH1" s="3477"/>
    </row>
    <row r="2" spans="1:34" s="103" customFormat="1" ht="14.4">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4">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7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7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7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7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7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7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7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8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7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7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7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8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7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7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7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8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8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8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8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8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7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7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7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8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7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7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7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8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7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7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7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8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7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7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7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8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7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7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7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8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7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7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7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8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7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7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7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8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7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7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7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8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7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7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7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8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78">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79">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79">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80">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78">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79">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79">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8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I13" sqref="I13"/>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487" t="s">
        <v>2728</v>
      </c>
      <c r="B1" s="3487"/>
      <c r="C1" s="3487"/>
      <c r="D1" s="3487"/>
      <c r="E1" s="3487"/>
      <c r="F1" s="3487"/>
      <c r="G1" s="348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89"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0"/>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8"/>
  <sheetViews>
    <sheetView workbookViewId="0">
      <selection activeCell="I13" sqref="I1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45882</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P1" workbookViewId="0">
      <selection activeCell="V3" sqref="V3"/>
    </sheetView>
  </sheetViews>
  <sheetFormatPr defaultColWidth="9" defaultRowHeight="14.4"/>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3203125" defaultRowHeight="13.2"/>
  <cols>
    <col min="1" max="1" width="9.33203125" style="630" customWidth="1"/>
    <col min="2" max="2" width="29.21875" style="631" customWidth="1"/>
    <col min="3" max="3" width="12.109375" style="631" customWidth="1"/>
    <col min="4" max="5" width="11.21875" style="632" customWidth="1"/>
    <col min="6" max="6" width="9.44140625" style="631" customWidth="1"/>
    <col min="7" max="7" width="31.88671875" style="631" customWidth="1"/>
    <col min="8" max="8" width="10.77734375" style="631" customWidth="1"/>
    <col min="9" max="254" width="9" style="631" customWidth="1"/>
    <col min="255" max="16384" width="8.33203125" style="631"/>
  </cols>
  <sheetData>
    <row r="1" spans="1:8" s="626" customFormat="1" ht="21">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149.1925</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12925</v>
      </c>
      <c r="C3" s="636" t="s">
        <v>1034</v>
      </c>
      <c r="D3" s="636"/>
      <c r="E3" s="636"/>
      <c r="F3" s="636"/>
      <c r="G3" s="636"/>
    </row>
    <row r="4" spans="1:8" s="627" customFormat="1" ht="16.2">
      <c r="A4" s="642" t="s">
        <v>1035</v>
      </c>
      <c r="B4" s="643"/>
      <c r="C4" s="643"/>
      <c r="D4" s="643"/>
      <c r="E4" s="643"/>
      <c r="F4" s="643"/>
      <c r="G4" s="644"/>
    </row>
    <row r="5" spans="1:8" s="628" customFormat="1" ht="13.5" customHeight="1">
      <c r="A5" s="645" t="s">
        <v>1036</v>
      </c>
      <c r="B5" s="646" t="s">
        <v>1037</v>
      </c>
      <c r="C5" s="647">
        <f ca="1">C6+C7+C8</f>
        <v>653405.57000000007</v>
      </c>
      <c r="D5" s="647" t="s">
        <v>1038</v>
      </c>
      <c r="E5" s="648" t="s">
        <v>1039</v>
      </c>
      <c r="F5" s="648" t="s">
        <v>936</v>
      </c>
      <c r="G5" s="649"/>
    </row>
    <row r="6" spans="1:8" s="628" customFormat="1" ht="13.5" customHeight="1">
      <c r="A6" s="650" t="s">
        <v>1040</v>
      </c>
      <c r="B6" s="651" t="s">
        <v>1041</v>
      </c>
      <c r="C6" s="652">
        <f>基准地价修正!C33*基准地价修正!D33</f>
        <v>611663.57000000007</v>
      </c>
      <c r="D6" s="653"/>
      <c r="E6" s="654"/>
      <c r="F6" s="654"/>
      <c r="G6" s="655"/>
    </row>
    <row r="7" spans="1:8" s="628" customFormat="1" ht="13.5" customHeight="1">
      <c r="A7" s="650" t="s">
        <v>1042</v>
      </c>
      <c r="B7" s="651" t="s">
        <v>1043</v>
      </c>
      <c r="C7" s="656">
        <f>ROUND(C6*F7,0)</f>
        <v>18656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23086</v>
      </c>
      <c r="D8" s="658"/>
      <c r="E8" s="656"/>
      <c r="F8" s="657"/>
      <c r="G8" s="2216" t="s">
        <v>2793</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23086</v>
      </c>
      <c r="D10" s="663">
        <f ca="1">IF(B1="",'数据-汇总表'!E6,IF(INDIRECT("'数据-取费表'!c"&amp;$G$1)="住宅",INDIRECT("'数据-取费表'!s"&amp;$G$1),INDIRECT("'数据-取费表'!k"&amp;$G$1)+INDIRECT("'数据-取费表'!s"&amp;$G$1)))</f>
        <v>115.43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115.43</v>
      </c>
      <c r="E19" s="647">
        <f>'数据-取费表'!B31</f>
        <v>200</v>
      </c>
      <c r="F19" s="669"/>
      <c r="G19" s="2216" t="s">
        <v>2794</v>
      </c>
    </row>
    <row r="20" spans="1:7" s="628" customFormat="1" ht="13.5" customHeight="1">
      <c r="A20" s="645" t="s">
        <v>1069</v>
      </c>
      <c r="B20" s="646" t="s">
        <v>1070</v>
      </c>
      <c r="C20" s="387">
        <f ca="1">ROUND((C5+C19)*F20,0)</f>
        <v>19602</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40380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39792</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588</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6.4">
      <c r="A27" s="645" t="s">
        <v>1086</v>
      </c>
      <c r="B27" s="684" t="s">
        <v>1087</v>
      </c>
      <c r="C27" s="685">
        <f ca="1">C28</f>
        <v>100951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100951</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882178</v>
      </c>
      <c r="D31" s="691"/>
      <c r="E31" s="647"/>
      <c r="F31" s="692"/>
      <c r="G31" s="674" t="s">
        <v>1095</v>
      </c>
    </row>
    <row r="32" spans="1:7" s="627" customFormat="1" ht="16.2">
      <c r="A32" s="693" t="s">
        <v>1128</v>
      </c>
      <c r="B32" s="694"/>
      <c r="C32" s="694"/>
      <c r="D32" s="694"/>
      <c r="E32" s="694"/>
      <c r="F32" s="694"/>
      <c r="G32" s="695"/>
    </row>
    <row r="33" spans="1:7" s="628" customFormat="1" ht="13.5" customHeight="1">
      <c r="A33" s="645" t="s">
        <v>1036</v>
      </c>
      <c r="B33" s="646" t="s">
        <v>1129</v>
      </c>
      <c r="C33" s="696">
        <f ca="1">SUM(C34:C38)</f>
        <v>578882</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519435</v>
      </c>
      <c r="D34" s="653"/>
      <c r="E34" s="656"/>
      <c r="F34" s="697"/>
      <c r="G34" s="655"/>
    </row>
    <row r="35" spans="1:7" ht="13.5" customHeight="1">
      <c r="A35" s="677" t="s">
        <v>1042</v>
      </c>
      <c r="B35" s="651" t="s">
        <v>1100</v>
      </c>
      <c r="C35" s="656">
        <f ca="1">ROUND(C34*F35,0)</f>
        <v>25972</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23086</v>
      </c>
      <c r="D37" s="653">
        <f ca="1">D19</f>
        <v>115.43</v>
      </c>
      <c r="E37" s="689">
        <f>'数据-取费表'!B35</f>
        <v>200</v>
      </c>
      <c r="F37" s="698"/>
      <c r="G37" s="700"/>
    </row>
    <row r="38" spans="1:7" ht="13.5" customHeight="1">
      <c r="A38" s="677" t="s">
        <v>1106</v>
      </c>
      <c r="B38" s="651" t="s">
        <v>972</v>
      </c>
      <c r="C38" s="656">
        <f ca="1">ROUND(C34*F38,0)</f>
        <v>10389</v>
      </c>
      <c r="D38" s="656"/>
      <c r="E38" s="656"/>
      <c r="F38" s="698">
        <f>'数据-取费表'!B36</f>
        <v>0.02</v>
      </c>
      <c r="G38" s="655" t="s">
        <v>1101</v>
      </c>
    </row>
    <row r="39" spans="1:7" s="628" customFormat="1" ht="13.5" customHeight="1">
      <c r="A39" s="645" t="s">
        <v>1067</v>
      </c>
      <c r="B39" s="646" t="s">
        <v>1070</v>
      </c>
      <c r="C39" s="387">
        <f ca="1">ROUND(C33*F20,0)</f>
        <v>17366</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17887</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17366</v>
      </c>
      <c r="D42" s="392"/>
      <c r="E42" s="392"/>
      <c r="F42" s="679"/>
      <c r="G42" s="3355" t="s">
        <v>1130</v>
      </c>
    </row>
    <row r="43" spans="1:7" ht="13.5" customHeight="1">
      <c r="A43" s="677" t="s">
        <v>1042</v>
      </c>
      <c r="B43" s="651" t="s">
        <v>1080</v>
      </c>
      <c r="C43" s="392">
        <f ca="1">ROUND(IF('数据-取费表'!B22&lt;=1,C39*F22*'数据-取费表'!B20/2,C39*(POWER((1+F22),'数据-取费表'!B20/2)-1)),0)</f>
        <v>521</v>
      </c>
      <c r="D43" s="392"/>
      <c r="E43" s="392"/>
      <c r="F43" s="679"/>
      <c r="G43" s="3356"/>
    </row>
    <row r="44" spans="1:7" ht="13.5" customHeight="1">
      <c r="A44" s="677" t="s">
        <v>1044</v>
      </c>
      <c r="B44" s="651" t="s">
        <v>1082</v>
      </c>
      <c r="C44" s="392">
        <f ca="1">ROUND(IF('数据-取费表'!B22&lt;=1,C40*F22*'数据-取费表'!B20/2,C40*(POWER((1+F22),'数据-取费表'!B20/2)-1)),4)</f>
        <v>5.9999999999999995E-4</v>
      </c>
      <c r="D44" s="392"/>
      <c r="E44" s="392"/>
      <c r="F44" s="679"/>
      <c r="G44" s="3357"/>
    </row>
    <row r="45" spans="1:7" s="628" customFormat="1" ht="13.5" customHeight="1">
      <c r="A45" s="645" t="s">
        <v>1076</v>
      </c>
      <c r="B45" s="684" t="s">
        <v>1087</v>
      </c>
      <c r="C45" s="685">
        <f ca="1">C46</f>
        <v>89437</v>
      </c>
      <c r="D45" s="672">
        <f ca="1">C47</f>
        <v>3.0000000000000001E-3</v>
      </c>
      <c r="E45" s="673" t="s">
        <v>1108</v>
      </c>
      <c r="F45" s="686">
        <f ca="1">F27</f>
        <v>0.15</v>
      </c>
      <c r="G45" s="687" t="s">
        <v>1111</v>
      </c>
    </row>
    <row r="46" spans="1:7" s="628" customFormat="1" ht="13.5" customHeight="1">
      <c r="A46" s="677" t="s">
        <v>1040</v>
      </c>
      <c r="B46" s="688" t="s">
        <v>1112</v>
      </c>
      <c r="C46" s="689">
        <f ca="1">ROUND((C33+C39)*F27,0)</f>
        <v>89437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762184</v>
      </c>
      <c r="D49" s="387"/>
      <c r="E49" s="387"/>
      <c r="F49" s="703"/>
      <c r="G49" s="674" t="s">
        <v>1116</v>
      </c>
    </row>
    <row r="50" spans="1:7" s="225" customFormat="1">
      <c r="A50" s="645" t="s">
        <v>1117</v>
      </c>
      <c r="B50" s="646" t="s">
        <v>1118</v>
      </c>
      <c r="C50" s="387"/>
      <c r="D50" s="387"/>
      <c r="E50" s="387"/>
      <c r="F50" s="703">
        <f>IF('数据-取费表'!B24=0,'数据-取费表'!N16,1)</f>
        <v>0.8</v>
      </c>
      <c r="G50" s="687"/>
    </row>
    <row r="51" spans="1:7" ht="16.5" customHeight="1">
      <c r="A51" s="645" t="s">
        <v>1120</v>
      </c>
      <c r="B51" s="646" t="s">
        <v>1132</v>
      </c>
      <c r="C51" s="387">
        <f ca="1">ROUND(C49*F50,0)</f>
        <v>609747</v>
      </c>
      <c r="D51" s="387"/>
      <c r="E51" s="387"/>
      <c r="F51" s="703"/>
      <c r="G51" s="674" t="s">
        <v>1122</v>
      </c>
    </row>
    <row r="52" spans="1:7" s="627" customFormat="1" ht="16.2">
      <c r="A52" s="704" t="s">
        <v>1123</v>
      </c>
      <c r="B52" s="705"/>
      <c r="C52" s="706">
        <f ca="1">C31+C51</f>
        <v>1491925</v>
      </c>
      <c r="D52" s="705"/>
      <c r="E52" s="705"/>
      <c r="F52" s="705"/>
      <c r="G52" s="707"/>
    </row>
    <row r="55" spans="1:7" ht="15">
      <c r="B55" s="511" t="s">
        <v>1124</v>
      </c>
      <c r="C55" s="708"/>
    </row>
    <row r="56" spans="1:7">
      <c r="B56" s="503" t="s">
        <v>1125</v>
      </c>
      <c r="C56" s="514">
        <f ca="1">1-C57</f>
        <v>0.59099999999999997</v>
      </c>
    </row>
    <row r="57" spans="1:7">
      <c r="B57" s="503" t="s">
        <v>1126</v>
      </c>
      <c r="C57" s="513">
        <f ca="1">ROUND(C51/C52,3)</f>
        <v>0.40899999999999997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C00-000000000000}">
      <formula1>项目类型</formula1>
    </dataValidation>
    <dataValidation type="list" allowBlank="1" showInputMessage="1" showErrorMessage="1" sqref="D2" xr:uid="{00000000-0002-0000-2C00-000001000000}">
      <formula1>"需扣减承租人权益,——"</formula1>
    </dataValidation>
    <dataValidation type="list" allowBlank="1" showInputMessage="1" showErrorMessage="1" sqref="G2" xr:uid="{00000000-0002-0000-2C00-000002000000}">
      <formula1>估价方法</formula1>
    </dataValidation>
    <dataValidation type="list" allowBlank="1" showInputMessage="1" showErrorMessage="1" sqref="G8" xr:uid="{00000000-0002-0000-2C00-000003000000}">
      <formula1>"已包含在土地购买价格中,未包含在土地购买价格中"</formula1>
    </dataValidation>
    <dataValidation type="list" allowBlank="1" showInputMessage="1" showErrorMessage="1" sqref="G19" xr:uid="{00000000-0002-0000-2C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10" zoomScaleNormal="80" workbookViewId="0">
      <selection activeCell="C13" sqref="C13"/>
    </sheetView>
  </sheetViews>
  <sheetFormatPr defaultColWidth="12" defaultRowHeight="13.2"/>
  <cols>
    <col min="1" max="1" width="9.77734375" style="793" customWidth="1"/>
    <col min="2" max="2" width="22.44140625" style="794" customWidth="1"/>
    <col min="3" max="3" width="12" style="795"/>
    <col min="4" max="4" width="14.88671875" style="795" customWidth="1"/>
    <col min="5" max="5" width="14.6640625" style="795" customWidth="1"/>
    <col min="6" max="8" width="12" style="795"/>
    <col min="9" max="9" width="12.21875" style="795" customWidth="1"/>
    <col min="10" max="10" width="12" style="795"/>
    <col min="11" max="11" width="8.109375" style="796" customWidth="1"/>
    <col min="12" max="12" width="19.44140625" style="795" customWidth="1"/>
    <col min="13" max="13" width="8.44140625" style="795" customWidth="1"/>
    <col min="14" max="14" width="9.77734375" style="795" customWidth="1"/>
    <col min="15" max="25" width="12" style="795"/>
    <col min="26" max="26" width="9.33203125" style="793" customWidth="1"/>
    <col min="27" max="32" width="9.33203125" style="797" customWidth="1"/>
    <col min="33" max="36" width="9.33203125" style="793" customWidth="1"/>
    <col min="37" max="38" width="9.33203125" style="795" customWidth="1"/>
    <col min="39" max="16384" width="12" style="795"/>
  </cols>
  <sheetData>
    <row r="1" spans="1:36" ht="31.2">
      <c r="A1" s="633" t="s">
        <v>1717</v>
      </c>
      <c r="B1" s="634"/>
      <c r="C1" s="637" t="s">
        <v>1499</v>
      </c>
      <c r="D1" s="507">
        <f>SUM(D33:D34,D37:D42)</f>
        <v>115.43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6">
      <c r="A2" s="637" t="s">
        <v>1031</v>
      </c>
      <c r="B2" s="641">
        <f>C30</f>
        <v>61</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8171</v>
      </c>
      <c r="U2" s="1087"/>
      <c r="V2" s="1086">
        <f>ROUND(T2*U2/10000,0)</f>
        <v>0</v>
      </c>
      <c r="W2" s="1085"/>
      <c r="X2" s="1085"/>
      <c r="Y2" s="1085"/>
      <c r="Z2" s="1085"/>
      <c r="AA2" s="1085"/>
      <c r="AB2" s="1085"/>
      <c r="AC2" s="1096"/>
      <c r="AD2" s="1097"/>
      <c r="AE2" s="1097"/>
      <c r="AF2" s="1097"/>
      <c r="AG2" s="1097"/>
      <c r="AH2" s="1097"/>
      <c r="AI2" s="1097"/>
      <c r="AJ2" s="1106"/>
    </row>
    <row r="3" spans="1:36" ht="15.6">
      <c r="A3" s="640" t="s">
        <v>1033</v>
      </c>
      <c r="B3" s="641">
        <f>ROUND(B2*10000/D1,0)</f>
        <v>5285</v>
      </c>
      <c r="C3" s="799" t="s">
        <v>1034</v>
      </c>
      <c r="D3" s="800" t="s">
        <v>1728</v>
      </c>
      <c r="E3" s="803" t="s">
        <v>245</v>
      </c>
      <c r="F3" s="804" t="s">
        <v>2791</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6298</v>
      </c>
      <c r="U3" s="1087"/>
      <c r="V3" s="1086">
        <f t="shared" ref="V3:V16" si="1">ROUND(T3*U3/10000,0)</f>
        <v>0</v>
      </c>
      <c r="W3" s="1085"/>
      <c r="X3" s="1085"/>
      <c r="Y3" s="1085"/>
      <c r="Z3" s="1085"/>
      <c r="AA3" s="1085"/>
      <c r="AB3" s="1085"/>
      <c r="AC3" s="1096"/>
      <c r="AD3" s="1097"/>
      <c r="AE3" s="1097"/>
      <c r="AF3" s="1097"/>
      <c r="AG3" s="1097"/>
      <c r="AH3" s="1097"/>
      <c r="AI3" s="1097"/>
      <c r="AJ3" s="1106"/>
    </row>
    <row r="4" spans="1:36" ht="15.6">
      <c r="A4" s="3491"/>
      <c r="B4" s="3492"/>
      <c r="C4" s="3492"/>
      <c r="D4" s="3493"/>
      <c r="E4" s="3493"/>
      <c r="F4" s="3493"/>
      <c r="G4" s="3493"/>
      <c r="H4" s="3493"/>
      <c r="I4" s="3493"/>
      <c r="J4" s="3494"/>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5137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4361</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3973</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495" t="s">
        <v>1747</v>
      </c>
      <c r="X8" s="3496"/>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09"/>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09"/>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5.2">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24">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24">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ht="24">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3.8">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3.8">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3.8">
      <c r="A20" s="3501" t="s">
        <v>1796</v>
      </c>
      <c r="B20" s="877" t="s">
        <v>1797</v>
      </c>
      <c r="C20" s="878">
        <f>ROUND(IF(F21="与级别开发程度一致",0,(G21-E21)/C21),0)</f>
        <v>0</v>
      </c>
      <c r="D20" s="879" t="s">
        <v>1798</v>
      </c>
      <c r="E20" s="880"/>
      <c r="F20" s="3497" t="s">
        <v>1799</v>
      </c>
      <c r="G20" s="3498"/>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6.4">
      <c r="A21" s="3502"/>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2792</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4.4">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6.4">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45882</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0.91759999999999997</v>
      </c>
      <c r="D24" s="903" t="s">
        <v>1810</v>
      </c>
      <c r="E24" s="904">
        <f>存贷款利率!E28/100</f>
        <v>4.3499999999999997E-2</v>
      </c>
      <c r="F24" s="903" t="s">
        <v>1811</v>
      </c>
      <c r="G24" s="905">
        <f>SUMIF(M30:Q30,E2,M33:Q33)</f>
        <v>5.5E-2</v>
      </c>
      <c r="H24" s="903" t="s">
        <v>1812</v>
      </c>
      <c r="I24" s="1034">
        <f>SUMIF('数据-取费表'!C6:C15,E2,'数据-取费表'!F6:F15)/COUNTIF('数据-取费表'!C6:C15,E2)</f>
        <v>36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4.4">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4">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4.4">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4.4">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4.4">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4.4">
      <c r="A30" s="923"/>
      <c r="B30" s="911" t="s">
        <v>1833</v>
      </c>
      <c r="C30" s="924">
        <f>IF(B25="容积率修正",E33+SUM(E37:E42),SUM(V2:V16)+SUM(E37:E42))</f>
        <v>61</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4.4">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4.4">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3.8">
      <c r="A33" s="936"/>
      <c r="B33" s="937" t="s">
        <v>1843</v>
      </c>
      <c r="C33" s="938">
        <f>ROUND(C5*C22*C23*C24*C25*C28,0)</f>
        <v>5299</v>
      </c>
      <c r="D33" s="939">
        <f>'数据-汇总表'!F19</f>
        <v>115.43</v>
      </c>
      <c r="E33" s="940">
        <f>ROUND(C33*D33/10000,0)</f>
        <v>61</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5.2">
      <c r="A34" s="943"/>
      <c r="B34" s="944" t="s">
        <v>1846</v>
      </c>
      <c r="C34" s="884">
        <f>ROUND(IF(E2="工业",C33*M42,IF(B25="楼层修正",SUM(V2:V16)*M41*10000/D34,C33*M41)),0)</f>
        <v>1325</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36">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03"/>
      <c r="B37" s="956" t="s">
        <v>1853</v>
      </c>
      <c r="C37" s="938">
        <f>ROUND(D5*C22*C23*C24*C28*F37,0)</f>
        <v>2650</v>
      </c>
      <c r="D37" s="939"/>
      <c r="E37" s="802">
        <f>ROUND(C37*D37/10000,0)</f>
        <v>0</v>
      </c>
      <c r="F37" s="802">
        <f>SUMIF(修正!A59:A70,G2,修正!B59:B70)</f>
        <v>0.5</v>
      </c>
      <c r="G37" s="802">
        <f>ROUND(IF(E2="工业",C37*$M$42,C37*$M$41),0)</f>
        <v>663</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04"/>
      <c r="B38" s="849" t="s">
        <v>1855</v>
      </c>
      <c r="C38" s="938">
        <f>ROUND(D5*C22*C23*C24*C28*F38,0)</f>
        <v>1060</v>
      </c>
      <c r="D38" s="939"/>
      <c r="E38" s="802">
        <f t="shared" ref="E38:E42" si="4">ROUND(C38*D38/10000,0)</f>
        <v>0</v>
      </c>
      <c r="F38" s="802">
        <f>SUMIF(修正!A59:A70,G2,修正!C59:C70)</f>
        <v>0.2</v>
      </c>
      <c r="G38" s="802">
        <f>ROUND(IF(E2="工业",C38*$M$42,C38*$M$41),0)</f>
        <v>265</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04"/>
      <c r="B39" s="849" t="s">
        <v>1856</v>
      </c>
      <c r="C39" s="938">
        <f>ROUND(D5*C22*C23*C24*C28*F39,0)</f>
        <v>1060</v>
      </c>
      <c r="D39" s="939"/>
      <c r="E39" s="802">
        <f t="shared" si="4"/>
        <v>0</v>
      </c>
      <c r="F39" s="802">
        <f>SUMIF(修正!A59:A70,G2,修正!D59:D70)</f>
        <v>0.2</v>
      </c>
      <c r="G39" s="802">
        <f>ROUND(IF(E2="工业",C39*$M$42,C39*$M$41),0)</f>
        <v>265</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1060</v>
      </c>
      <c r="D40" s="939"/>
      <c r="E40" s="802">
        <f t="shared" si="4"/>
        <v>0</v>
      </c>
      <c r="F40" s="938">
        <f>SUMIF(修正!A59:A70,G2,修正!E59:E70)</f>
        <v>0.2</v>
      </c>
      <c r="G40" s="802">
        <f>ROUND(IF(E2="工业",C40*$M$42,C40*$M$41),0)</f>
        <v>265</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ht="24">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4.4">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4.4">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5.2">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5.2">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24">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48">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7.200000000000003">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36">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36">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4.4">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5.2">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24">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48">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7.200000000000003">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36">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36">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4.4">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5.2">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24">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48">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3.8">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36">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36">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36">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4.4">
      <c r="A81" s="970" t="s">
        <v>1891</v>
      </c>
      <c r="B81" s="971">
        <f>1+E83</f>
        <v>1</v>
      </c>
      <c r="C81" s="973"/>
      <c r="D81" s="973"/>
      <c r="E81" s="974"/>
      <c r="F81" s="975"/>
      <c r="G81" s="969"/>
      <c r="H81" s="969"/>
      <c r="I81" s="969"/>
      <c r="J81" s="968"/>
      <c r="K81" s="968"/>
      <c r="L81" s="968"/>
      <c r="M81" s="968"/>
      <c r="N81" s="968"/>
      <c r="Z81" s="795"/>
      <c r="AA81" s="793"/>
      <c r="AG81" s="797"/>
      <c r="AK81" s="793"/>
    </row>
    <row r="82" spans="1:37" ht="25.2">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9.6">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52.8">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48">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3.8">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6.4">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6.4">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36">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9.6">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3.8">
      <c r="A91" s="1118" t="s">
        <v>231</v>
      </c>
      <c r="B91" s="1119">
        <f>1+E93</f>
        <v>1</v>
      </c>
      <c r="C91" s="1120"/>
      <c r="D91" s="1121"/>
      <c r="E91" s="984"/>
      <c r="F91" s="984"/>
      <c r="G91" s="1122"/>
      <c r="H91" s="1123"/>
      <c r="I91" s="1156"/>
      <c r="J91" s="1157"/>
      <c r="K91" s="1157"/>
      <c r="L91" s="1157"/>
      <c r="M91" s="1157"/>
      <c r="N91" s="1157"/>
    </row>
    <row r="92" spans="1:37" ht="25.2">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24">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48">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7.200000000000003">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36">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36">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499" t="s">
        <v>1896</v>
      </c>
      <c r="B103" s="3499"/>
      <c r="C103" s="3499"/>
      <c r="D103" s="3499"/>
      <c r="E103" s="3499"/>
      <c r="F103" s="3499"/>
      <c r="G103" s="3499"/>
      <c r="H103" s="3499"/>
      <c r="I103" s="3499"/>
      <c r="J103" s="3499"/>
      <c r="K103" s="1137"/>
      <c r="L103" s="1137"/>
      <c r="M103" s="1137"/>
      <c r="N103" s="1137"/>
    </row>
    <row r="104" spans="1:14">
      <c r="A104" s="3505" t="s">
        <v>1897</v>
      </c>
      <c r="B104" s="3505" t="s">
        <v>1898</v>
      </c>
      <c r="C104" s="1139" t="s">
        <v>1899</v>
      </c>
      <c r="D104" s="1140"/>
      <c r="E104" s="1140"/>
      <c r="F104" s="1140"/>
      <c r="G104" s="1140"/>
      <c r="H104" s="1140"/>
      <c r="I104" s="1140"/>
      <c r="J104" s="1159"/>
      <c r="K104" s="1160"/>
      <c r="L104" s="1160"/>
      <c r="M104" s="1160"/>
      <c r="N104" s="1160"/>
    </row>
    <row r="105" spans="1:14">
      <c r="A105" s="3505"/>
      <c r="B105" s="3505"/>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06"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07"/>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07"/>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07"/>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07"/>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07"/>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08"/>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0" t="s">
        <v>1901</v>
      </c>
      <c r="B113" s="3500"/>
      <c r="C113" s="3500"/>
      <c r="D113" s="3500"/>
      <c r="E113" s="3500"/>
      <c r="F113" s="3500"/>
      <c r="G113" s="3500"/>
      <c r="H113" s="3500"/>
      <c r="I113" s="3500"/>
      <c r="J113" s="3500"/>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5.2">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D00-000000000000}">
      <formula1>INDIRECT(E2)</formula1>
    </dataValidation>
    <dataValidation type="list" allowBlank="1" showInputMessage="1" showErrorMessage="1" sqref="F3" xr:uid="{00000000-0002-0000-2D00-000001000000}">
      <formula1>"宗地容积率,估价对象容积率,自定义容积率"</formula1>
    </dataValidation>
    <dataValidation type="list" allowBlank="1" showInputMessage="1" showErrorMessage="1" sqref="C8" xr:uid="{00000000-0002-0000-2D00-000002000000}">
      <formula1>商业街名称</formula1>
    </dataValidation>
    <dataValidation type="list" allowBlank="1" showInputMessage="1" showErrorMessage="1" sqref="C15:D15" xr:uid="{00000000-0002-0000-2D00-000003000000}">
      <formula1>"有,无"</formula1>
    </dataValidation>
    <dataValidation type="list" allowBlank="1" showInputMessage="1" showErrorMessage="1" sqref="E15" xr:uid="{00000000-0002-0000-2D00-000004000000}">
      <formula1>"500米范围内,500-1000米,1000米以外"</formula1>
    </dataValidation>
    <dataValidation type="list" allowBlank="1" showInputMessage="1" showErrorMessage="1" sqref="H20:O20" xr:uid="{00000000-0002-0000-2D00-000005000000}">
      <formula1>七通一平</formula1>
    </dataValidation>
    <dataValidation type="list" allowBlank="1" showInputMessage="1" showErrorMessage="1" sqref="F21" xr:uid="{00000000-0002-0000-2D00-000006000000}">
      <formula1>"与级别开发程度一致,与级别开发程度不一致"</formula1>
    </dataValidation>
    <dataValidation type="list" allowBlank="1" showInputMessage="1" showErrorMessage="1" sqref="H23" xr:uid="{00000000-0002-0000-2D00-000007000000}">
      <formula1>"地价指数,季度增幅（自定义）,按公示增长率计算"</formula1>
    </dataValidation>
    <dataValidation type="list" allowBlank="1" showInputMessage="1" showErrorMessage="1" sqref="J23" xr:uid="{00000000-0002-0000-2D00-000008000000}">
      <formula1>"不用分区数据,中心城区,中心城区以外"</formula1>
    </dataValidation>
    <dataValidation type="list" allowBlank="1" showInputMessage="1" showErrorMessage="1" sqref="B25" xr:uid="{00000000-0002-0000-2D00-000009000000}">
      <formula1>"容积率修正,楼层修正"</formula1>
    </dataValidation>
    <dataValidation type="list" allowBlank="1" showInputMessage="1" showErrorMessage="1" sqref="C50:C58 C61:C69 C72:C80 C83:C91 C93:C101" xr:uid="{00000000-0002-0000-2D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B000000}">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6" customWidth="1"/>
    <col min="2" max="9" width="12.109375" style="1166" customWidth="1"/>
    <col min="10" max="16384" width="9" style="1166"/>
  </cols>
  <sheetData>
    <row r="1" spans="1:9" ht="17.399999999999999">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3116" t="s">
        <v>110</v>
      </c>
      <c r="E3" s="3116" t="s">
        <v>111</v>
      </c>
      <c r="F3" s="3116" t="s">
        <v>110</v>
      </c>
      <c r="G3" s="3116" t="s">
        <v>111</v>
      </c>
      <c r="H3" s="3116" t="s">
        <v>110</v>
      </c>
      <c r="I3" s="3116" t="s">
        <v>111</v>
      </c>
    </row>
    <row r="4" spans="1:9" ht="15">
      <c r="A4" s="3117" t="str">
        <f>项目基本情况!S2</f>
        <v>北京市房地产</v>
      </c>
      <c r="B4" s="3116">
        <f>项目基本情况!C17</f>
        <v>115.43</v>
      </c>
      <c r="C4" s="3116">
        <f>项目基本情况!C18</f>
        <v>0</v>
      </c>
      <c r="D4" s="3116">
        <f ca="1">结果表!D118</f>
        <v>-15</v>
      </c>
      <c r="E4" s="3116">
        <f ca="1">结果表!E118</f>
        <v>-1331</v>
      </c>
      <c r="F4" s="3116">
        <f ca="1">结果表!F118</f>
        <v>143</v>
      </c>
      <c r="G4" s="3116">
        <f ca="1">结果表!G118</f>
        <v>12421</v>
      </c>
      <c r="H4" s="3116">
        <f ca="1">结果表!H118</f>
        <v>128</v>
      </c>
      <c r="I4" s="3116">
        <f ca="1">结果表!I118</f>
        <v>11090</v>
      </c>
    </row>
    <row r="5" spans="1:9" ht="30" customHeight="1">
      <c r="A5" s="3187" t="s">
        <v>112</v>
      </c>
      <c r="B5" s="3187"/>
      <c r="C5" s="3187"/>
      <c r="D5" s="3187" t="e">
        <f ca="1">结果表!D119</f>
        <v>#NUM!</v>
      </c>
      <c r="E5" s="3187"/>
      <c r="F5" s="3187" t="str">
        <f ca="1">结果表!F119</f>
        <v>壹佰肆拾叁万元整</v>
      </c>
      <c r="G5" s="3187"/>
      <c r="H5" s="3187" t="str">
        <f ca="1">结果表!H119</f>
        <v>壹佰贰拾捌万元整</v>
      </c>
      <c r="I5" s="3187"/>
    </row>
    <row r="6" spans="1:9" ht="15.6">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6">
      <c r="A8" s="3184" t="str">
        <f>结果表!A122</f>
        <v>房地产抵押价值</v>
      </c>
      <c r="B8" s="3184"/>
      <c r="C8" s="3184"/>
      <c r="D8" s="3184">
        <f ca="1">结果表!D122</f>
        <v>128</v>
      </c>
      <c r="E8" s="3184"/>
      <c r="F8" s="3184"/>
      <c r="G8" s="3184"/>
      <c r="H8" s="3184"/>
      <c r="I8" s="3184"/>
    </row>
    <row r="9" spans="1:9" ht="15">
      <c r="A9" s="3187" t="s">
        <v>112</v>
      </c>
      <c r="B9" s="3187"/>
      <c r="C9" s="3187"/>
      <c r="D9" s="3187" t="str">
        <f ca="1">结果表!D123</f>
        <v>壹佰贰拾捌万元整</v>
      </c>
      <c r="E9" s="3187"/>
      <c r="F9" s="3187"/>
      <c r="G9" s="3187"/>
      <c r="H9" s="3187"/>
      <c r="I9" s="3187"/>
    </row>
    <row r="10" spans="1:9" ht="15.6">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6">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6" customWidth="1"/>
    <col min="2" max="3" width="22.33203125" style="1166" customWidth="1"/>
    <col min="4" max="4" width="23" style="1166" customWidth="1"/>
    <col min="5" max="16384" width="9" style="1166"/>
  </cols>
  <sheetData>
    <row r="1" spans="1:4" ht="17.399999999999999">
      <c r="A1" s="3199" t="s">
        <v>114</v>
      </c>
      <c r="B1" s="3199"/>
      <c r="C1" s="3199"/>
      <c r="D1" s="3199"/>
    </row>
    <row r="2" spans="1:4" ht="17.399999999999999">
      <c r="A2" s="3200" t="s">
        <v>115</v>
      </c>
      <c r="B2" s="3200"/>
      <c r="C2" s="3200"/>
      <c r="D2" s="3200"/>
    </row>
    <row r="3" spans="1:4" ht="17.399999999999999">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7.399999999999999">
      <c r="A6" s="3200" t="s">
        <v>121</v>
      </c>
      <c r="B6" s="3200"/>
      <c r="C6" s="3200"/>
      <c r="D6" s="3200"/>
    </row>
    <row r="7" spans="1:4" ht="17.399999999999999">
      <c r="A7" s="3106" t="s">
        <v>116</v>
      </c>
      <c r="B7" s="3108" t="s">
        <v>122</v>
      </c>
      <c r="C7" s="3106" t="s">
        <v>118</v>
      </c>
      <c r="D7" s="3106" t="s">
        <v>119</v>
      </c>
    </row>
    <row r="8" spans="1:4" ht="56.25" customHeight="1">
      <c r="A8" s="3112" t="s">
        <v>123</v>
      </c>
      <c r="B8" s="3112" t="s">
        <v>124</v>
      </c>
      <c r="C8" s="3109"/>
      <c r="D8" s="3110" t="s">
        <v>120</v>
      </c>
    </row>
    <row r="10" spans="1:4" ht="17.399999999999999">
      <c r="A10" s="3105" t="s">
        <v>125</v>
      </c>
    </row>
    <row r="11" spans="1:4" ht="30" customHeight="1">
      <c r="A11" s="3201" t="s">
        <v>126</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3"/>
      <c r="B23" s="1781"/>
      <c r="C23" s="1781"/>
      <c r="D23" s="1781"/>
    </row>
    <row r="24" spans="1:4">
      <c r="A24" s="3113"/>
      <c r="B24" s="1781"/>
      <c r="C24" s="1781"/>
      <c r="D24" s="1781"/>
    </row>
    <row r="25" spans="1:4" ht="17.399999999999999">
      <c r="A25" s="3114" t="s">
        <v>130</v>
      </c>
    </row>
    <row r="26" spans="1:4" ht="17.399999999999999">
      <c r="A26" s="3115"/>
    </row>
    <row r="27" spans="1:4" ht="17.399999999999999">
      <c r="A27" s="3115" t="s">
        <v>131</v>
      </c>
    </row>
    <row r="30" spans="1:4" ht="17.399999999999999">
      <c r="D30" s="3114"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2" customWidth="1"/>
    <col min="3" max="10" width="12.44140625" style="3102" customWidth="1"/>
    <col min="11" max="16384" width="9" style="3102"/>
  </cols>
  <sheetData>
    <row r="1" spans="1:1" ht="17.399999999999999">
      <c r="A1" s="3103" t="s">
        <v>133</v>
      </c>
    </row>
    <row r="2" spans="1:1" ht="17.399999999999999">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6" customWidth="1"/>
  </cols>
  <sheetData>
    <row r="1" spans="1:7" s="3085" customFormat="1" ht="17.399999999999999">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4.4">
      <c r="A15" s="3204" t="s">
        <v>146</v>
      </c>
      <c r="B15" s="3209" t="s">
        <v>147</v>
      </c>
      <c r="C15" s="3203"/>
    </row>
    <row r="16" spans="1:7" ht="14.4">
      <c r="A16" s="3205"/>
      <c r="B16" s="3209" t="s">
        <v>148</v>
      </c>
      <c r="C16" s="3203"/>
    </row>
    <row r="17" spans="1:3" ht="14.4">
      <c r="A17" s="3205"/>
      <c r="B17" s="3208" t="s">
        <v>149</v>
      </c>
      <c r="C17" s="3095" t="s">
        <v>146</v>
      </c>
    </row>
    <row r="18" spans="1:3" ht="14.4">
      <c r="A18" s="3205"/>
      <c r="B18" s="3208"/>
      <c r="C18" s="3095" t="s">
        <v>150</v>
      </c>
    </row>
    <row r="19" spans="1:3" ht="14.4">
      <c r="A19" s="3205"/>
      <c r="B19" s="3208"/>
      <c r="C19" s="3095" t="s">
        <v>151</v>
      </c>
    </row>
    <row r="20" spans="1:3" ht="14.4">
      <c r="A20" s="3206"/>
      <c r="B20" s="3202" t="s">
        <v>152</v>
      </c>
      <c r="C20" s="3203"/>
    </row>
    <row r="21" spans="1:3" ht="14.4">
      <c r="A21" s="3096" t="s">
        <v>153</v>
      </c>
      <c r="B21" s="3097"/>
      <c r="C21" s="3098"/>
    </row>
    <row r="22" spans="1:3" ht="14.4">
      <c r="A22" s="3207" t="s">
        <v>154</v>
      </c>
      <c r="B22" s="3202" t="s">
        <v>155</v>
      </c>
      <c r="C22" s="3203"/>
    </row>
    <row r="23" spans="1:3" ht="14.4">
      <c r="A23" s="3207"/>
      <c r="B23" s="3202" t="s">
        <v>156</v>
      </c>
      <c r="C23" s="3203"/>
    </row>
    <row r="24" spans="1:3" ht="14.4">
      <c r="A24" s="3207"/>
      <c r="B24" s="3202" t="s">
        <v>157</v>
      </c>
      <c r="C24" s="3203"/>
    </row>
    <row r="25" spans="1:3" ht="14.4">
      <c r="A25" s="3207"/>
      <c r="B25" s="3208" t="s">
        <v>158</v>
      </c>
      <c r="C25" s="3095" t="s">
        <v>159</v>
      </c>
    </row>
    <row r="26" spans="1:3" ht="14.4">
      <c r="A26" s="3207"/>
      <c r="B26" s="3208"/>
      <c r="C26" s="3095" t="s">
        <v>160</v>
      </c>
    </row>
    <row r="27" spans="1:3" ht="14.4">
      <c r="A27" s="3207"/>
      <c r="B27" s="3208"/>
      <c r="C27" s="3095" t="s">
        <v>161</v>
      </c>
    </row>
    <row r="28" spans="1:3" ht="14.4">
      <c r="A28" s="3207"/>
      <c r="B28" s="3208"/>
      <c r="C28" s="3095" t="s">
        <v>162</v>
      </c>
    </row>
    <row r="29" spans="1:3" ht="14.4">
      <c r="A29" s="3207"/>
      <c r="B29" s="3208"/>
      <c r="C29" s="3095" t="s">
        <v>163</v>
      </c>
    </row>
    <row r="30" spans="1:3" ht="14.4">
      <c r="A30" s="3207"/>
      <c r="B30" s="3208"/>
      <c r="C30" s="3095" t="s">
        <v>164</v>
      </c>
    </row>
    <row r="31" spans="1:3" ht="14.4">
      <c r="A31" s="3207"/>
      <c r="B31" s="3208"/>
      <c r="C31" s="3095" t="s">
        <v>165</v>
      </c>
    </row>
    <row r="32" spans="1:3" ht="14.4">
      <c r="A32" s="3207"/>
      <c r="B32" s="3208"/>
      <c r="C32" s="3095" t="s">
        <v>166</v>
      </c>
    </row>
    <row r="33" spans="1:3" ht="14.4">
      <c r="A33" s="3207"/>
      <c r="B33" s="3208"/>
      <c r="C33" s="3095" t="s">
        <v>167</v>
      </c>
    </row>
    <row r="34" spans="1:3">
      <c r="A34" s="3099" t="s">
        <v>168</v>
      </c>
    </row>
    <row r="37" spans="1:3">
      <c r="A37" s="3099" t="s">
        <v>169</v>
      </c>
    </row>
    <row r="38" spans="1:3" ht="14.4">
      <c r="A38" s="3100" t="s">
        <v>170</v>
      </c>
    </row>
    <row r="39" spans="1:3" ht="14.4">
      <c r="A39" s="3100" t="s">
        <v>171</v>
      </c>
    </row>
    <row r="40" spans="1:3" ht="14.4">
      <c r="A40" s="3100" t="s">
        <v>172</v>
      </c>
    </row>
    <row r="41" spans="1:3" ht="14.4">
      <c r="A41" s="3101" t="s">
        <v>173</v>
      </c>
    </row>
    <row r="42" spans="1:3" ht="14.4">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59"/>
      <c r="B1" s="3059"/>
      <c r="C1" s="3059"/>
      <c r="D1" s="3059"/>
      <c r="E1" s="3059"/>
      <c r="F1" s="3059"/>
      <c r="G1" s="3059"/>
      <c r="H1" s="3059"/>
    </row>
    <row r="2" spans="1:8" ht="24" customHeight="1">
      <c r="A2" s="3060" t="s">
        <v>175</v>
      </c>
      <c r="B2" s="3061">
        <f ca="1">TODAY()</f>
        <v>45883</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5"/>
      <c r="E18" s="3212" t="s">
        <v>199</v>
      </c>
      <c r="F18" s="3211"/>
      <c r="G18" s="3211"/>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2025-08-14T07:24:34Z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