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P26" i="1" l="1"/>
  <c r="D9" i="68"/>
  <c r="D10" i="68"/>
  <c r="D19" i="68"/>
  <c r="C19" i="68"/>
  <c r="D95" i="39"/>
  <c r="E95" i="39"/>
  <c r="F95" i="39"/>
  <c r="F21" i="39"/>
  <c r="AA21" i="39"/>
  <c r="D99" i="39"/>
  <c r="E99" i="39"/>
  <c r="F25" i="39"/>
  <c r="AA25" i="39"/>
  <c r="D91" i="39"/>
  <c r="E91" i="39"/>
  <c r="F91" i="39"/>
  <c r="F17" i="39"/>
  <c r="AA17" i="39"/>
  <c r="R47" i="39"/>
  <c r="H21" i="39"/>
  <c r="AB21" i="39"/>
  <c r="H25" i="39"/>
  <c r="AB25" i="39"/>
  <c r="H17" i="39"/>
  <c r="AB17" i="39"/>
  <c r="T47" i="39"/>
  <c r="J21" i="39"/>
  <c r="AC21" i="39"/>
  <c r="J25" i="39"/>
  <c r="AC25" i="39"/>
  <c r="J17" i="39"/>
  <c r="AC17" i="39"/>
  <c r="V47" i="39"/>
  <c r="R48" i="39"/>
  <c r="C48" i="39"/>
  <c r="F66" i="39"/>
  <c r="C6" i="68"/>
  <c r="C7" i="68"/>
  <c r="C5" i="68"/>
  <c r="C20" i="68"/>
  <c r="D5" i="73"/>
  <c r="G1" i="73"/>
  <c r="B40" i="1"/>
  <c r="F22" i="68"/>
  <c r="C23" i="68"/>
  <c r="C24" i="68"/>
  <c r="C25" i="68"/>
  <c r="C22" i="68"/>
  <c r="Q16" i="1"/>
  <c r="F27" i="68"/>
  <c r="C28" i="68"/>
  <c r="C27" i="68"/>
  <c r="C26" i="68"/>
  <c r="D22" i="68"/>
  <c r="C29" i="68"/>
  <c r="D27" i="68"/>
  <c r="C31" i="68"/>
  <c r="F34" i="68"/>
  <c r="M6" i="1"/>
  <c r="M16" i="1"/>
  <c r="C34" i="68"/>
  <c r="C35" i="68"/>
  <c r="C36" i="68"/>
  <c r="D37" i="68"/>
  <c r="C37" i="68"/>
  <c r="C38" i="68"/>
  <c r="C33" i="68"/>
  <c r="C39" i="68"/>
  <c r="C42" i="68"/>
  <c r="C43" i="68"/>
  <c r="C41" i="68"/>
  <c r="C46" i="68"/>
  <c r="C45" i="68"/>
  <c r="C44" i="68"/>
  <c r="D41" i="68"/>
  <c r="C47" i="68"/>
  <c r="D45" i="68"/>
  <c r="C49" i="68"/>
  <c r="N16" i="1"/>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C17" i="9"/>
  <c r="D17" i="9"/>
  <c r="C18" i="9"/>
  <c r="D18" i="9"/>
  <c r="G20" i="9"/>
  <c r="O21" i="1"/>
  <c r="O20" i="1"/>
  <c r="O22" i="1"/>
  <c r="O23" i="1"/>
  <c r="O24" i="1"/>
  <c r="O25" i="1"/>
  <c r="M26" i="1"/>
  <c r="N20" i="1"/>
  <c r="N22" i="1"/>
  <c r="N23" i="1"/>
  <c r="N24" i="1"/>
  <c r="N25" i="1"/>
  <c r="N21" i="1"/>
  <c r="F20" i="15"/>
  <c r="F21" i="15"/>
  <c r="D19" i="9"/>
  <c r="F20" i="68"/>
  <c r="F21" i="68"/>
  <c r="C21" i="68"/>
  <c r="C40" i="68"/>
  <c r="C19" i="9"/>
  <c r="G19" i="9"/>
  <c r="I46" i="39"/>
  <c r="G46" i="39"/>
  <c r="E46" i="39"/>
  <c r="I38" i="39"/>
  <c r="G38" i="39"/>
  <c r="E38" i="39"/>
  <c r="C38" i="39"/>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39"/>
  <c r="C10" i="39"/>
  <c r="I7" i="39"/>
  <c r="G7" i="39"/>
  <c r="E7" i="39"/>
  <c r="I5" i="39"/>
  <c r="G5" i="39"/>
  <c r="E5" i="39"/>
  <c r="C19" i="6"/>
  <c r="A6" i="1"/>
  <c r="K6" i="1"/>
  <c r="B29" i="1"/>
  <c r="B2" i="1"/>
  <c r="G19" i="43"/>
  <c r="M20" i="43"/>
  <c r="C19" i="43"/>
  <c r="I20" i="43"/>
  <c r="C20" i="43"/>
  <c r="C24" i="43"/>
  <c r="G17" i="43"/>
  <c r="H17" i="43"/>
  <c r="I17" i="43"/>
  <c r="J17" i="43"/>
  <c r="C16" i="43"/>
  <c r="D5" i="43"/>
  <c r="C37" i="43"/>
  <c r="C39" i="43"/>
  <c r="C38" i="43"/>
  <c r="C41"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G39" i="43"/>
  <c r="G38" i="43"/>
  <c r="G37" i="43"/>
  <c r="C36" i="43"/>
  <c r="G36" i="43"/>
  <c r="I36" i="43"/>
  <c r="C35" i="43"/>
  <c r="G35" i="43"/>
  <c r="I35" i="43"/>
  <c r="C34" i="43"/>
  <c r="G34" i="43"/>
  <c r="I34" i="43"/>
  <c r="J53" i="67"/>
  <c r="M47" i="15"/>
  <c r="G1" i="15"/>
  <c r="I5" i="3"/>
  <c r="I4" i="6"/>
  <c r="G3" i="43"/>
  <c r="C33" i="43"/>
  <c r="G33" i="43"/>
  <c r="I33" i="43"/>
  <c r="D9" i="71"/>
  <c r="AH7" i="71"/>
  <c r="AG7" i="71"/>
  <c r="AE7" i="71"/>
  <c r="AF7" i="71"/>
  <c r="AD7" i="71"/>
  <c r="BC13" i="3"/>
  <c r="BD13" i="3"/>
  <c r="BE13" i="3"/>
  <c r="BF13" i="3"/>
  <c r="BG13" i="3"/>
  <c r="BH13" i="3"/>
  <c r="BI13" i="3"/>
  <c r="BJ13" i="3"/>
  <c r="BK13" i="3"/>
  <c r="BM13" i="3"/>
  <c r="BN13" i="3"/>
  <c r="BO13" i="3"/>
  <c r="BP13" i="3"/>
  <c r="BQ13" i="3"/>
  <c r="BR13" i="3"/>
  <c r="BS13" i="3"/>
  <c r="BT13" i="3"/>
  <c r="BL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F27" i="11"/>
  <c r="F1" i="67"/>
  <c r="Q52" i="67"/>
  <c r="E37" i="43"/>
  <c r="AA7" i="36"/>
  <c r="R36" i="36"/>
  <c r="E36" i="36"/>
  <c r="E40" i="36"/>
  <c r="F40" i="36"/>
  <c r="AC11" i="37"/>
  <c r="W11" i="37"/>
  <c r="AB7" i="37"/>
  <c r="T42" i="37"/>
  <c r="G42" i="37"/>
  <c r="G46" i="37"/>
  <c r="H46" i="37"/>
  <c r="W11" i="34"/>
  <c r="AC11" i="34"/>
  <c r="H20" i="6"/>
  <c r="B2" i="74"/>
  <c r="AB7" i="36"/>
  <c r="T36" i="36"/>
  <c r="E38" i="43"/>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5" i="12"/>
  <c r="F34" i="11"/>
  <c r="C37" i="11"/>
  <c r="F11" i="12"/>
  <c r="C14" i="12"/>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S27" i="6"/>
  <c r="I27" i="6"/>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C12" i="12"/>
  <c r="B6" i="49"/>
  <c r="D19" i="69"/>
  <c r="C19" i="69"/>
  <c r="E10" i="49"/>
  <c r="E7" i="49"/>
  <c r="B4" i="62"/>
  <c r="B71" i="72"/>
  <c r="B12" i="76"/>
  <c r="D3" i="73"/>
  <c r="AO9" i="1"/>
  <c r="M24" i="67"/>
  <c r="F26" i="67"/>
  <c r="L48" i="67"/>
  <c r="J15" i="67"/>
  <c r="M28" i="67"/>
  <c r="M23" i="67"/>
  <c r="E13" i="76"/>
  <c r="B7" i="76"/>
  <c r="M24" i="15"/>
  <c r="F8" i="67"/>
  <c r="F7" i="67"/>
  <c r="M6" i="67"/>
  <c r="C76" i="15"/>
  <c r="F37" i="67"/>
  <c r="M8" i="67"/>
  <c r="AO7" i="1"/>
  <c r="E2" i="68"/>
  <c r="M21" i="15"/>
  <c r="K1" i="73"/>
  <c r="D2" i="35"/>
  <c r="E12" i="76"/>
  <c r="F5" i="73"/>
  <c r="D4" i="73"/>
  <c r="C76" i="67"/>
  <c r="M26" i="67"/>
  <c r="L47" i="15"/>
  <c r="L47" i="67"/>
  <c r="F40" i="67"/>
  <c r="M29" i="15"/>
  <c r="E11" i="76"/>
  <c r="B13" i="76"/>
  <c r="F6" i="73"/>
  <c r="AO10" i="1"/>
  <c r="M23" i="15"/>
  <c r="F43" i="67"/>
  <c r="M29" i="67"/>
  <c r="F6"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C37" i="67"/>
  <c r="F38" i="67"/>
  <c r="C38" i="67"/>
  <c r="C30" i="67"/>
  <c r="C39" i="67"/>
  <c r="F42" i="67"/>
  <c r="F41" i="67"/>
  <c r="C40" i="67"/>
  <c r="M7" i="67"/>
  <c r="M9" i="67"/>
  <c r="J6" i="67"/>
  <c r="M11" i="67"/>
  <c r="J10" i="67"/>
  <c r="J5" i="67"/>
  <c r="J26" i="67"/>
  <c r="J29" i="67"/>
  <c r="J57" i="67"/>
  <c r="J55" i="67"/>
  <c r="J58" i="67"/>
  <c r="J59" i="67"/>
  <c r="J60" i="67"/>
  <c r="L46" i="67"/>
  <c r="D2" i="67"/>
  <c r="B2" i="67"/>
  <c r="AO6" i="1"/>
  <c r="D2" i="33"/>
  <c r="D2" i="21"/>
  <c r="D2" i="34"/>
  <c r="D2" i="37"/>
  <c r="E10" i="76"/>
  <c r="B9" i="76"/>
  <c r="F3" i="73"/>
  <c r="AO12" i="1"/>
  <c r="M22" i="15"/>
  <c r="M28" i="15"/>
  <c r="E9" i="76"/>
  <c r="B11" i="76"/>
  <c r="AO11" i="1"/>
  <c r="F31" i="67"/>
  <c r="M21" i="67"/>
  <c r="F20" i="31"/>
  <c r="E2" i="69"/>
  <c r="AO8" i="1"/>
  <c r="E8" i="76"/>
  <c r="B10" i="76"/>
  <c r="D6" i="73"/>
  <c r="AO13" i="1"/>
  <c r="M26" i="15"/>
  <c r="E7" i="76"/>
  <c r="B8" i="76"/>
  <c r="F7" i="73"/>
  <c r="D7" i="73"/>
  <c r="J15" i="15"/>
  <c r="M22" i="67"/>
  <c r="D2" i="36"/>
  <c r="M27" i="15"/>
  <c r="M27" i="67"/>
  <c r="F31" i="15"/>
  <c r="C23" i="12"/>
  <c r="C29" i="69"/>
  <c r="D27" i="69"/>
  <c r="R16" i="1"/>
  <c r="E33" i="43"/>
  <c r="B4" i="49"/>
  <c r="B9" i="49"/>
  <c r="E22" i="49"/>
  <c r="E16" i="49"/>
  <c r="E11" i="49"/>
  <c r="B10" i="49"/>
  <c r="E6" i="49"/>
  <c r="E8" i="49"/>
  <c r="E5" i="49"/>
  <c r="B8" i="49"/>
  <c r="B5" i="49"/>
  <c r="E21" i="49"/>
  <c r="E4" i="49"/>
  <c r="B11" i="49"/>
  <c r="B14" i="49"/>
  <c r="B16" i="49"/>
  <c r="E13" i="49"/>
  <c r="E15" i="49"/>
  <c r="E9" i="49"/>
  <c r="B22" i="49"/>
  <c r="C16" i="12"/>
  <c r="D37" i="69"/>
  <c r="C37" i="69"/>
  <c r="C18" i="12"/>
  <c r="C8" i="69"/>
  <c r="C5" i="69"/>
  <c r="C20" i="69"/>
  <c r="C35" i="69"/>
  <c r="C33" i="69"/>
  <c r="C39" i="69"/>
  <c r="C46" i="69"/>
  <c r="C4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E20" i="43"/>
  <c r="B2" i="35"/>
  <c r="B3" i="35"/>
  <c r="B8" i="70"/>
  <c r="F63" i="67"/>
  <c r="C62" i="67"/>
  <c r="J20" i="15"/>
  <c r="D103" i="9"/>
  <c r="B20" i="31"/>
  <c r="B7" i="70"/>
  <c r="F69" i="67"/>
  <c r="J20" i="67"/>
  <c r="F71" i="15"/>
  <c r="F65" i="67"/>
  <c r="Q71" i="15"/>
  <c r="F50" i="67"/>
  <c r="F51" i="67"/>
  <c r="B11" i="70"/>
  <c r="F51" i="15"/>
  <c r="F64" i="15"/>
  <c r="I54" i="67"/>
  <c r="Q50" i="67"/>
  <c r="L56" i="67"/>
  <c r="B12" i="70"/>
  <c r="B9" i="70"/>
  <c r="M17" i="15"/>
  <c r="M17" i="67"/>
  <c r="F59" i="67"/>
  <c r="F59" i="15"/>
  <c r="C28" i="69"/>
  <c r="C27" i="69"/>
  <c r="C21" i="12"/>
  <c r="C22" i="12"/>
  <c r="C30" i="12"/>
  <c r="C28" i="12"/>
  <c r="C49" i="67"/>
  <c r="C49" i="15"/>
  <c r="Q73" i="67"/>
  <c r="Q60" i="67"/>
  <c r="B2" i="70"/>
  <c r="B3" i="70"/>
  <c r="P17" i="43"/>
  <c r="M17" i="43"/>
  <c r="N17" i="43"/>
  <c r="O17" i="43"/>
  <c r="Q60" i="15"/>
  <c r="Q73" i="15"/>
  <c r="Q74" i="15"/>
  <c r="Q61" i="15"/>
  <c r="Q61" i="67"/>
  <c r="Q74" i="67"/>
  <c r="J24" i="67"/>
  <c r="J18" i="67"/>
  <c r="C53" i="67"/>
  <c r="C48" i="67"/>
  <c r="J24" i="15"/>
  <c r="J18" i="15"/>
  <c r="C53" i="15"/>
  <c r="C48" i="15"/>
  <c r="F22" i="11"/>
  <c r="F22" i="69"/>
  <c r="F25" i="12"/>
  <c r="C26" i="12"/>
  <c r="D25" i="12"/>
  <c r="C27" i="12"/>
  <c r="C25" i="12"/>
  <c r="C42" i="11"/>
  <c r="C44" i="11"/>
  <c r="D41" i="11"/>
  <c r="C23" i="11"/>
  <c r="C43" i="11"/>
  <c r="C26" i="11"/>
  <c r="D22" i="11"/>
  <c r="C24" i="11"/>
  <c r="C25" i="11"/>
  <c r="C66" i="15"/>
  <c r="C60" i="15"/>
  <c r="C60" i="67"/>
  <c r="C66" i="67"/>
  <c r="C44" i="69"/>
  <c r="D41" i="69"/>
  <c r="C23" i="69"/>
  <c r="C25" i="69"/>
  <c r="C26" i="69"/>
  <c r="D22" i="69"/>
  <c r="C24" i="69"/>
  <c r="C42" i="69"/>
  <c r="C43" i="69"/>
  <c r="C41" i="69"/>
  <c r="C49" i="69"/>
  <c r="C51" i="69"/>
  <c r="C22" i="69"/>
  <c r="C31" i="69"/>
  <c r="C32" i="12"/>
  <c r="B2" i="12"/>
  <c r="B3" i="12"/>
  <c r="J19" i="15"/>
  <c r="J17" i="15"/>
  <c r="Q49" i="15"/>
  <c r="C57" i="15"/>
  <c r="J14" i="15"/>
  <c r="C22" i="11"/>
  <c r="C31" i="11"/>
  <c r="C41" i="11"/>
  <c r="C49" i="11"/>
  <c r="C51" i="11"/>
  <c r="J14" i="67"/>
  <c r="C57" i="67"/>
  <c r="J19" i="67"/>
  <c r="J17" i="67"/>
  <c r="Q49" i="67"/>
  <c r="C52" i="69"/>
  <c r="B2" i="69"/>
  <c r="B3" i="69"/>
  <c r="C52" i="11"/>
  <c r="B2" i="11"/>
  <c r="B3" i="11"/>
  <c r="Q48" i="67"/>
  <c r="C75" i="67"/>
  <c r="Q70" i="67"/>
  <c r="C56" i="67"/>
  <c r="C65" i="67"/>
  <c r="J13" i="67"/>
  <c r="J23" i="67"/>
  <c r="J22" i="67"/>
  <c r="J16" i="67"/>
  <c r="J25" i="67"/>
  <c r="C56" i="11"/>
  <c r="C57" i="11"/>
  <c r="Q48" i="15"/>
  <c r="J13" i="15"/>
  <c r="J23" i="15"/>
  <c r="J22" i="15"/>
  <c r="C61" i="67"/>
  <c r="C59" i="67"/>
  <c r="C64" i="67"/>
  <c r="Q70" i="15"/>
  <c r="C56" i="15"/>
  <c r="C65" i="15"/>
  <c r="C75" i="15"/>
  <c r="C61" i="15"/>
  <c r="C59" i="15"/>
  <c r="C64" i="15"/>
  <c r="C57" i="69"/>
  <c r="C56" i="69"/>
  <c r="J16" i="15"/>
  <c r="J25" i="15"/>
  <c r="Q69" i="15"/>
  <c r="Q68" i="15"/>
  <c r="Q69" i="67"/>
  <c r="Q68" i="67"/>
  <c r="C58" i="15"/>
  <c r="C67" i="15"/>
  <c r="C68" i="15"/>
  <c r="C58" i="67"/>
  <c r="C67" i="67"/>
  <c r="C68" i="67"/>
  <c r="C80" i="67"/>
  <c r="C79" i="67"/>
  <c r="C80" i="15"/>
  <c r="C79" i="15"/>
  <c r="L51" i="15"/>
  <c r="L51" i="67"/>
  <c r="Q67" i="67"/>
  <c r="L57" i="67"/>
  <c r="L60" i="67"/>
  <c r="Q67" i="15"/>
  <c r="L57" i="15"/>
  <c r="L60" i="15"/>
  <c r="C71" i="67"/>
  <c r="C45" i="67"/>
  <c r="C46" i="67"/>
  <c r="Q56" i="67"/>
  <c r="Q47" i="67"/>
  <c r="Q53" i="67"/>
  <c r="Q65" i="67"/>
  <c r="C43" i="67"/>
  <c r="C83" i="67"/>
  <c r="C82" i="67"/>
  <c r="Q65" i="15"/>
  <c r="C43" i="15"/>
  <c r="Q47" i="15"/>
  <c r="Q53" i="15"/>
  <c r="Q56" i="15"/>
  <c r="C83" i="15"/>
  <c r="C82" i="15"/>
  <c r="C71" i="15"/>
  <c r="C46" i="15"/>
  <c r="Q57" i="15"/>
  <c r="Q66" i="15"/>
  <c r="Q75" i="15"/>
  <c r="Q66" i="67"/>
  <c r="Q75" i="67"/>
  <c r="Q57" i="67"/>
  <c r="Q62" i="67"/>
  <c r="Q62" i="15"/>
  <c r="B3" i="67"/>
  <c r="C23" i="43"/>
  <c r="C21" i="43"/>
  <c r="C29" i="43"/>
  <c r="E29" i="43"/>
  <c r="C26" i="43"/>
  <c r="B2" i="43"/>
  <c r="B3" i="43"/>
  <c r="B6" i="76"/>
  <c r="B2" i="76"/>
  <c r="C30" i="43"/>
  <c r="E30" i="43"/>
  <c r="C27" i="43"/>
  <c r="E6" i="76"/>
  <c r="E2" i="76"/>
  <c r="B3" i="76"/>
  <c r="G16" i="1"/>
  <c r="F10" i="39"/>
  <c r="AA10" i="39"/>
  <c r="H10" i="39"/>
  <c r="AB10" i="39"/>
  <c r="J10" i="39"/>
  <c r="AC10" i="39"/>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C102" i="9"/>
  <c r="D22" i="9"/>
  <c r="C21" i="9"/>
  <c r="C103" i="9"/>
  <c r="C56" i="68"/>
  <c r="D34" i="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<sst xmlns="http://schemas.openxmlformats.org/spreadsheetml/2006/main" count="7385" uniqueCount="3126">
  <si>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</si>
  <si>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</si>
  <si>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</si>
  <si>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</si>
  <si>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</si>
  <si>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</si>
  <si>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</si>
  <si>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</si>
  <si>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</si>
  <si>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</si>
  <si>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</si>
  <si>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</si>
  <si>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</si>
  <si>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</si>
  <si>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</si>
  <si>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</si>
  <si>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</si>
  <si>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</si>
  <si>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</si>
  <si>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</si>
  <si>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</si>
  <si>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</si>
  <si>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</si>
  <si>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</si>
  <si>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</si>
  <si>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</si>
  <si>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</si>
  <si>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</si>
  <si>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</si>
  <si>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</si>
  <si>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</si>
  <si>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</si>
  <si>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</si>
  <si>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</si>
  <si>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</si>
  <si>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</si>
  <si>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</si>
  <si>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</si>
  <si>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</si>
  <si>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</si>
  <si>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</si>
  <si>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</si>
  <si>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</si>
  <si>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</si>
  <si>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</si>
  <si>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</si>
  <si>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</si>
  <si>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</si>
  <si>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</si>
  <si>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</si>
  <si>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</si>
  <si>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</si>
  <si>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</si>
  <si>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</si>
  <si>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</si>
  <si>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</si>
  <si>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</si>
  <si>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</si>
  <si>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</si>
  <si>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</si>
  <si>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</si>
  <si>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</si>
  <si>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</si>
  <si>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</si>
  <si>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</si>
  <si>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</si>
  <si>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</si>
  <si>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</si>
  <si>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</si>
  <si>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</si>
  <si>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</si>
  <si>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</si>
  <si>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</si>
  <si>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</si>
  <si>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</si>
  <si>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</si>
  <si>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</si>
  <si>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</si>
  <si>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</si>
  <si>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</si>
  <si>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</si>
  <si>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</si>
  <si>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</si>
  <si>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</si>
  <si>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</si>
  <si>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</si>
  <si>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</si>
  <si>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</si>
  <si>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</si>
  <si>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</si>
  <si>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</si>
  <si>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</si>
  <si>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</si>
  <si>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</si>
  <si>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</si>
  <si>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</si>
  <si>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</si>
  <si>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</si>
  <si>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</si>
  <si>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</si>
  <si>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</si>
  <si>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</si>
  <si>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</si>
  <si>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</si>
  <si>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</si>
  <si>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</si>
  <si>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</si>
  <si>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</si>
  <si>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</si>
  <si>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</si>
  <si>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</si>
  <si>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</si>
  <si>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</si>
  <si>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</si>
  <si>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</si>
  <si>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</si>
  <si>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</si>
  <si>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</si>
  <si>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</si>
  <si>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</si>
  <si>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</si>
  <si>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</si>
  <si>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</si>
  <si>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</si>
  <si>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</si>
  <si>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</si>
  <si>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</si>
  <si>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</si>
  <si>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</si>
  <si>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</si>
  <si>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</si>
  <si>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</si>
  <si>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</si>
  <si>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</si>
  <si>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</si>
  <si>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</si>
  <si>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</si>
  <si>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</si>
  <si>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</si>
  <si>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</si>
  <si>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</si>
  <si>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</si>
  <si>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</si>
  <si>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</si>
  <si>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</si>
  <si>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</si>
  <si>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</si>
  <si>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</si>
  <si>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</si>
  <si>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</si>
  <si>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</si>
  <si>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</si>
  <si>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</si>
  <si>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</si>
  <si>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</si>
  <si>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</si>
  <si>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</si>
  <si>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</si>
  <si>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</si>
  <si>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</si>
  <si>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</si>
  <si>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</si>
  <si>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</si>
  <si>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</si>
  <si>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</si>
  <si>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</si>
  <si>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</si>
  <si>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</si>
  <si>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</si>
  <si>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</si>
  <si>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</si>
  <si>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</si>
  <si>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</si>
  <si>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</si>
  <si>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</si>
  <si>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</si>
  <si>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</si>
  <si>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</si>
  <si>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</si>
  <si>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</si>
  <si>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</si>
  <si>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</si>
  <si>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</si>
  <si>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</si>
  <si>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</si>
  <si>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</si>
  <si>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</si>
  <si>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</si>
  <si>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</si>
  <si>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</si>
  <si>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</si>
  <si>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</si>
  <si>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</si>
  <si>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</si>
  <si>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</si>
  <si>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</si>
  <si>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</si>
  <si>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</si>
  <si>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</si>
  <si>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</si>
  <si>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</si>
  <si>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</si>
  <si>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</si>
  <si>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</si>
  <si>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</si>
  <si>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</si>
  <si>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</si>
  <si>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</si>
  <si>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</si>
  <si>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</si>
  <si>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</si>
  <si>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</si>
  <si>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</si>
  <si>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</si>
  <si>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</si>
  <si>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</si>
  <si>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</si>
  <si>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</si>
  <si>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</si>
  <si>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</si>
  <si>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</si>
  <si>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</si>
  <si>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</si>
  <si>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</si>
  <si>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</si>
  <si>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</si>
  <si>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</si>
  <si>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</si>
  <si>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</si>
  <si>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</si>
  <si>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</si>
  <si>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</si>
  <si>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</si>
  <si>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</si>
  <si>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</si>
  <si>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</si>
  <si>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</si>
  <si>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</si>
  <si>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</si>
  <si>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</si>
  <si>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</si>
  <si>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</si>
  <si>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</si>
  <si>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</si>
  <si>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</si>
  <si>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</si>
  <si>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</si>
  <si>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</si>
  <si>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</si>
  <si>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</si>
  <si>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</si>
  <si>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</si>
  <si>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</si>
  <si>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</si>
  <si>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</si>
  <si>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</si>
  <si>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</si>
  <si>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</si>
  <si>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</si>
  <si>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</si>
  <si>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</si>
  <si>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</si>
  <si>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</si>
  <si>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</si>
  <si>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</si>
  <si>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</si>
  <si>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</si>
  <si>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</si>
  <si>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</si>
  <si>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</si>
  <si>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</si>
  <si>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</si>
  <si>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</si>
  <si>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</si>
  <si>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</si>
  <si>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</si>
  <si>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</si>
  <si>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</si>
  <si>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</si>
  <si>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</si>
  <si>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</si>
  <si>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</si>
  <si>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</si>
  <si>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</si>
  <si>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</si>
  <si>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</si>
  <si>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</si>
  <si>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</si>
  <si>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</si>
  <si>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</si>
  <si>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</si>
  <si>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</si>
  <si>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</si>
  <si>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</si>
  <si>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</si>
  <si>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</si>
  <si>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</si>
  <si>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</si>
  <si>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</si>
  <si>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</si>
  <si>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</si>
  <si>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</si>
  <si>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</si>
  <si>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</si>
  <si>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</si>
  <si>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</si>
  <si>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</si>
  <si>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</si>
  <si>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</si>
  <si>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</si>
  <si>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</si>
  <si>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</si>
  <si>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</si>
  <si>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</si>
  <si>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</si>
  <si>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</si>
  <si>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</si>
  <si>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</si>
  <si>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</si>
  <si>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</si>
  <si>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</si>
  <si>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</si>
  <si>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</si>
  <si>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</si>
  <si>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</si>
  <si>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</si>
  <si>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</si>
  <si>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</si>
  <si>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</si>
  <si>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</si>
  <si>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</si>
  <si>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</si>
  <si>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</si>
  <si>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</si>
  <si>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</si>
  <si>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</si>
  <si>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</si>
  <si>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</si>
  <si>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</si>
  <si>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</si>
  <si>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</si>
  <si>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</si>
  <si>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</si>
  <si>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</si>
  <si>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</si>
  <si>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</si>
  <si>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</si>
  <si>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</si>
  <si>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</si>
  <si>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</si>
  <si>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</si>
  <si>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</si>
  <si>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</si>
  <si>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</si>
  <si>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</si>
  <si>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</si>
  <si>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</si>
  <si>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</si>
  <si>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</si>
  <si>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</si>
  <si>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</si>
  <si>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</si>
  <si>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</si>
  <si>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</si>
  <si>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</si>
  <si>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</si>
  <si>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</si>
  <si>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</si>
  <si>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</si>
  <si>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</si>
  <si>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</si>
  <si>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</si>
  <si>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</si>
  <si>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</si>
  <si>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</si>
  <si>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</si>
  <si>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</si>
  <si>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</si>
  <si>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</si>
  <si>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</si>
  <si>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</si>
  <si>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</si>
  <si>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</si>
  <si>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</si>
  <si>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</si>
  <si>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</si>
  <si>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</si>
  <si>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</si>
  <si>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</si>
  <si>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</si>
  <si>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</si>
  <si>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</si>
  <si>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</si>
  <si>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</si>
  <si>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</si>
  <si>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</si>
  <si>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</si>
  <si>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</si>
  <si>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</si>
  <si>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</si>
  <si>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</si>
  <si>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</si>
  <si>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</si>
  <si>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</si>
  <si>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</si>
  <si>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</si>
  <si>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</si>
  <si>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</si>
  <si>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</si>
  <si>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</si>
  <si>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</si>
  <si>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</si>
  <si>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</si>
  <si>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</si>
  <si>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</si>
  <si>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</si>
  <si>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</si>
  <si>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</si>
  <si>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</si>
  <si>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</si>
  <si>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</si>
  <si>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</si>
  <si>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</si>
  <si>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</si>
  <si>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</si>
  <si>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</si>
  <si>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</si>
  <si>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</si>
  <si>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</si>
  <si>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</si>
  <si>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</si>
  <si>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</si>
  <si>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</si>
  <si>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</si>
  <si>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</si>
  <si>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</si>
  <si>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</si>
  <si>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</si>
  <si>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</si>
  <si>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</si>
  <si>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</si>
  <si>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</si>
  <si>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</si>
  <si>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</si>
  <si>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</si>
  <si>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</si>
  <si>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</si>
  <si>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</si>
  <si>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</si>
  <si>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</si>
  <si>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</si>
  <si>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</si>
  <si>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</si>
  <si>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</si>
  <si>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</si>
  <si>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</si>
  <si>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</si>
  <si>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</si>
  <si>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</si>
  <si>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</si>
  <si>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</si>
  <si>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</si>
  <si>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</si>
  <si>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</si>
  <si>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</si>
  <si>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</si>
  <si>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</si>
  <si>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</si>
  <si>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</si>
  <si>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</si>
  <si>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</si>
  <si>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</si>
  <si>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</si>
  <si>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</si>
  <si>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</si>
  <si>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</si>
  <si>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</si>
  <si>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</si>
  <si>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</si>
  <si>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</si>
  <si>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</si>
  <si>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</si>
  <si>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</si>
  <si>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</si>
  <si>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</si>
  <si>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</si>
  <si>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</si>
  <si>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</si>
  <si>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</si>
  <si>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</si>
  <si>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</si>
  <si>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</si>
  <si>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</si>
  <si>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</si>
  <si>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</si>
  <si>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</si>
  <si>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</si>
  <si>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</si>
  <si>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</si>
  <si>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</si>
  <si>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</si>
  <si>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</si>
  <si>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</si>
  <si>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</si>
  <si>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</si>
  <si>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</si>
  <si>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</si>
  <si>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</si>
  <si>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</si>
  <si>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</si>
  <si>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</si>
  <si>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</si>
  <si>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</si>
  <si>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</si>
  <si>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</si>
  <si>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</si>
  <si>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</si>
  <si>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</si>
  <si>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</si>
  <si>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</si>
  <si>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</si>
  <si>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</si>
  <si>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</si>
  <si>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</si>
  <si>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</si>
  <si>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</si>
  <si>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</si>
  <si>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</si>
  <si>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</si>
  <si>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</si>
  <si>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</si>
  <si>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</si>
  <si>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</si>
  <si>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</si>
  <si>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</si>
  <si>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</si>
  <si>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</si>
  <si>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</si>
  <si>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</si>
  <si>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</si>
  <si>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</si>
  <si>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</si>
  <si>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</si>
  <si>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</si>
  <si>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</si>
  <si>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</si>
  <si>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</si>
  <si>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</si>
  <si>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</si>
  <si>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</si>
  <si>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</si>
  <si>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</si>
  <si>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</si>
  <si>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</si>
  <si>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</si>
  <si>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</si>
  <si>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</si>
  <si>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</si>
  <si>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</si>
  <si>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</si>
  <si>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</si>
  <si>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</si>
  <si>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</si>
  <si>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</si>
  <si>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</si>
  <si>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</si>
  <si>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</si>
  <si>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</si>
  <si>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</si>
  <si>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</si>
  <si>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</si>
  <si>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</si>
  <si>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</si>
  <si>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</si>
  <si>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</si>
  <si>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</si>
  <si>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</si>
  <si>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</si>
  <si>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</si>
  <si>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</si>
  <si>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</si>
  <si>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</si>
  <si>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</si>
  <si>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</si>
  <si>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</si>
  <si>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</si>
  <si>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</si>
  <si>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</si>
  <si>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</si>
  <si>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</si>
  <si>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</si>
  <si>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</si>
  <si>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</si>
  <si>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</si>
  <si>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</si>
  <si>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</si>
  <si>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</si>
  <si>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</si>
  <si>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</si>
  <si>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</si>
  <si>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</si>
  <si>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</si>
  <si>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</si>
  <si>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</si>
  <si>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</si>
  <si>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</si>
  <si>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</si>
  <si>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</si>
  <si>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</si>
  <si>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</si>
  <si>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</si>
  <si>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</si>
  <si>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</si>
  <si>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</si>
  <si>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</si>
  <si>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</si>
  <si>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</si>
  <si>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</si>
  <si>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</si>
  <si>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</si>
  <si>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</si>
  <si>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</si>
  <si>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</si>
  <si>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</si>
  <si>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</si>
  <si>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</si>
  <si>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</si>
  <si>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</si>
  <si>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</si>
  <si>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</si>
  <si>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</si>
  <si>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</si>
  <si>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</si>
  <si>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</si>
  <si>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</si>
  <si>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</si>
  <si>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</si>
  <si>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</si>
  <si>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</si>
  <si>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</si>
  <si>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</si>
  <si>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</si>
  <si>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</si>
  <si>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</si>
  <si>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</si>
  <si>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</si>
  <si>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</si>
  <si>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</si>
  <si>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</si>
  <si>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</si>
  <si>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</si>
  <si>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</si>
  <si>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</si>
  <si>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</si>
  <si>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</si>
  <si>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</si>
  <si>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</si>
  <si>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</si>
  <si>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</si>
  <si>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</si>
  <si>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</si>
  <si>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</si>
  <si>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</si>
  <si>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</si>
  <si>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</si>
  <si>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</si>
  <si>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</si>
  <si>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</si>
  <si>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</si>
  <si>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</si>
  <si>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</si>
  <si>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</si>
  <si>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</si>
  <si>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</si>
  <si>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</si>
  <si>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</si>
  <si>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</si>
  <si>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</si>
  <si>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</si>
  <si>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</si>
  <si>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</si>
  <si>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</si>
  <si>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</si>
  <si>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</si>
  <si>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</si>
  <si>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</si>
  <si>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</si>
  <si>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</si>
  <si>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</si>
  <si>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</si>
  <si>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</si>
  <si>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</si>
  <si>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</si>
  <si>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</si>
  <si>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</si>
  <si>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</si>
  <si>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</si>
  <si>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</si>
  <si>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</si>
  <si>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</si>
  <si>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</si>
  <si>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</si>
  <si>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</si>
  <si>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</si>
  <si>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</si>
  <si>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</si>
  <si>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</si>
  <si>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</si>
  <si>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</si>
  <si>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</si>
  <si>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</si>
  <si>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</si>
  <si>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</si>
  <si>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</si>
  <si>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</si>
  <si>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</si>
  <si>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</si>
  <si>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</si>
  <si>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</si>
  <si>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</si>
  <si>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</si>
  <si>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</si>
  <si>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</si>
  <si>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</si>
  <si>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</si>
  <si>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</si>
  <si>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</si>
  <si>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</si>
  <si>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</si>
  <si>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</si>
  <si>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</si>
  <si>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</si>
  <si>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</si>
  <si>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</si>
  <si>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</si>
  <si>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</si>
  <si>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</si>
  <si>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</si>
  <si>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</si>
  <si>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</si>
  <si>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</si>
  <si>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</si>
  <si>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</si>
  <si>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</si>
  <si>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</si>
  <si>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</si>
  <si>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</si>
  <si>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</si>
  <si>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</si>
  <si>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</si>
  <si>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</si>
  <si>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</si>
  <si>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</si>
  <si>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</si>
  <si>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</si>
  <si>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</si>
  <si>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</si>
  <si>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</si>
  <si>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</si>
  <si>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</si>
  <si>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</si>
  <si>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</si>
  <si>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</si>
  <si>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</si>
  <si>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</si>
  <si>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</si>
  <si>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</si>
  <si>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</si>
  <si>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</si>
  <si>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</si>
  <si>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</si>
  <si>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</si>
  <si>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</si>
  <si>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</si>
  <si>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</si>
  <si>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</si>
  <si>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</si>
  <si>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</si>
  <si>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</si>
  <si>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</si>
  <si>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</si>
  <si>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</si>
  <si>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</si>
  <si>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</si>
  <si>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</si>
  <si>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</si>
  <si>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</si>
  <si>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</si>
  <si>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</si>
  <si>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</si>
  <si>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</si>
  <si>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</si>
  <si>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</si>
  <si>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</si>
  <si>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</si>
  <si>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</si>
  <si>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</si>
  <si>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</si>
  <si>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</si>
  <si>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</si>
  <si>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</si>
  <si>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</si>
  <si>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</si>
  <si>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</si>
  <si>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</si>
  <si>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</si>
  <si>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</si>
  <si>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</si>
  <si>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</si>
  <si>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</si>
  <si>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</si>
  <si>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</si>
  <si>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</si>
  <si>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</si>
  <si>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</si>
  <si>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</si>
  <si>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</si>
  <si>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</si>
  <si>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</si>
  <si>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</si>
  <si>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</si>
  <si>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</si>
  <si>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</si>
  <si>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</si>
  <si>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</si>
  <si>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</si>
  <si>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</si>
  <si>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</si>
  <si>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</si>
  <si>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</si>
  <si>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</si>
  <si>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</si>
  <si>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</si>
  <si>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</si>
  <si>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</si>
  <si>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</si>
  <si>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</si>
  <si>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</si>
  <si>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</si>
  <si>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</si>
  <si>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</si>
  <si>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</si>
  <si>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</si>
  <si>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</si>
  <si>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</si>
  <si>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</si>
  <si>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</si>
  <si>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</si>
  <si>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</si>
  <si>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</si>
  <si>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</si>
  <si>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</si>
  <si>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</si>
  <si>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</si>
  <si>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</si>
  <si>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</si>
  <si>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</si>
  <si>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</si>
  <si>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</si>
  <si>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</si>
  <si>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</si>
  <si>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</si>
  <si>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</si>
  <si>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</si>
  <si>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</si>
  <si>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</si>
  <si>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</si>
  <si>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</si>
  <si>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</si>
  <si>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</si>
  <si>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</si>
  <si>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</si>
  <si>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</si>
  <si>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</si>
  <si>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</si>
  <si>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</si>
  <si>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</si>
  <si>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</si>
  <si>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</si>
  <si>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</si>
  <si>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</si>
  <si>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</si>
  <si>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</si>
  <si>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</si>
  <si>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</si>
  <si>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</si>
  <si>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</si>
  <si>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</si>
  <si>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</si>
  <si>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</si>
  <si>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</si>
  <si>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</si>
  <si>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</si>
  <si>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</si>
  <si>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</si>
  <si>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</si>
  <si>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</si>
  <si>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</si>
  <si>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</si>
  <si>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</si>
  <si>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</si>
  <si>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</si>
  <si>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</si>
  <si>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</si>
  <si>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</si>
  <si>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</si>
  <si>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</si>
  <si>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</si>
  <si>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</si>
  <si>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</si>
  <si>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</si>
  <si>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</si>
  <si>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</si>
  <si>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</si>
  <si>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</si>
  <si>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</si>
  <si>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</si>
  <si>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</si>
  <si>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</si>
  <si>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</si>
  <si>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</si>
  <si>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</si>
  <si>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</si>
  <si>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</si>
  <si>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</si>
  <si>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</si>
  <si>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</si>
  <si>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</si>
  <si>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</si>
  <si>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</si>
  <si>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</si>
  <si>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</si>
  <si>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</si>
  <si>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</si>
  <si>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</si>
  <si>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</si>
  <si>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</si>
  <si>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</si>
  <si>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</si>
  <si>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</si>
  <si>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</si>
  <si>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</si>
  <si>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</si>
  <si>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</si>
  <si>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</si>
  <si>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</si>
  <si>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</si>
  <si>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</si>
  <si>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</si>
  <si>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</si>
  <si>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</si>
  <si>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</si>
  <si>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</si>
  <si>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</si>
  <si>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</si>
  <si>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</si>
  <si>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</si>
  <si>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</si>
  <si>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</si>
  <si>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</si>
  <si>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</si>
  <si>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</si>
  <si>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</si>
  <si>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</si>
  <si>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</si>
  <si>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</si>
  <si>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</si>
  <si>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</si>
  <si>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</si>
  <si>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</si>
  <si>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</si>
  <si>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</si>
  <si>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</si>
  <si>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</si>
  <si>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</si>
  <si>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</si>
  <si>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</si>
  <si>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</si>
  <si>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</si>
  <si>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</si>
  <si>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</si>
  <si>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</si>
  <si>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</si>
  <si>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</si>
  <si>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</si>
  <si>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</si>
  <si>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</si>
  <si>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</si>
  <si>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</si>
  <si>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</si>
  <si>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</si>
  <si>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</si>
  <si>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</si>
  <si>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</si>
  <si>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</si>
  <si>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</si>
  <si>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</si>
  <si>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</si>
  <si>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</si>
  <si>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</si>
  <si>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</si>
  <si>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</si>
  <si>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</si>
  <si>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</si>
  <si>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</si>
  <si>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</si>
  <si>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</si>
  <si>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</si>
  <si>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</si>
  <si>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</si>
  <si>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</si>
  <si>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</si>
  <si>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</si>
  <si>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</si>
  <si>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</si>
  <si>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</si>
  <si>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</si>
  <si>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</si>
  <si>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</si>
  <si>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</si>
  <si>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</si>
  <si>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</si>
  <si>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</si>
  <si>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</si>
  <si>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</si>
  <si>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</si>
  <si>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</si>
  <si>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</si>
  <si>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</si>
  <si>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</si>
  <si>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</si>
  <si>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</si>
  <si>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</si>
  <si>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</si>
  <si>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</si>
  <si>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</si>
  <si>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</si>
  <si>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</si>
  <si>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</si>
  <si>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</si>
  <si>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</si>
  <si>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</si>
  <si>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</si>
  <si>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</si>
  <si>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</si>
  <si>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</si>
  <si>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</si>
  <si>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</si>
  <si>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</si>
  <si>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</si>
  <si>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</si>
  <si>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</si>
  <si>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</si>
  <si>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</si>
  <si>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</si>
  <si>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</si>
  <si>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</si>
  <si>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</si>
  <si>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</si>
  <si>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</si>
  <si>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</si>
  <si>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</si>
  <si>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</si>
  <si>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</si>
  <si>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</si>
  <si>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</si>
  <si>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</si>
  <si>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</si>
  <si>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</si>
  <si>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</si>
  <si>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</si>
  <si>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</si>
  <si>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</si>
  <si>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</si>
  <si>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</si>
  <si>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</si>
  <si>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</si>
  <si>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</si>
  <si>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</si>
  <si>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</si>
  <si>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</si>
  <si>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</si>
  <si>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</si>
  <si>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</si>
  <si>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</si>
  <si>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</si>
  <si>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</si>
  <si>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</si>
  <si>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</si>
  <si>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</si>
  <si>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</si>
  <si>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</si>
  <si>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</si>
  <si>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</si>
  <si>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</si>
  <si>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</si>
  <si>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</si>
  <si>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</si>
  <si>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</si>
  <si>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</si>
  <si>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</si>
  <si>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</si>
  <si>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</si>
  <si>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</si>
  <si>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</si>
  <si>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</si>
  <si>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</si>
  <si>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</si>
  <si>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</si>
  <si>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</si>
  <si>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</si>
  <si>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</si>
  <si>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</si>
  <si>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</si>
  <si>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</si>
  <si>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</si>
  <si>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</si>
  <si>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</si>
  <si>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</si>
  <si>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</si>
  <si>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</si>
  <si>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</si>
  <si>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</si>
  <si>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</si>
  <si>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</si>
  <si>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</si>
  <si>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</si>
  <si>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</si>
  <si>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</si>
  <si>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</si>
  <si>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</si>
  <si>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</si>
  <si>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</si>
  <si>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</si>
  <si>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</si>
  <si>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</si>
  <si>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</si>
  <si>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</si>
  <si>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</si>
  <si>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</si>
  <si>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</si>
  <si>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</si>
  <si>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</si>
  <si>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</si>
  <si>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</si>
  <si>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</si>
  <si>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</si>
  <si>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</si>
  <si>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</si>
  <si>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</si>
  <si>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</si>
  <si>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</si>
  <si>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</si>
  <si>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</si>
  <si>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</si>
  <si>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</si>
  <si>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</si>
  <si>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</si>
  <si>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</si>
  <si>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</si>
  <si>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</si>
  <si>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</si>
  <si>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</si>
  <si>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</si>
  <si>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</si>
  <si>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</si>
  <si>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</si>
  <si>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</si>
  <si>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</si>
  <si>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</si>
  <si>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</si>
  <si>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</si>
  <si>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</si>
  <si>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</si>
  <si>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</si>
  <si>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</si>
  <si>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</si>
  <si>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</si>
  <si>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</si>
  <si>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</si>
  <si>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</si>
  <si>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</si>
  <si>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</si>
  <si>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</si>
  <si>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</si>
  <si>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</si>
  <si>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</si>
  <si>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</si>
  <si>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</si>
  <si>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</si>
  <si>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</si>
  <si>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</si>
  <si>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</si>
  <si>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</si>
  <si>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</si>
  <si>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</si>
  <si>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</si>
  <si>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</si>
  <si>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</si>
  <si>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</si>
  <si>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</si>
  <si>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</si>
  <si>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</si>
  <si>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</si>
  <si>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</si>
  <si>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</si>
  <si>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</si>
  <si>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</si>
  <si>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</si>
  <si>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</si>
  <si>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</si>
  <si>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</si>
  <si>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</si>
  <si>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</si>
  <si>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</si>
  <si>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</si>
  <si>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</si>
  <si>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</si>
  <si>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</si>
  <si>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</si>
  <si>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</si>
  <si>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</si>
  <si>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</si>
  <si>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</si>
  <si>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</si>
  <si>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</si>
  <si>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</si>
  <si>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</si>
  <si>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</si>
  <si>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</si>
  <si>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</si>
  <si>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</si>
  <si>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</si>
  <si>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</si>
  <si>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</si>
  <si>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</si>
  <si>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</si>
  <si>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</si>
  <si>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</si>
  <si>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</si>
  <si>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</si>
  <si>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</si>
  <si>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</si>
  <si>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</si>
  <si>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</si>
  <si>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</si>
  <si>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</si>
  <si>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</si>
  <si>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</si>
  <si>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</si>
  <si>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</si>
  <si>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</si>
  <si>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</si>
  <si>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</si>
  <si>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</si>
  <si>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</si>
  <si>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</si>
  <si>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</si>
  <si>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</si>
  <si>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</si>
  <si>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</si>
  <si>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</si>
  <si>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</si>
  <si>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</si>
  <si>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</si>
  <si>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</si>
  <si>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</si>
  <si>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</si>
  <si>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</si>
  <si>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</si>
  <si>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</si>
  <si>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</si>
  <si>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</si>
  <si>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</si>
  <si>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</si>
  <si>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</si>
  <si>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</si>
  <si>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</si>
  <si>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</si>
  <si>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</si>
  <si>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</si>
  <si>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</si>
  <si>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</si>
  <si>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</si>
  <si>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</si>
  <si>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</si>
  <si>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</si>
  <si>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</si>
  <si>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</si>
  <si>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</si>
  <si>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</si>
  <si>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</si>
  <si>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</si>
  <si>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</si>
  <si>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</si>
  <si>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</si>
  <si>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</si>
  <si>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</si>
  <si>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</si>
  <si>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</si>
  <si>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</si>
  <si>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</si>
  <si>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</si>
  <si>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</si>
  <si>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</si>
  <si>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</si>
  <si>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</si>
  <si>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</si>
  <si>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</si>
  <si>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</si>
  <si>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</si>
  <si>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</si>
  <si>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</si>
  <si>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</si>
  <si>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</si>
  <si>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</si>
  <si>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</si>
  <si>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</si>
  <si>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</si>
  <si>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</si>
  <si>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</si>
  <si>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</si>
  <si>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</si>
  <si>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</si>
  <si>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</si>
  <si>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</si>
  <si>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</si>
  <si>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</si>
  <si>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</si>
  <si>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</si>
  <si>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</si>
  <si>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</si>
  <si>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</si>
  <si>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</si>
  <si>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</si>
  <si>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</si>
  <si>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</si>
  <si>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</si>
  <si>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</si>
  <si>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</si>
  <si>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</si>
  <si>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</si>
  <si>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</si>
  <si>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</si>
  <si>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</si>
  <si>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</si>
  <si>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</si>
  <si>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</si>
  <si>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</si>
  <si>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</si>
  <si>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</si>
  <si>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</si>
  <si>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</si>
  <si>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</si>
  <si>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</si>
  <si>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</si>
  <si>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</si>
  <si>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</si>
  <si>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</si>
  <si>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</si>
  <si>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</si>
  <si>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</si>
  <si>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</si>
  <si>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</si>
  <si>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</si>
  <si>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</si>
  <si>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</si>
  <si>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</si>
  <si>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</si>
  <si>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</si>
  <si>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</si>
  <si>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</si>
  <si>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</si>
  <si>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</si>
  <si>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</si>
  <si>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</si>
  <si>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</si>
  <si>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</si>
  <si>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</si>
  <si>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</si>
  <si>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</si>
  <si>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</si>
  <si>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</si>
  <si>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</si>
  <si>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</si>
  <si>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</si>
  <si>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</si>
  <si>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</si>
  <si>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</si>
  <si>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</si>
  <si>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</si>
  <si>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</si>
  <si>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</si>
  <si>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</si>
  <si>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</si>
  <si>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</si>
  <si>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</si>
  <si>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</si>
  <si>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</si>
  <si>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</si>
  <si>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</si>
  <si>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</si>
  <si>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</si>
  <si>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</si>
  <si>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</si>
  <si>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</si>
  <si>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</si>
  <si>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</si>
  <si>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</si>
  <si>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</si>
  <si>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</si>
  <si>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</si>
  <si>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</si>
  <si>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</si>
  <si>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</si>
  <si>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</si>
  <si>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</si>
  <si>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</si>
  <si>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</si>
  <si>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</si>
  <si>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</si>
  <si>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</si>
  <si>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</si>
  <si>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</si>
  <si>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</si>
  <si>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</si>
  <si>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</si>
  <si>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</si>
  <si>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</si>
  <si>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</si>
  <si>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</si>
  <si>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</si>
  <si>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</si>
  <si>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</si>
  <si>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</si>
  <si>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</si>
  <si>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</si>
  <si>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</si>
  <si>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</si>
  <si>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</si>
  <si>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</si>
  <si>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</si>
  <si>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</si>
  <si>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</si>
  <si>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</si>
  <si>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</si>
  <si>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</si>
  <si>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</si>
  <si>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</si>
  <si>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</si>
  <si>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</si>
  <si>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</si>
  <si>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</si>
  <si>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</si>
  <si>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</si>
  <si>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</si>
  <si>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</si>
  <si>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</si>
  <si>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</si>
  <si>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</si>
  <si>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</si>
  <si>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</si>
  <si>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</si>
  <si>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</si>
  <si>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</si>
  <si>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</si>
  <si>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</si>
  <si>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</si>
  <si>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</si>
  <si>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</si>
  <si>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</si>
  <si>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</si>
  <si>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</si>
  <si>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</si>
  <si>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</si>
  <si>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</si>
  <si>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</si>
  <si>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</si>
  <si>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</si>
  <si>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</si>
  <si>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</si>
  <si>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</si>
  <si>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</si>
  <si>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</si>
  <si>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</si>
  <si>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</si>
  <si>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</si>
  <si>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</si>
  <si>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</si>
  <si>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</si>
  <si>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</si>
  <si>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</si>
  <si>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</si>
  <si>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</si>
  <si>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</si>
  <si>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</si>
  <si>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</si>
  <si>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</si>
  <si>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</si>
  <si>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</si>
  <si>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</si>
  <si>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</si>
  <si>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</si>
  <si>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</si>
  <si>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</si>
  <si>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</si>
  <si>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</si>
  <si>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</si>
  <si>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</si>
  <si>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</si>
  <si>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</si>
  <si>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</si>
  <si>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</si>
  <si>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</si>
  <si>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</si>
  <si>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</si>
  <si>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</si>
  <si>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</si>
  <si>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</si>
  <si>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</si>
  <si>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</si>
  <si>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</si>
  <si>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</si>
  <si>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</si>
  <si>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</si>
  <si>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</si>
  <si>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</si>
  <si>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</si>
  <si>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</si>
  <si>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</si>
  <si>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</si>
  <si>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</si>
  <si>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</si>
  <si>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</si>
  <si>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</si>
  <si>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</si>
  <si>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</si>
  <si>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</si>
  <si>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</si>
  <si>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</si>
  <si>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</si>
  <si>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</si>
  <si>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</si>
  <si>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</si>
  <si>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</si>
  <si>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</si>
  <si>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</si>
  <si>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</si>
  <si>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</si>
  <si>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</si>
  <si>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</si>
  <si>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</si>
  <si>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</si>
  <si>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</si>
  <si>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</si>
  <si>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</si>
  <si>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</si>
  <si>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</si>
  <si>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</si>
  <si>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</si>
  <si>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</si>
  <si>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</si>
  <si>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</si>
  <si>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</si>
  <si>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</si>
  <si>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</si>
  <si>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</si>
  <si>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</si>
  <si>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</si>
  <si>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</si>
  <si>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</si>
  <si>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</si>
  <si>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</si>
  <si>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</si>
  <si>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</si>
  <si>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</si>
  <si>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</si>
  <si>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</si>
  <si>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</si>
  <si>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</si>
  <si>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</si>
  <si>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</si>
  <si>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</si>
  <si>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</si>
  <si>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</si>
  <si>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</si>
  <si>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</si>
  <si>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</si>
  <si>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</si>
  <si>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</si>
  <si>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</si>
  <si>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</si>
  <si>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</si>
  <si>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</si>
  <si>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</si>
  <si>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</si>
  <si>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</si>
  <si>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</si>
  <si>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</si>
  <si>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</si>
  <si>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</si>
  <si>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</si>
  <si>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</si>
  <si>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</si>
  <si>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</si>
  <si>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</si>
  <si>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</si>
  <si>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</si>
  <si>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</si>
  <si>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</si>
  <si>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</si>
  <si>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</si>
  <si>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</si>
  <si>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</si>
  <si>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</si>
  <si>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</si>
  <si>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</si>
  <si>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</si>
  <si>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</si>
  <si>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</si>
  <si>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</si>
  <si>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</si>
  <si>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</si>
  <si>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</si>
  <si>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</si>
  <si>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</si>
  <si>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</si>
  <si>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</si>
  <si>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</si>
  <si>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</si>
  <si>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</si>
  <si>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</si>
  <si>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</si>
  <si>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</si>
  <si>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</si>
  <si>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</si>
  <si>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</si>
  <si>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</si>
  <si>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</si>
  <si>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</si>
  <si>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</si>
  <si>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</si>
  <si>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</si>
  <si>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</si>
  <si>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</si>
  <si>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</si>
  <si>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</si>
  <si>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</si>
  <si>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</si>
  <si>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</si>
  <si>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</si>
  <si>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</si>
  <si>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</si>
  <si>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</si>
  <si>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</si>
  <si>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</si>
  <si>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</si>
  <si>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</si>
  <si>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</si>
  <si>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</si>
  <si>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</si>
  <si>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</si>
  <si>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</si>
  <si>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</si>
  <si>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</si>
  <si>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</si>
  <si>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</si>
  <si>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</si>
  <si>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</si>
  <si>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</si>
  <si>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</si>
  <si>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</si>
  <si>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</si>
  <si>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</si>
  <si>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</si>
  <si>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</si>
  <si>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</si>
  <si>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</si>
  <si>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</si>
  <si>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</si>
  <si>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</si>
  <si>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</si>
  <si>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</si>
  <si>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</si>
  <si>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</si>
  <si>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</si>
  <si>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</si>
  <si>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</si>
  <si>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</si>
  <si>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</si>
  <si>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</si>
  <si>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</si>
  <si>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</si>
  <si>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</si>
  <si>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</si>
  <si>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</si>
  <si>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</si>
  <si>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</si>
  <si>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</si>
  <si>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</si>
  <si>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</si>
  <si>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</si>
  <si>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</si>
  <si>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</si>
  <si>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</si>
  <si>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</si>
  <si>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</si>
  <si>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</si>
  <si>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</si>
  <si>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</si>
  <si>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</si>
  <si>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</si>
  <si>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</si>
  <si>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</si>
  <si>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</si>
  <si>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</si>
  <si>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</si>
  <si>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</si>
  <si>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</si>
  <si>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</si>
  <si>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</si>
  <si>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</si>
  <si>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</si>
  <si>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</si>
  <si>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</si>
  <si>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</si>
  <si>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</si>
  <si>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</si>
  <si>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</si>
  <si>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</si>
  <si>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</si>
  <si>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</si>
  <si>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</si>
  <si>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</si>
  <si>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</si>
  <si>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</si>
  <si>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</si>
  <si>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</si>
  <si>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</si>
  <si>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</si>
  <si>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</si>
  <si>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</si>
  <si>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</si>
  <si>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</si>
  <si>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</si>
  <si>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</si>
  <si>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</si>
  <si>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</si>
  <si>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</si>
  <si>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</si>
  <si>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</si>
  <si>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</si>
  <si>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</si>
  <si>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</si>
  <si>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</si>
  <si>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</si>
  <si>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</si>
  <si>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</si>
  <si>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</si>
  <si>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</si>
  <si>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</si>
  <si>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</si>
  <si>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</si>
  <si>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</si>
  <si>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</si>
  <si>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</si>
  <si>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</si>
  <si>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</si>
  <si>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</si>
  <si>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</si>
  <si>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</si>
  <si>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</si>
  <si>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</si>
  <si>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</si>
  <si>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</si>
  <si>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</si>
  <si>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</si>
  <si>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</si>
  <si>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</si>
  <si>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</si>
  <si>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</si>
  <si>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</si>
  <si>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</si>
  <si>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</si>
  <si>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</si>
  <si>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</si>
  <si>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</si>
  <si>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</si>
  <si>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</si>
  <si>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</si>
  <si>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</si>
  <si>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</si>
  <si>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</si>
  <si>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</si>
  <si>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</si>
  <si>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</si>
  <si>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</si>
  <si>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</si>
  <si>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</si>
  <si>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</si>
  <si>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</si>
  <si>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</si>
  <si>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</si>
  <si>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</si>
  <si>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</si>
  <si>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</si>
  <si>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</si>
  <si>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</si>
  <si>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</si>
  <si>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</si>
  <si>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</si>
  <si>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</si>
  <si>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</si>
  <si>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</si>
  <si>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</si>
  <si>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</si>
  <si>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</si>
  <si>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</si>
  <si>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</si>
  <si>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</si>
  <si>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</si>
  <si>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</si>
  <si>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</si>
  <si>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</si>
  <si>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</si>
  <si>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</si>
  <si>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</si>
  <si>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</si>
  <si>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</si>
  <si>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</si>
  <si>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</si>
  <si>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</si>
  <si>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</si>
  <si>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</si>
  <si>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</si>
  <si>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</si>
  <si>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</si>
  <si>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</si>
  <si>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</si>
  <si>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</si>
  <si>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</si>
  <si>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</si>
  <si>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</si>
  <si>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</si>
  <si>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</si>
  <si>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</si>
  <si>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</si>
  <si>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</si>
  <si>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</si>
  <si>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</si>
  <si>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</si>
  <si>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</si>
  <si>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</si>
  <si>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</si>
  <si>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</si>
  <si>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</si>
  <si>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</si>
  <si>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</si>
  <si>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</si>
  <si>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</si>
  <si>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</si>
  <si>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</si>
  <si>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</si>
  <si>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</si>
  <si>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</si>
  <si>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</si>
  <si>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</si>
  <si>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</si>
  <si>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</si>
  <si>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</si>
  <si>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</si>
  <si>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</si>
  <si>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</si>
  <si>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</si>
  <si>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</si>
  <si>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</si>
  <si>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</si>
  <si>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</si>
  <si>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</si>
  <si>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</si>
  <si>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</si>
  <si>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</si>
  <si>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</si>
  <si>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</si>
  <si>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</si>
  <si>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</si>
  <si>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</si>
  <si>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</si>
  <si>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</si>
  <si>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</si>
  <si>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</si>
  <si>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</si>
  <si>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</si>
  <si>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</si>
  <si>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</si>
  <si>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</si>
  <si>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</si>
  <si>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</si>
  <si>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</si>
  <si>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</si>
  <si>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</si>
  <si>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</si>
  <si>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</si>
  <si>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</si>
  <si>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</si>
  <si>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</si>
  <si>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</si>
  <si>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</si>
  <si>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</si>
  <si>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</si>
  <si>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</si>
  <si>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</si>
  <si>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</si>
  <si>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</si>
  <si>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</si>
  <si>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</si>
  <si>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</si>
  <si>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</si>
  <si>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</si>
  <si>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</si>
  <si>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</si>
  <si>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</si>
  <si>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</si>
  <si>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</si>
  <si>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</si>
  <si>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</si>
  <si>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</si>
  <si>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</si>
  <si>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</si>
  <si>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</si>
  <si>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</si>
  <si>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</si>
  <si>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</si>
  <si>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</si>
  <si>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</si>
  <si>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</si>
  <si>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</si>
  <si>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</si>
  <si>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</si>
  <si>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</si>
  <si>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</si>
  <si>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</si>
  <si>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</si>
  <si>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</si>
  <si>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</si>
  <si>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</si>
  <si>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</si>
  <si>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</si>
  <si>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</si>
  <si>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</si>
  <si>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</si>
  <si>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</si>
  <si>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</si>
  <si>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</si>
  <si>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</si>
  <si>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</si>
  <si>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</si>
  <si>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</si>
  <si>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</si>
  <si>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</si>
  <si>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</si>
  <si>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</si>
  <si>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</si>
  <si>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</si>
  <si>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</si>
  <si>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</si>
  <si>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</si>
  <si>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</si>
  <si>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</si>
  <si>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</si>
  <si>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</si>
  <si>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</si>
  <si>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</si>
  <si>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</si>
  <si>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</si>
  <si>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</si>
  <si>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</si>
  <si>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</si>
  <si>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</si>
  <si>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</si>
  <si>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</si>
  <si>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</si>
  <si>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</si>
  <si>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</si>
  <si>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</si>
  <si>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</si>
  <si>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</si>
  <si>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</si>
  <si>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</si>
  <si>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</si>
  <si>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</si>
  <si>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</si>
  <si>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</si>
  <si>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</si>
  <si>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</si>
  <si>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</si>
  <si>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</si>
  <si>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</si>
  <si>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</si>
  <si>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</si>
  <si>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</si>
  <si>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</si>
  <si>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</si>
  <si>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</si>
  <si>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</si>
  <si>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</si>
  <si>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</si>
  <si>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</si>
  <si>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</si>
  <si>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</si>
  <si>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</si>
  <si>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</si>
  <si>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</si>
  <si>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</si>
  <si>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</si>
  <si>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</si>
  <si>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</si>
  <si>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</si>
  <si>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</si>
  <si>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</si>
  <si>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</si>
  <si>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</si>
  <si>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</si>
  <si>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</si>
  <si>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</si>
  <si>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</si>
  <si>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</si>
  <si>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</si>
  <si>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</si>
  <si>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</si>
  <si>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</si>
  <si>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</si>
  <si>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</si>
  <si>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</si>
  <si>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</si>
  <si>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</si>
  <si>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</si>
  <si>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</si>
  <si>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</si>
  <si>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</si>
  <si>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</si>
  <si>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</si>
  <si>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</si>
  <si>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</si>
  <si>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</si>
  <si>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</si>
  <si>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</si>
  <si>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</si>
  <si>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</si>
  <si>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</si>
  <si>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</si>
  <si>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</si>
  <si>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</si>
  <si>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</si>
  <si>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</si>
  <si>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</si>
  <si>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</si>
  <si>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</si>
  <si>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</si>
  <si>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</si>
  <si>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</si>
  <si>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</si>
  <si>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</si>
  <si>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</si>
  <si>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</si>
  <si>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</si>
  <si>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</si>
  <si>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</si>
  <si>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</si>
  <si>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</si>
  <si>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</si>
  <si>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</si>
  <si>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</si>
  <si>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</si>
  <si>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</si>
  <si>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</si>
  <si>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</si>
  <si>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</si>
  <si>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</si>
  <si>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</si>
  <si>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</si>
  <si>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</si>
  <si>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</si>
  <si>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</si>
  <si>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</si>
  <si>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</si>
  <si>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</si>
  <si>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</si>
  <si>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</si>
  <si>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</si>
  <si>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</si>
  <si>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</si>
  <si>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</si>
  <si>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</si>
  <si>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</si>
  <si>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</si>
  <si>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</si>
  <si>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</si>
  <si>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</si>
  <si>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</si>
  <si>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</si>
  <si>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</si>
  <si>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</si>
  <si>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</si>
  <si>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</si>
  <si>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</si>
  <si>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</si>
  <si>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</si>
  <si>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</si>
  <si>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</si>
  <si>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</si>
  <si>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</si>
  <si>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</si>
  <si>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</si>
  <si>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</si>
  <si>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</si>
  <si>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</si>
  <si>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</si>
  <si>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</si>
  <si>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</si>
  <si>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</si>
  <si>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</si>
  <si>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</si>
  <si>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</si>
  <si>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</si>
  <si>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</si>
  <si>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</si>
  <si>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</si>
  <si>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</si>
  <si>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</si>
  <si>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</si>
  <si>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</si>
  <si>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</si>
  <si>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</si>
  <si>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</si>
  <si>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</si>
  <si>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</si>
  <si>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</si>
  <si>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</si>
  <si>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</si>
  <si>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</si>
  <si>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</si>
  <si>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</si>
  <si>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</si>
  <si>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</si>
  <si>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</si>
  <si>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</si>
  <si>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</si>
  <si>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</si>
  <si>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</si>
  <si>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</si>
  <si>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</si>
  <si>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</si>
  <si>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</si>
  <si>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</si>
  <si>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</si>
  <si>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</si>
  <si>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</si>
  <si>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</si>
  <si>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</si>
  <si>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</si>
  <si>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</si>
  <si>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</si>
  <si>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</si>
  <si>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</si>
  <si>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</si>
  <si>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</si>
  <si>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</si>
  <si>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</si>
  <si>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</si>
  <si>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</si>
  <si>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</si>
  <si>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</si>
  <si>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</si>
  <si>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</si>
  <si>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</si>
  <si>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</si>
  <si>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</si>
  <si>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</si>
  <si>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</si>
  <si>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</si>
  <si>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</si>
  <si>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</si>
  <si>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</si>
  <si>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</si>
  <si>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</si>
  <si>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</si>
  <si>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</si>
  <si>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</si>
  <si>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</si>
  <si>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</si>
  <si>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</si>
  <si>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</si>
  <si>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</si>
  <si>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</si>
  <si>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</si>
  <si>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</si>
  <si>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</si>
  <si>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</si>
  <si>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</si>
  <si>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</si>
  <si>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</si>
  <si>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</si>
  <si>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</si>
  <si>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</si>
  <si>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</si>
  <si>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</si>
  <si>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</si>
  <si>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</si>
  <si>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</si>
  <si>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</si>
  <si>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</si>
  <si>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</si>
  <si>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</si>
  <si>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</si>
  <si>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</si>
  <si>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</si>
  <si>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</si>
  <si>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</si>
  <si>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</si>
  <si>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</si>
  <si>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</si>
  <si>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</si>
  <si>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</si>
  <si>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</si>
  <si>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</si>
  <si>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</si>
  <si>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</si>
  <si>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</si>
  <si>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</si>
  <si>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</si>
  <si>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</si>
  <si>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</si>
  <si>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</si>
  <si>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</si>
  <si>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</si>
  <si>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</si>
  <si>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</si>
  <si>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</si>
  <si>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</si>
  <si>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</si>
  <si>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</si>
  <si>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</si>
  <si>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</si>
  <si>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</si>
  <si>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</si>
  <si>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</si>
  <si>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</si>
  <si>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</si>
  <si>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</si>
  <si>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</si>
  <si>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</si>
  <si>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</si>
  <si>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</si>
  <si>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</si>
  <si>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</si>
  <si>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</si>
  <si>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</si>
  <si>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</si>
  <si>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</si>
  <si>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</si>
  <si>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</si>
  <si>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</si>
  <si>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</si>
  <si>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</si>
  <si>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</si>
  <si>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</si>
  <si>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</si>
  <si>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</si>
  <si>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</si>
  <si>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</si>
  <si>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</si>
  <si>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</si>
  <si>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</si>
  <si>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</si>
  <si>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</si>
  <si>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</si>
  <si>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</si>
  <si>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</si>
  <si>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</si>
  <si>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</si>
  <si>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</si>
  <si>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</si>
  <si>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</si>
  <si>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</si>
  <si>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</si>
  <si>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</si>
  <si>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</si>
  <si>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</si>
  <si>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</si>
  <si>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</si>
  <si>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</si>
  <si>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</si>
  <si>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</si>
  <si>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</si>
  <si>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</si>
  <si>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</si>
  <si>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</si>
  <si>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</si>
  <si>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</si>
  <si>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</si>
  <si>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</si>
  <si>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</si>
  <si>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</si>
  <si>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</si>
  <si>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</si>
  <si>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</si>
  <si>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</si>
  <si>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</si>
  <si>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</si>
  <si>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</si>
  <si>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</si>
  <si>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</si>
  <si>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</si>
  <si>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</si>
  <si>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</si>
  <si>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</si>
  <si>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</si>
  <si>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</si>
  <si>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</si>
  <si>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</si>
  <si>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</si>
  <si>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</si>
  <si>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</si>
  <si>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</si>
  <si>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</si>
  <si>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</si>
  <si>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</si>
  <si>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</si>
  <si>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</si>
  <si>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</si>
  <si>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</si>
  <si>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</si>
  <si>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</si>
  <si>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</si>
  <si>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</si>
  <si>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</si>
  <si>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</si>
  <si>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</si>
  <si>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</si>
  <si>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</si>
  <si>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</si>
  <si>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</si>
  <si>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</si>
  <si>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</si>
  <si>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</si>
  <si>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</si>
  <si>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</si>
  <si>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</si>
  <si>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</si>
  <si>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</si>
  <si>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</si>
  <si>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</si>
  <si>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</si>
  <si>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</si>
  <si>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</si>
  <si>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</si>
  <si>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</si>
  <si>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</si>
  <si>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</si>
  <si>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</si>
  <si>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</si>
  <si>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</si>
  <si>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</si>
  <si>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</si>
  <si>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</si>
  <si>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</si>
  <si>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</si>
  <si>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</si>
  <si>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</si>
  <si>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</si>
  <si>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</si>
  <si>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</si>
  <si>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</si>
  <si>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</si>
  <si>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</si>
  <si>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</si>
  <si>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</si>
  <si>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</si>
  <si>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</si>
  <si>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</si>
  <si>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</si>
  <si>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</si>
  <si>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</si>
  <si>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</si>
  <si>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</si>
  <si>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</si>
  <si>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</si>
  <si>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</si>
  <si>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</si>
  <si>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</si>
  <si>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</si>
  <si>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</si>
  <si>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</si>
  <si>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</si>
  <si>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</si>
  <si>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</si>
  <si>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</si>
  <si>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</si>
  <si>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</si>
  <si>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</si>
  <si>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</si>
  <si>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</si>
  <si>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</si>
  <si>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</si>
  <si>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</si>
  <si>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</si>
  <si>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</si>
  <si>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</si>
  <si>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</si>
  <si>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</si>
  <si>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</si>
  <si>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</si>
  <si>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</si>
  <si>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</si>
  <si>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</si>
  <si>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</si>
  <si>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</si>
  <si>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</si>
  <si>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</si>
  <si>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</si>
  <si>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</si>
  <si>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</si>
  <si>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</si>
  <si>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</si>
  <si>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</si>
  <si>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</si>
  <si>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</si>
  <si>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</si>
  <si>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</si>
  <si>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</si>
  <si>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</si>
  <si>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</si>
  <si>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</si>
  <si>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</si>
  <si>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</si>
  <si>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</si>
  <si>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</si>
  <si>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</si>
  <si>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</si>
  <si>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</si>
  <si>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</si>
  <si>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</si>
  <si>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</si>
  <si>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</si>
  <si>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</si>
  <si>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</si>
  <si>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</si>
  <si>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</si>
  <si>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</si>
  <si>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</si>
  <si>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</si>
  <si>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</si>
  <si>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</si>
  <si>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</si>
  <si>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</si>
  <si>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</si>
  <si>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</si>
  <si>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</si>
  <si>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</si>
  <si>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</si>
  <si>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</si>
  <si>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</si>
  <si>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</si>
  <si>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</si>
  <si>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</si>
  <si>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</si>
  <si>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</si>
  <si>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</si>
  <si>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</si>
  <si>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</si>
  <si>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</si>
  <si>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</si>
  <si>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</si>
  <si>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</si>
  <si>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</si>
  <si>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</si>
  <si>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</si>
  <si>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</si>
  <si>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</si>
  <si>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</si>
  <si>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</si>
  <si>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</si>
  <si>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</si>
  <si>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</si>
  <si>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</si>
  <si>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</si>
  <si>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</si>
  <si>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</si>
  <si>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</si>
  <si>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</si>
  <si>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</si>
  <si>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</si>
  <si>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</si>
  <si>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</si>
  <si>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</si>
  <si>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</si>
  <si>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</si>
  <si>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</si>
  <si>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</si>
  <si>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</si>
  <si>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</si>
  <si>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</si>
  <si>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</si>
  <si>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</si>
  <si>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</si>
  <si>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</si>
  <si>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</si>
  <si>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</si>
  <si>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</si>
  <si>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</si>
  <si>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</si>
  <si>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</si>
  <si>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</si>
  <si>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</si>
  <si>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</si>
  <si>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</si>
  <si>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</si>
  <si>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</si>
  <si>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</si>
  <si>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</si>
  <si>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</si>
  <si>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</si>
  <si>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</si>
  <si>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</si>
  <si>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</si>
  <si>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</si>
  <si>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</si>
  <si>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</si>
  <si>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</si>
  <si>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</si>
  <si>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</si>
  <si>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</si>
  <si>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</si>
  <si>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</si>
  <si>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</si>
  <si>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</si>
  <si>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</si>
  <si>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</si>
  <si>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</si>
  <si>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</si>
  <si>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</si>
  <si>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</si>
  <si>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</si>
  <si>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</si>
  <si>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</si>
  <si>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</si>
  <si>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</si>
  <si>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</si>
  <si>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</si>
  <si>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</si>
  <si>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</si>
  <si>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</si>
  <si>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</si>
  <si>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</si>
  <si>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</si>
  <si>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</si>
  <si>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</si>
  <si>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</si>
  <si>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</si>
  <si>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</si>
  <si>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</si>
  <si>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</si>
  <si>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</si>
  <si>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</si>
  <si>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</si>
  <si>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</si>
  <si>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</si>
  <si>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</si>
  <si>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</si>
  <si>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</si>
  <si>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</si>
  <si>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</si>
  <si>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</si>
  <si>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</si>
  <si>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</si>
  <si>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</si>
  <si>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</si>
  <si>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</si>
  <si>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</si>
  <si>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</si>
  <si>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</si>
  <si>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</si>
  <si>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</si>
  <si>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</si>
  <si>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</si>
  <si>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</si>
  <si>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</si>
  <si>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</si>
  <si>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</si>
  <si>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</si>
  <si>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</si>
  <si>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</si>
  <si>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</si>
  <si>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</si>
  <si>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</si>
  <si>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</si>
  <si>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</si>
  <si>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</si>
  <si>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</si>
  <si>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</si>
  <si>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</si>
  <si>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</si>
  <si>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</si>
  <si>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</si>
  <si>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</si>
  <si>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</si>
  <si>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</si>
  <si>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</si>
  <si>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</si>
  <si>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</si>
  <si>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</si>
  <si>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</si>
  <si>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</si>
  <si>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</si>
  <si>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</si>
  <si>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</si>
  <si>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</si>
  <si>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</si>
  <si>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</si>
  <si>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</si>
  <si>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</si>
  <si>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</si>
  <si>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</si>
  <si>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</si>
  <si>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</si>
  <si>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</si>
  <si>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</si>
  <si>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</si>
  <si>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</si>
  <si>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</si>
  <si>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</si>
  <si>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</si>
  <si>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</si>
  <si>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</si>
  <si>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</si>
  <si>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</si>
  <si>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</si>
  <si>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</si>
  <si>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</si>
  <si>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</si>
  <si>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</si>
  <si>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</si>
  <si>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</si>
  <si>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</si>
  <si>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</si>
  <si>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</si>
  <si>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</si>
  <si>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</si>
  <si>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</si>
  <si>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</si>
  <si>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</si>
  <si>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</si>
  <si>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</si>
  <si>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</si>
  <si>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</si>
  <si>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</si>
  <si>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</si>
  <si>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</si>
  <si>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</si>
  <si>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</si>
  <si>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</si>
  <si>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</si>
  <si>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</si>
  <si>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</si>
  <si>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</si>
  <si>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</si>
  <si>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</si>
  <si>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</si>
  <si>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</si>
  <si>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</si>
  <si>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</si>
  <si>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</si>
  <si>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</si>
  <si>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</si>
  <si>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</si>
  <si>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</si>
  <si>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</si>
  <si>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</si>
  <si>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</si>
  <si>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</si>
  <si>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</si>
  <si>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</si>
  <si>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</si>
  <si>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</si>
  <si>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</si>
  <si>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</si>
  <si>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</si>
  <si>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</si>
  <si>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</si>
  <si>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</si>
  <si>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</si>
  <si>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</si>
  <si>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</si>
  <si>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</si>
  <si>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</si>
  <si>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</si>
  <si>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</si>
  <si>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</si>
  <si>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</si>
  <si>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</si>
  <si>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</si>
  <si>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</si>
  <si>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</si>
  <si>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</si>
  <si>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</si>
  <si>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</si>
  <si>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</si>
  <si>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</si>
  <si>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</si>
  <si>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</si>
  <si>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</si>
  <si>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</si>
  <si>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</si>
  <si>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</si>
  <si>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</si>
  <si>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</si>
  <si>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</si>
  <si>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</si>
  <si>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</si>
  <si>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</si>
  <si>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</si>
  <si>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</si>
  <si>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</si>
  <si>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</si>
  <si>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</si>
  <si>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</si>
  <si>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</si>
  <si>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</si>
  <si>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</si>
  <si>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</si>
  <si>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</si>
  <si>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</si>
  <si>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</si>
  <si>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</si>
  <si>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</si>
  <si>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</si>
  <si>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</si>
  <si>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</si>
  <si>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</si>
  <si>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</si>
  <si>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</si>
  <si>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</si>
  <si>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</si>
  <si>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</si>
  <si>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</si>
  <si>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</si>
  <si>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</si>
  <si>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</si>
  <si>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</si>
  <si>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</si>
  <si>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</si>
  <si>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</si>
  <si>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</si>
  <si>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</si>
  <si>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</si>
  <si>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</si>
  <si>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</si>
  <si>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</si>
  <si>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</si>
  <si>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</si>
  <si>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</si>
  <si>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</si>
  <si>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</si>
  <si>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</si>
  <si>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</si>
  <si>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</si>
  <si>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</si>
  <si>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</si>
  <si>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</si>
  <si>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</si>
  <si>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</si>
  <si>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</si>
  <si>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</si>
  <si>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</si>
  <si>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</si>
  <si>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</si>
  <si>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</si>
  <si>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</si>
  <si>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</si>
  <si>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</si>
  <si>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</si>
  <si>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</si>
  <si>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</si>
  <si>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</si>
  <si>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</si>
  <si>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</si>
  <si>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</si>
  <si>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</si>
  <si>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</si>
  <si>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</si>
  <si>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</si>
  <si>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</si>
  <si>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</si>
  <si>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</si>
  <si>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</si>
  <si>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</si>
  <si>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</si>
  <si>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</si>
  <si>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</si>
  <si>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</si>
  <si>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</si>
  <si>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</si>
  <si>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</si>
  <si>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</si>
  <si>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</si>
  <si>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</si>
  <si>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</si>
  <si>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</si>
  <si>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</si>
  <si>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</si>
  <si>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</si>
  <si>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</si>
  <si>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</si>
  <si>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</si>
  <si>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</si>
  <si>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</si>
  <si>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</si>
  <si>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</si>
  <si>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</si>
  <si>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</si>
  <si>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</si>
  <si>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</si>
  <si>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</si>
  <si>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</si>
  <si>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</si>
  <si>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</si>
  <si>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</si>
  <si>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</si>
  <si>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</si>
  <si>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</si>
  <si>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</si>
  <si>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</si>
  <si>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</si>
  <si>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</si>
  <si>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</si>
  <si>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</si>
  <si>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</si>
  <si>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</si>
  <si>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</si>
  <si>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</si>
  <si>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</si>
  <si>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</si>
  <si>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</si>
  <si>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</si>
  <si>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</si>
  <si>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</si>
  <si>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</si>
  <si>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</si>
  <si>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</si>
  <si>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</si>
  <si>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</si>
  <si>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</si>
  <si>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</si>
  <si>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</si>
  <si>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</si>
  <si>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</si>
  <si>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</si>
  <si>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</si>
  <si>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</si>
  <si>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</si>
  <si>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</si>
  <si>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</si>
  <si>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</si>
  <si>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</si>
  <si>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</si>
  <si>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</si>
  <si>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</si>
  <si>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</si>
  <si>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</si>
  <si>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</si>
  <si>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</si>
  <si>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</si>
  <si>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</si>
  <si>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</si>
  <si>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</si>
  <si>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</si>
  <si>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</si>
  <si>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</si>
  <si>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</si>
  <si>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</si>
  <si>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</si>
  <si>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</si>
  <si>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</si>
  <si>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</si>
  <si>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</si>
  <si>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</si>
  <si>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</si>
  <si>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</si>
  <si>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</si>
  <si>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</si>
  <si>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</si>
  <si>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</si>
  <si>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</si>
  <si>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</si>
  <si>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</si>
  <si>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</si>
  <si>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</si>
  <si>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</si>
  <si>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</si>
  <si>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</si>
  <si>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</si>
  <si>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</si>
  <si>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</si>
  <si>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</si>
  <si>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</si>
  <si>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</si>
  <si>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</si>
  <si>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</si>
  <si>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</si>
  <si>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</si>
  <si>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</si>
  <si>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</si>
  <si>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</si>
  <si>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</si>
  <si>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</si>
  <si>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</si>
  <si>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</si>
  <si>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</si>
  <si>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</si>
  <si>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</si>
  <si>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</si>
  <si>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</si>
  <si>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</si>
  <si>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</si>
  <si>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</si>
  <si>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</si>
  <si>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</si>
  <si>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</si>
  <si>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</si>
  <si>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</si>
  <si>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</si>
  <si>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</si>
  <si>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</si>
  <si>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</si>
  <si>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</si>
  <si>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</si>
  <si>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</si>
  <si>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</si>
  <si>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</si>
  <si>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</si>
  <si>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</si>
  <si>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</si>
  <si>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</si>
  <si>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</si>
  <si>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</si>
  <si>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</si>
  <si>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</si>
  <si>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</si>
  <si>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</si>
  <si>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</si>
  <si>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</si>
  <si>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</si>
  <si>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</si>
  <si>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</si>
  <si>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</si>
  <si>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</si>
  <si>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</si>
  <si>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</si>
  <si>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</si>
  <si>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</si>
  <si>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</si>
  <si>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</si>
  <si>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</si>
  <si>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</si>
  <si>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</si>
  <si>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</si>
  <si>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</si>
  <si>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</si>
  <si>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</si>
  <si>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</si>
  <si>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</si>
  <si>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</si>
  <si>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</si>
  <si>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</si>
  <si>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</si>
  <si>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</si>
  <si>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</si>
  <si>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</si>
  <si>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</si>
  <si>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</si>
  <si>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</si>
  <si>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</si>
  <si>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</si>
  <si>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</si>
  <si>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</si>
  <si>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</si>
  <si>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</si>
  <si>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</si>
  <si>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</si>
  <si>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</si>
  <si>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</si>
  <si>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</si>
  <si>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</si>
  <si>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</si>
  <si>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</si>
  <si>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</si>
  <si>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</si>
  <si>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</si>
  <si>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</si>
  <si>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</si>
  <si>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</si>
  <si>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</si>
  <si>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</si>
  <si>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</si>
  <si>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</si>
  <si>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</si>
  <si>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</si>
  <si>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</si>
  <si>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</si>
  <si>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</si>
  <si>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</si>
  <si>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</si>
  <si>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</si>
  <si>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</si>
  <si>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</si>
  <si>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</si>
  <si>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</si>
  <si>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</si>
  <si>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</si>
  <si>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</si>
  <si>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</si>
  <si>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</si>
  <si>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</si>
  <si>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</si>
  <si>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</si>
  <si>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</si>
  <si>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</si>
  <si>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</si>
  <si>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</si>
  <si>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</si>
  <si>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</si>
  <si>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</si>
  <si>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</si>
  <si>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</si>
  <si>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</si>
  <si>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</si>
  <si>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</si>
  <si>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</si>
  <si>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</si>
  <si>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</si>
  <si>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</si>
  <si>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</si>
  <si>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</si>
  <si>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2019-1-0004-P01DYGJ3</t>
    <phoneticPr fontId="6" type="noConversion"/>
  </si>
  <si>
    <t>王鹏</t>
  </si>
  <si>
    <t>郑燚</t>
  </si>
  <si>
    <t>出让</t>
  </si>
  <si>
    <t>是</t>
  </si>
  <si>
    <t>地上</t>
  </si>
  <si>
    <t>成新度</t>
  </si>
  <si>
    <t>钢混</t>
  </si>
  <si>
    <t>非生产用房</t>
  </si>
  <si>
    <t>收益法</t>
  </si>
  <si>
    <t>押一</t>
  </si>
  <si>
    <t>按租金收入计税</t>
  </si>
  <si>
    <t>博物馆</t>
  </si>
  <si>
    <t>博物馆</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</si>
  <si>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</si>
  <si>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</si>
  <si>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</si>
  <si>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</si>
  <si>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</si>
  <si>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</si>
  <si>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</si>
  <si>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</si>
  <si>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</si>
  <si>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</si>
  <si>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</si>
  <si>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</si>
  <si>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</si>
  <si>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</si>
  <si>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正阳组团武陵大道与规划路交叉口东南侧</t>
    <phoneticPr fontId="143" type="noConversion"/>
  </si>
  <si>
    <t>重庆市</t>
  </si>
  <si>
    <t>商业/办公用地</t>
  </si>
  <si>
    <t>≤1</t>
  </si>
  <si>
    <t>挂牌</t>
  </si>
  <si>
    <t>2018-08-15</t>
  </si>
  <si>
    <t>中国石化销售有限公司重庆黔江石油分公司</t>
  </si>
  <si>
    <t>3星</t>
  </si>
  <si>
    <t>正阳组团嘉华城以南、检察四分院以北、正舟路东侧</t>
    <phoneticPr fontId="143" type="noConversion"/>
  </si>
  <si>
    <t>重庆市黔江区湘星商贸有限公司</t>
  </si>
  <si>
    <t>正阳街道物流园区物流路</t>
    <phoneticPr fontId="143" type="noConversion"/>
  </si>
  <si>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</si>
  <si>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</si>
  <si>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</si>
  <si>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</si>
  <si>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</si>
  <si>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</si>
  <si>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</si>
  <si>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</si>
  <si>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</si>
  <si>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正常</t>
  </si>
  <si>
    <t>商业</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</si>
  <si>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</si>
  <si>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</si>
  <si>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</si>
  <si>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</si>
  <si>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</si>
  <si>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</si>
  <si>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t>
    <phoneticPr fontId="3" type="noConversion"/>
  </si>
  <si>
    <t>较好</t>
    <phoneticPr fontId="3" type="noConversion"/>
  </si>
  <si>
    <t>较好</t>
  </si>
  <si>
    <t>较差</t>
  </si>
  <si>
    <r>
      <t>30.33</t>
    </r>
    <r>
      <rPr>
        <sz val="12"/>
        <color theme="9" tint="-0.249977111117893"/>
        <rFont val="宋体"/>
        <family val="3"/>
        <charset val="134"/>
      </rPr>
      <t>年</t>
    </r>
    <phoneticPr fontId="6" type="noConversion"/>
  </si>
  <si>
    <t>40</t>
    <phoneticPr fontId="31" type="noConversion"/>
  </si>
  <si>
    <t>一般</t>
  </si>
  <si>
    <t>六通</t>
  </si>
  <si>
    <t>较规则</t>
  </si>
  <si>
    <t>较适宜</t>
  </si>
  <si>
    <t>单位面积地价</t>
  </si>
  <si>
    <t>未包含在土地购买价格中</t>
  </si>
  <si>
    <t>全部缴纳</t>
  </si>
  <si>
    <t>现房</t>
  </si>
  <si>
    <t>项目全部</t>
  </si>
  <si>
    <t>成本法</t>
  </si>
  <si>
    <t>成本比率</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</si>
  <si>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</si>
  <si>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</si>
  <si>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</si>
  <si>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</si>
  <si>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</si>
  <si>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</si>
  <si>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售价</t>
    <phoneticPr fontId="3" type="noConversion"/>
  </si>
  <si>
    <t>单价</t>
    <phoneticPr fontId="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</si>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</sst>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80" fillId="0" borderId="1" xfId="0" applyFont="1" applyBorder="1" applyAlignment="1" applyProtection="1">
      <alignment horizontal="center" vertical="center" wrapText="1"/>
      <protection locked="0"/>
    </xf>
    <xf numFmtId="0" fontId="56" fillId="0" borderId="1" xfId="17" applyBorder="1" applyAlignment="1">
      <alignment horizontal="left" vertical="center"/>
    </xf>
    <xf numFmtId="0" fontId="56" fillId="0" borderId="0" xfId="17"/>
    <xf numFmtId="0" fontId="19" fillId="0" borderId="1" xfId="17" applyFont="1"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660;&#27743;&#35268;&#21010;&#39302;/&#26368;&#32456;/&#19968;&#23457;&#35268;&#21010;&#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土地比较法-住宅、综合"/>
      <sheetName val="土地案例"/>
      <sheetName val="比较法-商业"/>
      <sheetName val="典型户型修正"/>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73">
          <cell r="A73" t="str">
            <v>交易情况</v>
          </cell>
          <cell r="C73" t="str">
            <v>正常</v>
          </cell>
        </row>
        <row r="75">
          <cell r="B75" t="str">
            <v>用途</v>
          </cell>
          <cell r="C75" t="str">
            <v>商业</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v>
          </cell>
        </row>
        <row r="125">
          <cell r="B125" t="str">
            <v>工程地质条件</v>
          </cell>
          <cell r="C125" t="str">
            <v>较好</v>
          </cell>
        </row>
      </sheetData>
      <sheetData sheetId="26"/>
      <sheetData sheetId="27">
        <row r="61">
          <cell r="A61" t="str">
            <v>交易情况</v>
          </cell>
          <cell r="C61" t="str">
            <v>正常</v>
          </cell>
        </row>
        <row r="63">
          <cell r="B63" t="str">
            <v>用途</v>
          </cell>
          <cell r="C63" t="str">
            <v>商业</v>
          </cell>
        </row>
        <row r="86">
          <cell r="B86" t="str">
            <v>临街状况</v>
          </cell>
          <cell r="C86" t="str">
            <v>单面临街</v>
          </cell>
          <cell r="D86" t="str">
            <v>双面临街</v>
          </cell>
        </row>
        <row r="90">
          <cell r="B90" t="str">
            <v>人流量</v>
          </cell>
          <cell r="C90" t="str">
            <v>较多</v>
          </cell>
          <cell r="D90" t="str">
            <v>一般</v>
          </cell>
          <cell r="E90" t="str">
            <v>较少</v>
          </cell>
        </row>
        <row r="92">
          <cell r="B92" t="str">
            <v>楼层</v>
          </cell>
          <cell r="C92">
            <v>1</v>
          </cell>
          <cell r="D92">
            <v>2</v>
          </cell>
          <cell r="E92" t="str">
            <v>1、2、3、4层</v>
          </cell>
        </row>
        <row r="100">
          <cell r="B100" t="str">
            <v>商业类型</v>
          </cell>
          <cell r="C100" t="str">
            <v>独立商业</v>
          </cell>
          <cell r="D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毛坯</v>
          </cell>
        </row>
      </sheetData>
      <sheetData sheetId="2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row>
      </sheetData>
      <sheetData sheetId="29"/>
      <sheetData sheetId="30">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五通</v>
          </cell>
        </row>
        <row r="119">
          <cell r="B119" t="str">
            <v>层高</v>
          </cell>
          <cell r="C119" t="str">
            <v>标准层高</v>
          </cell>
        </row>
        <row r="123">
          <cell r="B123" t="str">
            <v>内部装修</v>
          </cell>
          <cell r="C123" t="str">
            <v>简装</v>
          </cell>
          <cell r="D123" t="str">
            <v>毛坯</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预评估</v>
      </c>
    </row>
    <row r="3" spans="1:2" s="1595" customFormat="1">
      <c r="A3" s="1593" t="s">
        <v>1217</v>
      </c>
      <c r="B3" s="1594">
        <f>'预评函-封皮'!B40</f>
        <v>0</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康正预评字2019-1-0004-P01DYGJ3号</v>
      </c>
    </row>
    <row r="6" spans="1:2" s="1592" customFormat="1" ht="15" thickTop="1">
      <c r="A6" s="1590" t="s">
        <v>1220</v>
      </c>
      <c r="B6" s="1591" t="str">
        <f>'预评函-1'!A4</f>
        <v>受贵公司委托，我公司对进行了预评估。</v>
      </c>
    </row>
    <row r="7" spans="1:2" s="1595" customFormat="1">
      <c r="A7" s="1593" t="s">
        <v>1260</v>
      </c>
      <c r="B7" s="1594" t="str">
        <f>'预评函-1'!A7</f>
        <v>估价对象为房地产，为所有。根据《国有土地使用证》[]，估价对象（分摊）出让国有建设用地使用权面积为10665.64平方米，建筑面积为7302.06平方米。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估价对象为房地产,为开发建设的，该项目尚在开发建设中。根据《国有土地使用证》[]，估价对象（分摊）出让国有建设用地使用权面积为10665.64平方米，规划建筑面积为7302.06平方米。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2018年12月28日（评估专业人员实地查勘之日）</v>
      </c>
    </row>
    <row r="13" spans="1:2" s="1595" customFormat="1">
      <c r="A13" s="1593" t="s">
        <v>1223</v>
      </c>
      <c r="B13" s="1594" t="str">
        <f>'预评函-1'!A18</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10052</v>
      </c>
    </row>
    <row r="21" spans="1:2" s="1595" customFormat="1">
      <c r="A21" s="1593" t="s">
        <v>1231</v>
      </c>
      <c r="B21" s="1594">
        <f ca="1">'预评函-2'!D7</f>
        <v>13766</v>
      </c>
    </row>
    <row r="22" spans="1:2" s="1595" customFormat="1">
      <c r="A22" s="1593" t="s">
        <v>1232</v>
      </c>
      <c r="B22" s="1594" t="str">
        <f ca="1">'预评函-2'!D6</f>
        <v>壹亿零伍拾贰万元整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10052</v>
      </c>
    </row>
    <row r="31" spans="1:2" s="1595" customFormat="1">
      <c r="A31" s="1593" t="s">
        <v>1270</v>
      </c>
      <c r="B31" s="1594">
        <f ca="1">'预评函-2'!D15</f>
        <v>13766</v>
      </c>
    </row>
    <row r="32" spans="1:2" s="1595" customFormat="1">
      <c r="A32" s="1593" t="s">
        <v>1237</v>
      </c>
      <c r="B32" s="1594" t="str">
        <f ca="1">'预评函-2'!D14</f>
        <v>壹亿零伍拾贰万元整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房地产</v>
      </c>
    </row>
    <row r="42" spans="1:2" s="1595" customFormat="1">
      <c r="A42" s="1593" t="s">
        <v>1284</v>
      </c>
      <c r="B42" s="1594" t="str">
        <f>'预评函-3'!B2</f>
        <v>建筑面积</v>
      </c>
    </row>
    <row r="43" spans="1:2" s="1595" customFormat="1">
      <c r="A43" s="1593" t="s">
        <v>1285</v>
      </c>
      <c r="B43" s="1594">
        <f>'预评函-3'!B4</f>
        <v>7302.06</v>
      </c>
    </row>
    <row r="44" spans="1:2" s="1595" customFormat="1">
      <c r="A44" s="1593" t="s">
        <v>1269</v>
      </c>
      <c r="B44" s="1594" t="str">
        <f>'预评函-3'!C2</f>
        <v>(分摊)土地面积</v>
      </c>
    </row>
    <row r="45" spans="1:2" s="1595" customFormat="1">
      <c r="A45" s="1593" t="s">
        <v>1241</v>
      </c>
      <c r="B45" s="1594">
        <f>'预评函-3'!C4</f>
        <v>10665.64</v>
      </c>
    </row>
    <row r="46" spans="1:2" s="1595" customFormat="1">
      <c r="A46" s="1593" t="s">
        <v>1267</v>
      </c>
      <c r="B46" s="1594" t="str">
        <f>'预评函-3'!D2</f>
        <v>出让国有建设用地使用权价值</v>
      </c>
    </row>
    <row r="47" spans="1:2" s="1595" customFormat="1">
      <c r="A47" s="1593" t="s">
        <v>1242</v>
      </c>
      <c r="B47" s="1594">
        <f ca="1">'预评函-3'!D4</f>
        <v>6976</v>
      </c>
    </row>
    <row r="48" spans="1:2" s="1595" customFormat="1">
      <c r="A48" s="1593" t="s">
        <v>1243</v>
      </c>
      <c r="B48" s="1594">
        <f ca="1">'预评函-3'!E4</f>
        <v>9553</v>
      </c>
    </row>
    <row r="49" spans="1:2" s="1595" customFormat="1">
      <c r="A49" s="1593" t="s">
        <v>1244</v>
      </c>
      <c r="B49" s="1594" t="str">
        <f ca="1">'预评函-3'!D5</f>
        <v>陆仟玖佰柒拾陆万元整</v>
      </c>
    </row>
    <row r="50" spans="1:2" s="1595" customFormat="1">
      <c r="A50" s="1593" t="s">
        <v>1268</v>
      </c>
      <c r="B50" s="1594" t="str">
        <f>'预评函-3'!F2</f>
        <v>在建建筑物价值</v>
      </c>
    </row>
    <row r="51" spans="1:2" s="1595" customFormat="1">
      <c r="A51" s="1593" t="s">
        <v>1245</v>
      </c>
      <c r="B51" s="1594">
        <f ca="1">'预评函-3'!F4</f>
        <v>3076</v>
      </c>
    </row>
    <row r="52" spans="1:2" s="1595" customFormat="1">
      <c r="A52" s="1593" t="s">
        <v>1246</v>
      </c>
      <c r="B52" s="1594">
        <f ca="1">'预评函-3'!G4</f>
        <v>4213</v>
      </c>
    </row>
    <row r="53" spans="1:2" s="1595" customFormat="1">
      <c r="A53" s="1593" t="s">
        <v>1274</v>
      </c>
      <c r="B53" s="1594" t="str">
        <f ca="1">'预评函-3'!F5</f>
        <v>叁仟零柒拾陆万元整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1"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4" t="s">
        <v>861</v>
      </c>
      <c r="C54" s="2021" t="s">
        <v>1277</v>
      </c>
    </row>
    <row r="55" spans="1:4">
      <c r="A55" s="3001"/>
      <c r="B55" s="2024" t="s">
        <v>862</v>
      </c>
      <c r="C55" s="2021" t="s">
        <v>1278</v>
      </c>
    </row>
    <row r="56" spans="1:4">
      <c r="A56" s="3001"/>
      <c r="B56" s="2024" t="s">
        <v>863</v>
      </c>
      <c r="C56" s="2021" t="s">
        <v>1282</v>
      </c>
    </row>
    <row r="57" spans="1:4">
      <c r="A57" s="3001"/>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4" customWidth="1"/>
    <col min="2" max="2" width="12.75" style="2034" customWidth="1"/>
    <col min="3" max="3" width="11.5" style="2034" customWidth="1"/>
    <col min="4" max="4" width="18.3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10" t="str">
        <f>IF(B10="北京市","北京市",C10)&amp;F10&amp;IF(结果表!G1="在建","出让国有建设用地使用权及在建建筑物",IF(结果表!G1="土地","出让国有建设用地使用权",))&amp;B9&amp;"预评估"</f>
        <v>预评估</v>
      </c>
      <c r="C1" s="3011"/>
      <c r="D1" s="3011"/>
      <c r="E1" s="3011"/>
      <c r="F1" s="3011"/>
      <c r="G1" s="3011"/>
      <c r="H1" s="3011"/>
      <c r="I1" s="30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1773</v>
      </c>
      <c r="B2" s="1042" t="s">
        <v>3044</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1774</v>
      </c>
      <c r="B3" s="2038">
        <v>43462</v>
      </c>
      <c r="C3" s="2039" t="s">
        <v>1775</v>
      </c>
      <c r="D3" s="2038">
        <v>43462</v>
      </c>
      <c r="E3" s="2028"/>
      <c r="F3" s="2028"/>
      <c r="G3" s="2028"/>
      <c r="H3" s="2028"/>
      <c r="I3" s="2028"/>
      <c r="J3" s="2028"/>
      <c r="K3" s="2029"/>
      <c r="L3" s="2030"/>
      <c r="M3" s="2030"/>
      <c r="N3" s="2031"/>
      <c r="O3" s="2032"/>
      <c r="P3" s="2031"/>
      <c r="Q3" s="2031"/>
      <c r="R3" s="2031"/>
      <c r="S3" s="2033"/>
    </row>
    <row r="4" spans="1:19" ht="18" customHeight="1" thickBot="1">
      <c r="A4" s="2040" t="s">
        <v>1776</v>
      </c>
      <c r="B4" s="2041" t="s">
        <v>3045</v>
      </c>
      <c r="C4" s="1040">
        <f ca="1">SUMIF(注册房地产估价师,B4,估价师及机构信息!B3:B24)</f>
        <v>1120050019</v>
      </c>
      <c r="D4" s="2041" t="s">
        <v>3046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13"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14"/>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3047</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54536</v>
      </c>
      <c r="F13" s="2082"/>
      <c r="G13" s="2082">
        <v>54536</v>
      </c>
      <c r="H13" s="2082"/>
      <c r="I13" s="1050"/>
      <c r="J13" s="2044"/>
      <c r="K13" s="2056"/>
      <c r="L13" s="2030"/>
      <c r="M13" s="2030"/>
      <c r="N13" s="2031"/>
      <c r="O13" s="2032"/>
      <c r="P13" s="2031"/>
      <c r="Q13" s="2031"/>
      <c r="R13" s="2031"/>
    </row>
    <row r="14" spans="1:19" ht="18" customHeight="1">
      <c r="A14" s="2079"/>
      <c r="B14" s="2080"/>
      <c r="C14" s="2081" t="s">
        <v>1795</v>
      </c>
      <c r="D14" s="1053"/>
      <c r="E14" s="1053">
        <v>40</v>
      </c>
      <c r="F14" s="1053"/>
      <c r="G14" s="1053">
        <v>40</v>
      </c>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f>IF(B12="出让",IF(E13="","",ROUNDDOWN(MIN((E13-$D$3)/365,E14),2)),E14)</f>
        <v>30.33</v>
      </c>
      <c r="F15" s="1052" t="str">
        <f>IF(B12="出让",IF(F13="","",ROUNDDOWN(MIN((F13-$D$3)/365,F14),2)),F14)</f>
        <v/>
      </c>
      <c r="G15" s="1052">
        <f>IF(B12="出让",IF(G13="","",ROUNDDOWN(MIN((G13-$D$3)/365,G14),2)),G14)</f>
        <v>30.33</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20"/>
      <c r="C16" s="3021"/>
      <c r="D16" s="3022"/>
      <c r="E16" s="2088" t="s">
        <v>1798</v>
      </c>
      <c r="F16" s="3023" t="s">
        <v>3104</v>
      </c>
      <c r="G16" s="3024"/>
      <c r="H16" s="3024"/>
      <c r="I16" s="3025"/>
      <c r="J16" s="2031"/>
      <c r="K16" s="2085"/>
      <c r="L16" s="2086"/>
      <c r="M16" s="2086"/>
      <c r="N16" s="2087"/>
      <c r="O16" s="2086"/>
      <c r="P16" s="2087"/>
      <c r="Q16" s="2031"/>
      <c r="R16" s="2031"/>
    </row>
    <row r="17" spans="1:22" ht="18" customHeight="1">
      <c r="A17" s="2089" t="s">
        <v>1799</v>
      </c>
      <c r="B17" s="2037" t="s">
        <v>1800</v>
      </c>
      <c r="C17" s="1057">
        <f>'数据-汇总表'!E3</f>
        <v>7302.06</v>
      </c>
      <c r="D17" s="2090" t="s">
        <v>1801</v>
      </c>
      <c r="E17" s="3026" t="s">
        <v>1802</v>
      </c>
      <c r="F17" s="3027"/>
      <c r="G17" s="3027"/>
      <c r="H17" s="3027"/>
      <c r="I17" s="3028"/>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10665.64</v>
      </c>
      <c r="D18" s="2093" t="s">
        <v>1801</v>
      </c>
      <c r="E18" s="3029" t="s">
        <v>1805</v>
      </c>
      <c r="F18" s="3030"/>
      <c r="G18" s="3030"/>
      <c r="H18" s="3030"/>
      <c r="I18" s="3031"/>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16" t="s">
        <v>1810</v>
      </c>
      <c r="C20" s="3017"/>
      <c r="D20" s="3018" t="s">
        <v>1811</v>
      </c>
      <c r="E20" s="3019"/>
      <c r="F20" s="2100" t="s">
        <v>1812</v>
      </c>
      <c r="G20" s="2044"/>
      <c r="H20" s="2044"/>
      <c r="I20" s="2044"/>
      <c r="J20" s="2044"/>
      <c r="K20" s="301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03"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03"/>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03"/>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4"/>
      <c r="B30" s="2037" t="s">
        <v>1829</v>
      </c>
      <c r="C30" s="3005"/>
      <c r="D30" s="3006"/>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07"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08"/>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08"/>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02" t="s">
        <v>1839</v>
      </c>
      <c r="T34" s="2137" t="str">
        <f>NUMBERSTRING(7-K34,1)&amp;"通"</f>
        <v>七通</v>
      </c>
      <c r="U34" s="2031"/>
      <c r="V34" s="2031"/>
    </row>
    <row r="35" spans="1:22" ht="18" customHeight="1">
      <c r="A35" s="2138"/>
      <c r="B35" s="3009" t="s">
        <v>1840</v>
      </c>
      <c r="C35" s="3009"/>
      <c r="D35" s="3009"/>
      <c r="E35" s="3009"/>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2"/>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A20:K3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10665.64</v>
      </c>
      <c r="B3" s="14">
        <f>IF(C3="否",G5-AT5,G5)</f>
        <v>7302.06</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7302.06</v>
      </c>
      <c r="H5" s="16">
        <f t="shared" ref="H5:AT5" si="0">SUM(H13:H656)</f>
        <v>7302.06</v>
      </c>
      <c r="I5" s="16">
        <f t="shared" si="0"/>
        <v>7302.06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7302.06</v>
      </c>
      <c r="BA5" s="18">
        <f t="shared" si="1"/>
        <v>7302.06</v>
      </c>
      <c r="BB5" s="18">
        <f t="shared" si="1"/>
        <v>7302.06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10665.64</v>
      </c>
      <c r="F6" s="16" t="s">
        <v>1</v>
      </c>
      <c r="G6" s="16" t="s">
        <v>2</v>
      </c>
      <c r="H6" s="20">
        <f>SUMIF(I$12:AB$12,"总值",I6:AB6)</f>
        <v>10665.64</v>
      </c>
      <c r="I6" s="16">
        <f t="shared" ref="I6:AB6" si="2">ROUND($A$3*I5/$B$3,2)</f>
        <v>10665.64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10665.64</v>
      </c>
      <c r="AZ6" s="16" t="s">
        <v>3</v>
      </c>
      <c r="BA6" s="16">
        <f>ROUND($AY$6*BA5/$AZ$5,2)</f>
        <v>10665.64</v>
      </c>
      <c r="BB6" s="16">
        <f>ROUND($AY$6*BB5/$AZ$5,2)</f>
        <v>10665.64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3049</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0" t="s">
        <v>3057</v>
      </c>
      <c r="D13" s="2216" t="s">
        <v>3048</v>
      </c>
      <c r="E13" s="16">
        <f>IF($C$3="是",ROUND($A$3*G13/$B$3,2),ROUND($A$3*(G13-AT13)/$B$3,2))</f>
        <v>10665.64</v>
      </c>
      <c r="F13" s="32"/>
      <c r="G13" s="33">
        <f>H13+AC13+AT13</f>
        <v>7302.06</v>
      </c>
      <c r="H13" s="20">
        <f>SUMIF(I$12:AB$12,"总值",I13:AB13)</f>
        <v>7302.06</v>
      </c>
      <c r="I13" s="2217">
        <v>7302.06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博物馆</v>
      </c>
      <c r="AY13" s="1808">
        <f>ROUND($AY$6*AZ13/$AZ$5,2)</f>
        <v>10665.64</v>
      </c>
      <c r="AZ13" s="16">
        <f>BA13+BL13</f>
        <v>7302.06</v>
      </c>
      <c r="BA13" s="16">
        <f>SUM(BB13:BK13)</f>
        <v>7302.06</v>
      </c>
      <c r="BB13" s="16">
        <f>IF($D13="是",I13-J13,0)</f>
        <v>7302.06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43" t="s">
        <v>1936</v>
      </c>
      <c r="B2" s="3043"/>
      <c r="C2" s="3043"/>
      <c r="D2" s="970" t="s">
        <v>1912</v>
      </c>
      <c r="E2" s="2230" t="s">
        <v>1913</v>
      </c>
      <c r="F2" s="1395"/>
      <c r="G2" s="2231"/>
      <c r="H2" s="2232"/>
      <c r="I2" s="2233" t="s">
        <v>1937</v>
      </c>
      <c r="J2" s="1395"/>
      <c r="K2" s="1395"/>
      <c r="L2" s="1395"/>
      <c r="M2" s="1395"/>
      <c r="N2" s="1430"/>
      <c r="O2" s="1395"/>
      <c r="P2" s="1395"/>
    </row>
    <row r="3" spans="1:16" ht="15.75" thickBot="1">
      <c r="A3" s="3044" t="s">
        <v>1910</v>
      </c>
      <c r="B3" s="3044"/>
      <c r="C3" s="3044"/>
      <c r="D3" s="46">
        <f>'数据-基础表'!AY6</f>
        <v>10665.64</v>
      </c>
      <c r="E3" s="46">
        <f>'数据-基础表'!AZ5</f>
        <v>7302.06</v>
      </c>
      <c r="F3" s="1395"/>
      <c r="G3" s="1402"/>
      <c r="H3" s="1250" t="s">
        <v>1911</v>
      </c>
      <c r="I3" s="55">
        <f>ROUND('数据-基础表'!B3/'数据-基础表'!A3,2)</f>
        <v>0.68</v>
      </c>
      <c r="J3" s="1395"/>
      <c r="K3" s="1395"/>
      <c r="L3" s="1395"/>
      <c r="M3" s="1395"/>
      <c r="N3" s="1430"/>
      <c r="O3" s="1395"/>
      <c r="P3" s="1395"/>
    </row>
    <row r="4" spans="1:16" ht="15">
      <c r="A4" s="3045"/>
      <c r="B4" s="3046"/>
      <c r="C4" s="3047"/>
      <c r="D4" s="2234" t="s">
        <v>1912</v>
      </c>
      <c r="E4" s="2235" t="s">
        <v>1913</v>
      </c>
      <c r="F4" s="1395"/>
      <c r="G4" s="2236" t="s">
        <v>1938</v>
      </c>
      <c r="H4" s="1250" t="s">
        <v>1918</v>
      </c>
      <c r="I4" s="55">
        <f>ROUND(SUMIF('数据-基础表'!I9:AS9,"地上",'数据-基础表'!I5:AS5)/'数据-基础表'!A3,2)</f>
        <v>0.68</v>
      </c>
      <c r="J4" s="1395"/>
      <c r="K4" s="1395"/>
      <c r="L4" s="1395"/>
      <c r="M4" s="1395"/>
      <c r="N4" s="1430"/>
      <c r="O4" s="1395"/>
      <c r="P4" s="1395"/>
    </row>
    <row r="5" spans="1:16">
      <c r="A5" s="47" t="s">
        <v>1914</v>
      </c>
      <c r="B5" s="3048" t="s">
        <v>1915</v>
      </c>
      <c r="C5" s="3048"/>
      <c r="D5" s="48">
        <f>ROUND($D$3*E5/$E$3,2)</f>
        <v>0</v>
      </c>
      <c r="E5" s="49">
        <f>SUMIF('数据-基础表'!$11:$11,"住宅",'数据-基础表'!$5:$5)</f>
        <v>0</v>
      </c>
      <c r="F5" s="1395"/>
      <c r="G5" s="1402"/>
      <c r="H5" s="1250" t="s">
        <v>1911</v>
      </c>
      <c r="I5" s="55">
        <f>ROUND(E31/D31,2)</f>
        <v>0.68</v>
      </c>
      <c r="J5" s="1395"/>
      <c r="K5" s="1395"/>
      <c r="L5" s="1395"/>
      <c r="M5" s="1395"/>
      <c r="N5" s="1395"/>
      <c r="O5" s="1395"/>
      <c r="P5" s="1395"/>
    </row>
    <row r="6" spans="1:16" ht="15" thickBot="1">
      <c r="A6" s="2237"/>
      <c r="B6" s="3048" t="s">
        <v>1916</v>
      </c>
      <c r="C6" s="3048"/>
      <c r="D6" s="48">
        <f>ROUND($D$3*E6/$E$3,2)</f>
        <v>10665.64</v>
      </c>
      <c r="E6" s="49">
        <f>E3-E5</f>
        <v>7302.06</v>
      </c>
      <c r="F6" s="1395"/>
      <c r="G6" s="2238" t="s">
        <v>1917</v>
      </c>
      <c r="H6" s="1402" t="s">
        <v>1918</v>
      </c>
      <c r="I6" s="942">
        <f>ROUND(F31/D31,2)</f>
        <v>0.68</v>
      </c>
      <c r="J6" s="1395"/>
      <c r="K6" s="1395"/>
      <c r="L6" s="1395"/>
      <c r="M6" s="1395"/>
      <c r="N6" s="1395"/>
      <c r="O6" s="1395"/>
      <c r="P6" s="1395"/>
    </row>
    <row r="7" spans="1:16" ht="15">
      <c r="A7" s="3040"/>
      <c r="B7" s="3041"/>
      <c r="C7" s="3042"/>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10665.64</v>
      </c>
      <c r="E8" s="51">
        <f>SUMIF('数据-基础表'!BB10:BK10,"地上",'数据-基础表'!BB5:BK5)</f>
        <v>7302.06</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10665.64</v>
      </c>
      <c r="E16" s="53">
        <f>SUM(E8:E15)</f>
        <v>7302.06</v>
      </c>
      <c r="F16" s="1395"/>
      <c r="G16" s="2240"/>
      <c r="H16" s="2243" t="s">
        <v>1940</v>
      </c>
      <c r="I16" s="2244"/>
      <c r="J16" s="1395"/>
      <c r="K16" s="3037" t="s">
        <v>1940</v>
      </c>
      <c r="L16" s="3038"/>
      <c r="M16" s="3038"/>
      <c r="N16" s="3038"/>
      <c r="O16" s="3038"/>
      <c r="P16" s="3039"/>
    </row>
    <row r="17" spans="1:19" ht="15">
      <c r="A17" s="2245" t="s">
        <v>1941</v>
      </c>
      <c r="B17" s="2246" t="s">
        <v>1942</v>
      </c>
      <c r="C17" s="2247" t="s">
        <v>1943</v>
      </c>
      <c r="D17" s="2248" t="s">
        <v>1931</v>
      </c>
      <c r="E17" s="2249" t="s">
        <v>1932</v>
      </c>
      <c r="F17" s="2250"/>
      <c r="G17" s="2251"/>
      <c r="H17" s="2252" t="s">
        <v>1944</v>
      </c>
      <c r="I17" s="2253" t="s">
        <v>1929</v>
      </c>
      <c r="J17" s="1395"/>
      <c r="K17" s="3034" t="s">
        <v>1945</v>
      </c>
      <c r="L17" s="3035"/>
      <c r="M17" s="3036"/>
      <c r="N17" s="3034" t="s">
        <v>1946</v>
      </c>
      <c r="O17" s="3035"/>
      <c r="P17" s="3036"/>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263" t="str">
        <f>'数据-基础表'!C13</f>
        <v>博物馆</v>
      </c>
      <c r="D19" s="48">
        <f>ROUND($D$3*E19/$E$3,2)</f>
        <v>10665.64</v>
      </c>
      <c r="E19" s="56">
        <f t="shared" ref="E19:E26" si="1">SUM(F19:G19)</f>
        <v>7302.06</v>
      </c>
      <c r="F19" s="57">
        <f>'数据-基础表'!I13</f>
        <v>7302.06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10665.64</v>
      </c>
      <c r="S19" s="1251">
        <f t="shared" si="5"/>
        <v>7302.06</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10665.64</v>
      </c>
      <c r="E27" s="1397">
        <f>IF(SUM(E19:E26)='数据-基础表'!BA5,SUM(E19:E26),IF(F27="地上面积有误","面积有误","地下面积有误"))</f>
        <v>7302.06</v>
      </c>
      <c r="F27" s="1396">
        <f>IF(SUM(F19:F26)=E8,SUM(F19:F26),"地上面积有误")</f>
        <v>7302.06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10665.64</v>
      </c>
      <c r="S27" s="1250">
        <f>IF(SUM(S19:S26)=$E$3,SUM(S19:S26),SUM(S19:S26)&amp;"误差"&amp;ROUND(SUM(S19:S26)-E3,2))</f>
        <v>7302.06</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10665.64</v>
      </c>
      <c r="E31" s="729">
        <f>E27+E30</f>
        <v>7302.06</v>
      </c>
      <c r="F31" s="730">
        <f>F27+F30</f>
        <v>7302.06</v>
      </c>
      <c r="G31" s="731">
        <f>G27+G30</f>
        <v>0</v>
      </c>
      <c r="H31" s="1395"/>
      <c r="I31" s="1395"/>
      <c r="J31" s="1395"/>
      <c r="K31" s="1395"/>
      <c r="L31" s="1395"/>
      <c r="M31" s="1395"/>
      <c r="N31" s="1395"/>
      <c r="O31" s="1395"/>
      <c r="P31" s="1395"/>
    </row>
    <row r="32" spans="1:19">
      <c r="A32" s="2236"/>
      <c r="B32" s="2236" t="s">
        <v>1964</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43462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3050</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7" t="s">
        <v>2006</v>
      </c>
      <c r="AP5" s="1252"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博物馆</v>
      </c>
      <c r="B6" s="2310" t="str">
        <f>IF(A6=0,"","经营性")</f>
        <v>经营性</v>
      </c>
      <c r="C6" s="2311" t="s">
        <v>1373</v>
      </c>
      <c r="D6" s="1054">
        <f>SUMIF(项目基本情况!D$12:I$12,C6,项目基本情况!D$14:I$14)</f>
        <v>40</v>
      </c>
      <c r="E6" s="1051">
        <f>IF(B6="","",SUMIF(项目基本情况!D$12:I$12,C6,项目基本情况!D$13:I$13))</f>
        <v>54536</v>
      </c>
      <c r="F6" s="72">
        <f>SUMIF(项目基本情况!D$12:I$12,C6,项目基本情况!D$15:I$15)</f>
        <v>30.33</v>
      </c>
      <c r="G6" s="73">
        <f>IF(ISERROR(ROUND(POWER(1+H6,D6-F6)*(POWER(1+H6,F6)-1)/(POWER(1+H6,D6)-1),3)),0,ROUND(POWER(1+H6,D6-F6)*(POWER(1+H6,F6)-1)/(POWER(1+H6,D6)-1),3))</f>
        <v>0.89</v>
      </c>
      <c r="H6" s="802">
        <v>4.4999999999999998E-2</v>
      </c>
      <c r="I6" s="802">
        <v>5.5E-2</v>
      </c>
      <c r="J6" s="74">
        <v>8.5000000000000006E-2</v>
      </c>
      <c r="K6" s="1254">
        <f>SUMIF('数据-汇总表'!C$19:C$33,A6,'数据-汇总表'!E$19:E$33)</f>
        <v>7302.06</v>
      </c>
      <c r="L6" s="803">
        <v>3500</v>
      </c>
      <c r="M6" s="75">
        <f t="shared" ref="M6:M14" si="0">ROUND(K6*L6/10000,0)</f>
        <v>2556</v>
      </c>
      <c r="N6" s="801">
        <v>0.8</v>
      </c>
      <c r="O6" s="75" t="str">
        <f>IF($N$5="成新度","——",ROUND(M6*N6,0))</f>
        <v>——</v>
      </c>
      <c r="P6" s="76" t="str">
        <f>IF($N$5="成新度","——",M6-O6)</f>
        <v>——</v>
      </c>
      <c r="Q6" s="804">
        <v>0.15</v>
      </c>
      <c r="R6" s="77">
        <f ca="1">SUMIF('数据-汇总表'!C$19:C$33,A6,'数据-汇总表'!R$19:R$27)</f>
        <v>10665.64</v>
      </c>
      <c r="S6" s="54">
        <f>IF('数据-汇总表'!$I$17="按面积比例",SUMIF('数据-汇总表'!C$19:C$33,A6,'数据-汇总表'!K$19:K$33),SUMIF('数据-汇总表'!C$19:C$33,A6,'数据-汇总表'!N$19:N$33))</f>
        <v>0</v>
      </c>
      <c r="T6" s="1446">
        <f>ROUND($L$14*S6/10000,0)</f>
        <v>0</v>
      </c>
      <c r="U6" s="78">
        <v>1</v>
      </c>
      <c r="V6" s="79">
        <v>3.5000000000000003E-2</v>
      </c>
      <c r="W6" s="79">
        <v>0.1</v>
      </c>
      <c r="X6" s="1264"/>
      <c r="Y6" s="80">
        <f>N6</f>
        <v>0.8</v>
      </c>
      <c r="Z6" s="81"/>
      <c r="AA6" s="74"/>
      <c r="AB6" s="74"/>
      <c r="AC6" s="1264"/>
      <c r="AD6" s="82"/>
      <c r="AE6" s="1265">
        <f ca="1">IF(AN6="",0,SUMIF(INDIRECT("'"&amp;AN6&amp;"'"&amp;"!E:E"),$AE$5,INDIRECT("'"&amp;AN6&amp;"'"&amp;"!F:F")))</f>
        <v>30.33</v>
      </c>
      <c r="AF6" s="1806"/>
      <c r="AG6" s="147">
        <f>IF(AF6="",0,AE6-AF6)</f>
        <v>0</v>
      </c>
      <c r="AH6" s="83"/>
      <c r="AI6" s="85">
        <v>365</v>
      </c>
      <c r="AJ6" s="86"/>
      <c r="AK6" s="87">
        <v>1.4999999999999999E-2</v>
      </c>
      <c r="AL6" s="88">
        <v>1.5E-3</v>
      </c>
      <c r="AM6" s="89">
        <v>0.01</v>
      </c>
      <c r="AN6" s="2312" t="s">
        <v>3053</v>
      </c>
      <c r="AO6" s="55">
        <f ca="1">SUMIF(INDIRECT("'"&amp;AN6&amp;"'"&amp;"!A:A"),"总价",INDIRECT("'"&amp;AN6&amp;"'"&amp;"!B:B"))</f>
        <v>2799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0.89</v>
      </c>
      <c r="H16" s="99">
        <f>ROUND(SUMPRODUCT(H6:H13,K6:K13)/SUMPRODUCT((H6:H13&gt;0)*(K6:K13)),3)</f>
        <v>4.4999999999999998E-2</v>
      </c>
      <c r="I16" s="100"/>
      <c r="J16" s="100"/>
      <c r="K16" s="101">
        <f>SUM(K6:K15)</f>
        <v>7302.06</v>
      </c>
      <c r="L16" s="102">
        <f>ROUND(M16*10000/SUM(K6:K14),0)</f>
        <v>3500</v>
      </c>
      <c r="M16" s="102">
        <f>SUM(M6:M14)</f>
        <v>2556</v>
      </c>
      <c r="N16" s="103">
        <f>ROUND(SUMPRODUCT(M6:M14,N6:N14)/M16,3)</f>
        <v>0.8</v>
      </c>
      <c r="O16" s="102">
        <f>SUM(O6:O14)</f>
        <v>0</v>
      </c>
      <c r="P16" s="102">
        <f>SUM(P6:P14)</f>
        <v>0</v>
      </c>
      <c r="Q16" s="104">
        <f>ROUND(SUMPRODUCT(Q6:Q13,K6:K13)/SUMPRODUCT((Q6:Q13&gt;0)*(K6:K13)),2)</f>
        <v>0.15</v>
      </c>
      <c r="R16" s="1258">
        <f ca="1">SUM(R6:R13)</f>
        <v>10665.64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1583"/>
      <c r="N19" s="1583"/>
      <c r="O19" s="2957" t="s">
        <v>3123</v>
      </c>
      <c r="P19" s="2957" t="s">
        <v>3124</v>
      </c>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1.5</v>
      </c>
      <c r="C20" s="2280" t="s">
        <v>2019</v>
      </c>
      <c r="D20" s="2281"/>
      <c r="E20" s="2280"/>
      <c r="F20" s="2280"/>
      <c r="G20" s="2280"/>
      <c r="H20" s="2280"/>
      <c r="I20" s="2280"/>
      <c r="J20" s="2280"/>
      <c r="K20" s="168"/>
      <c r="L20" s="168" t="s">
        <v>3122</v>
      </c>
      <c r="M20" s="1583">
        <v>0.2</v>
      </c>
      <c r="N20" s="1583">
        <f>$K$6/6</f>
        <v>1217.01</v>
      </c>
      <c r="O20" s="1583">
        <f ca="1">O21*M20</f>
        <v>4719.7714285714283</v>
      </c>
      <c r="P20" s="1583">
        <v>15</v>
      </c>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1.5</v>
      </c>
      <c r="C21" s="2280"/>
      <c r="D21" s="2281"/>
      <c r="E21" s="2280"/>
      <c r="F21" s="2280"/>
      <c r="G21" s="2280"/>
      <c r="H21" s="2280"/>
      <c r="I21" s="2280"/>
      <c r="J21" s="2280"/>
      <c r="K21" s="168"/>
      <c r="L21" s="168" t="s">
        <v>3117</v>
      </c>
      <c r="M21" s="1583">
        <v>1</v>
      </c>
      <c r="N21" s="1583">
        <f>$K$6/6</f>
        <v>1217.01</v>
      </c>
      <c r="O21" s="1583">
        <f ca="1">结果表!G20/M26</f>
        <v>23598.857142857141</v>
      </c>
      <c r="P21" s="1583">
        <v>130</v>
      </c>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1.5</v>
      </c>
      <c r="C22" s="2280"/>
      <c r="D22" s="2281"/>
      <c r="E22" s="2280"/>
      <c r="F22" s="2280"/>
      <c r="G22" s="2280"/>
      <c r="H22" s="2280"/>
      <c r="I22" s="2280"/>
      <c r="J22" s="2280"/>
      <c r="K22" s="168"/>
      <c r="L22" s="168" t="s">
        <v>3118</v>
      </c>
      <c r="M22" s="1583">
        <v>0.65</v>
      </c>
      <c r="N22" s="1583">
        <f t="shared" ref="N22:N25" si="12">$K$6/6</f>
        <v>1217.01</v>
      </c>
      <c r="O22" s="1583">
        <f ca="1">O21*M22</f>
        <v>15339.257142857143</v>
      </c>
      <c r="P22" s="1583">
        <v>20</v>
      </c>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1.5</v>
      </c>
      <c r="C23" s="2280"/>
      <c r="D23" s="2281"/>
      <c r="E23" s="2280"/>
      <c r="F23" s="2280"/>
      <c r="G23" s="2280"/>
      <c r="H23" s="2280"/>
      <c r="I23" s="2280"/>
      <c r="J23" s="2280"/>
      <c r="K23" s="168"/>
      <c r="L23" s="168" t="s">
        <v>3119</v>
      </c>
      <c r="M23" s="1583">
        <v>0.6</v>
      </c>
      <c r="N23" s="1583">
        <f t="shared" si="12"/>
        <v>1217.01</v>
      </c>
      <c r="O23" s="1583">
        <f ca="1">O21*M23</f>
        <v>14159.314285714285</v>
      </c>
      <c r="P23" s="1583">
        <v>20</v>
      </c>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t="s">
        <v>3120</v>
      </c>
      <c r="M24" s="1583">
        <v>0.55000000000000004</v>
      </c>
      <c r="N24" s="1583">
        <f t="shared" si="12"/>
        <v>1217.01</v>
      </c>
      <c r="O24" s="1583">
        <f ca="1">O21*M24</f>
        <v>12979.371428571429</v>
      </c>
      <c r="P24" s="1583">
        <v>20</v>
      </c>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t="s">
        <v>3121</v>
      </c>
      <c r="M25" s="1583">
        <v>0.5</v>
      </c>
      <c r="N25" s="1583">
        <f t="shared" si="12"/>
        <v>1217.01</v>
      </c>
      <c r="O25" s="1583">
        <f ca="1">O21*M25</f>
        <v>11799.428571428571</v>
      </c>
      <c r="P25" s="1583">
        <v>20</v>
      </c>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f>AVERAGE(M20:M25)</f>
        <v>0.58333333333333337</v>
      </c>
      <c r="N26" s="1583"/>
      <c r="O26" s="1583"/>
      <c r="P26" s="1583">
        <f>AVERAGE(P20:P25)/30</f>
        <v>1.25</v>
      </c>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v>180</v>
      </c>
      <c r="C27" s="1766" t="s">
        <v>2028</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180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f>ROUND(B28*K6/10000,0)</f>
        <v>131</v>
      </c>
      <c r="C29" s="1766" t="s">
        <v>2031</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0.05</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0.03</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0.03</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3">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v>0</v>
      </c>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11</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442</v>
      </c>
      <c r="C53" s="1430"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v>11</v>
      </c>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9" t="s">
        <v>2081</v>
      </c>
      <c r="B1" s="3050"/>
      <c r="C1" s="3050"/>
      <c r="D1" s="3050"/>
      <c r="E1" s="3050"/>
      <c r="F1" s="3050"/>
      <c r="G1" s="305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27">
      <c r="A3" s="415" t="s">
        <v>2084</v>
      </c>
      <c r="B3" s="1271" t="s">
        <v>2085</v>
      </c>
      <c r="C3" s="2373"/>
      <c r="D3" s="2374"/>
      <c r="E3" s="431" t="s">
        <v>2084</v>
      </c>
      <c r="F3" s="2375" t="s">
        <v>2086</v>
      </c>
      <c r="G3" s="2376"/>
      <c r="H3" s="2371"/>
      <c r="I3" s="2371"/>
      <c r="J3" s="2371"/>
      <c r="K3" s="2371"/>
      <c r="L3" s="2371"/>
      <c r="M3" s="2371"/>
      <c r="N3" s="2371"/>
      <c r="O3" s="2371"/>
      <c r="P3" s="2371"/>
      <c r="Q3" s="2371"/>
      <c r="R3" s="2371"/>
    </row>
    <row r="4" spans="1:29" ht="15">
      <c r="A4" s="431"/>
      <c r="B4" s="1797" t="s">
        <v>2087</v>
      </c>
      <c r="C4" s="2377"/>
      <c r="D4" s="2374"/>
      <c r="E4" s="2378"/>
      <c r="F4" s="42" t="s">
        <v>2088</v>
      </c>
      <c r="G4" s="2379"/>
      <c r="H4" s="2371"/>
      <c r="I4" s="2371"/>
      <c r="J4" s="2371"/>
      <c r="K4" s="2371"/>
      <c r="L4" s="2371"/>
      <c r="M4" s="2371"/>
      <c r="N4" s="2371"/>
      <c r="O4" s="2371"/>
      <c r="P4" s="2371"/>
      <c r="Q4" s="2371"/>
      <c r="R4" s="2371"/>
    </row>
    <row r="5" spans="1:29" ht="15">
      <c r="A5" s="431"/>
      <c r="B5" s="1797" t="s">
        <v>2089</v>
      </c>
      <c r="C5" s="2377"/>
      <c r="D5" s="2374"/>
      <c r="E5" s="2378"/>
      <c r="F5" s="1797" t="s">
        <v>2090</v>
      </c>
      <c r="G5" s="2379"/>
      <c r="H5" s="2371"/>
      <c r="I5" s="2371"/>
      <c r="J5" s="2371"/>
      <c r="K5" s="2371"/>
      <c r="L5" s="2371"/>
      <c r="M5" s="2371"/>
      <c r="N5" s="2371"/>
      <c r="O5" s="2371"/>
      <c r="P5" s="2371"/>
      <c r="Q5" s="2371"/>
      <c r="R5" s="2371"/>
    </row>
    <row r="6" spans="1:29" ht="15">
      <c r="A6" s="431"/>
      <c r="B6" s="1797" t="s">
        <v>2091</v>
      </c>
      <c r="C6" s="2379"/>
      <c r="D6" s="2374"/>
      <c r="E6" s="2378"/>
      <c r="F6" s="1797" t="s">
        <v>2092</v>
      </c>
      <c r="G6" s="2379"/>
      <c r="H6" s="2371"/>
      <c r="I6" s="2371"/>
      <c r="J6" s="2371"/>
      <c r="K6" s="2371"/>
      <c r="L6" s="2371"/>
      <c r="M6" s="2371"/>
      <c r="N6" s="2371"/>
      <c r="O6" s="2371"/>
      <c r="P6" s="2371"/>
      <c r="Q6" s="2371"/>
      <c r="R6" s="2371"/>
    </row>
    <row r="7" spans="1:29" ht="15.75" thickBot="1">
      <c r="A7" s="431"/>
      <c r="B7" s="1797" t="s">
        <v>2090</v>
      </c>
      <c r="C7" s="2379"/>
      <c r="D7" s="2380"/>
      <c r="E7" s="2381"/>
      <c r="F7" s="2382" t="s">
        <v>2093</v>
      </c>
      <c r="G7" s="2383"/>
      <c r="H7" s="2371"/>
      <c r="I7" s="2371"/>
      <c r="J7" s="2371"/>
      <c r="K7" s="2371"/>
      <c r="L7" s="2371"/>
      <c r="M7" s="2371"/>
      <c r="N7" s="2371"/>
      <c r="O7" s="2371"/>
      <c r="P7" s="2371"/>
      <c r="Q7" s="2371"/>
      <c r="R7" s="2371"/>
    </row>
    <row r="8" spans="1:29" ht="15">
      <c r="A8" s="431"/>
      <c r="B8" s="1797" t="s">
        <v>2092</v>
      </c>
      <c r="C8" s="2379"/>
      <c r="D8" s="2380"/>
      <c r="E8" s="2380"/>
      <c r="F8" s="1136"/>
      <c r="G8" s="1136"/>
      <c r="H8" s="2371"/>
      <c r="I8" s="2371"/>
      <c r="J8" s="2371"/>
      <c r="K8" s="2371"/>
      <c r="L8" s="2371"/>
      <c r="M8" s="2371"/>
      <c r="N8" s="2371"/>
      <c r="O8" s="2371"/>
      <c r="P8" s="2371"/>
      <c r="Q8" s="2371"/>
      <c r="R8" s="2371"/>
    </row>
    <row r="9" spans="1:29" ht="15">
      <c r="A9" s="431"/>
      <c r="B9" s="1797" t="s">
        <v>2094</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8" t="s">
        <v>2098</v>
      </c>
    </row>
    <row r="15" spans="1:29" ht="27">
      <c r="A15" s="68" t="s">
        <v>2099</v>
      </c>
      <c r="B15" s="1270" t="s">
        <v>2085</v>
      </c>
      <c r="C15" s="2406">
        <f>C3</f>
        <v>0</v>
      </c>
      <c r="D15" s="2374"/>
      <c r="E15" s="2407" t="s">
        <v>2100</v>
      </c>
      <c r="F15" s="1270" t="s">
        <v>2101</v>
      </c>
      <c r="G15" s="135">
        <f>G3</f>
        <v>0</v>
      </c>
    </row>
    <row r="16" spans="1:29" ht="15">
      <c r="A16" s="645"/>
      <c r="B16" s="2408" t="s">
        <v>2087</v>
      </c>
      <c r="C16" s="2409">
        <f>C4</f>
        <v>0</v>
      </c>
      <c r="D16" s="2374"/>
      <c r="E16" s="2410"/>
      <c r="F16" s="2411" t="s">
        <v>2088</v>
      </c>
      <c r="G16" s="136">
        <f>G4</f>
        <v>0</v>
      </c>
    </row>
    <row r="17" spans="1:18" ht="15">
      <c r="A17" s="645"/>
      <c r="B17" s="2408" t="s">
        <v>2089</v>
      </c>
      <c r="C17" s="2409">
        <f>C5</f>
        <v>0</v>
      </c>
      <c r="D17" s="2380"/>
      <c r="E17" s="2410"/>
      <c r="F17" s="2411" t="s">
        <v>2102</v>
      </c>
      <c r="G17" s="1571"/>
    </row>
    <row r="18" spans="1:18" ht="15">
      <c r="A18" s="645"/>
      <c r="B18" s="2411" t="s">
        <v>2091</v>
      </c>
      <c r="C18" s="136">
        <f>C6</f>
        <v>0</v>
      </c>
      <c r="D18" s="2380"/>
      <c r="E18" s="2410"/>
      <c r="F18" s="2411" t="s">
        <v>2093</v>
      </c>
      <c r="G18" s="136">
        <f>G7</f>
        <v>0</v>
      </c>
    </row>
    <row r="19" spans="1:18" ht="15">
      <c r="A19" s="645"/>
      <c r="B19" s="2411" t="s">
        <v>2103</v>
      </c>
      <c r="C19" s="1571"/>
      <c r="D19" s="2374"/>
      <c r="E19" s="2410"/>
      <c r="F19" s="1797" t="s">
        <v>2090</v>
      </c>
      <c r="G19" s="136">
        <f>G5</f>
        <v>0</v>
      </c>
    </row>
    <row r="20" spans="1:18" ht="15">
      <c r="A20" s="645"/>
      <c r="B20" s="2411" t="s">
        <v>2104</v>
      </c>
      <c r="C20" s="2409">
        <f>C9</f>
        <v>0</v>
      </c>
      <c r="D20" s="2380"/>
      <c r="E20" s="2410"/>
      <c r="F20" s="1797" t="s">
        <v>2105</v>
      </c>
      <c r="G20" s="136">
        <f>G6</f>
        <v>0</v>
      </c>
    </row>
    <row r="21" spans="1:18" ht="15">
      <c r="A21" s="645"/>
      <c r="B21" s="1797" t="s">
        <v>2090</v>
      </c>
      <c r="C21" s="136">
        <f>C7</f>
        <v>0</v>
      </c>
      <c r="D21" s="2374"/>
      <c r="E21" s="2410"/>
      <c r="F21" s="2411" t="s">
        <v>2106</v>
      </c>
      <c r="G21" s="2412"/>
    </row>
    <row r="22" spans="1:18" ht="13.5" customHeight="1">
      <c r="A22" s="645"/>
      <c r="B22" s="1797" t="s">
        <v>2092</v>
      </c>
      <c r="C22" s="136">
        <f>C8</f>
        <v>0</v>
      </c>
      <c r="D22" s="2374"/>
      <c r="E22" s="2410"/>
      <c r="F22" s="2411" t="s">
        <v>2095</v>
      </c>
      <c r="G22" s="1571"/>
    </row>
    <row r="23" spans="1:18" s="2371"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1"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7302.06</v>
      </c>
      <c r="C1" s="1744"/>
      <c r="D1" s="1744"/>
      <c r="E1" s="1744"/>
      <c r="F1" s="1744"/>
      <c r="G1" s="1742"/>
    </row>
    <row r="2" spans="1:10" ht="16.5">
      <c r="A2" s="1745" t="s">
        <v>1349</v>
      </c>
      <c r="B2" s="1745">
        <f>SUM(C14:C23)</f>
        <v>10665.64</v>
      </c>
      <c r="C2" s="1744"/>
      <c r="D2" s="1744"/>
      <c r="E2" s="1744"/>
      <c r="F2" s="1744"/>
      <c r="G2" s="1742"/>
    </row>
    <row r="3" spans="1:10" ht="16.5">
      <c r="A3" s="1745" t="s">
        <v>1358</v>
      </c>
      <c r="B3" s="1746">
        <f>项目基本情况!D3</f>
        <v>43462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10052</v>
      </c>
      <c r="C5" s="1745">
        <f ca="1">ROUND(B5*10000/$B$1,0)</f>
        <v>13766</v>
      </c>
      <c r="D5" s="1745">
        <f ca="1">ROUND(B5*10000/$B$2,0)</f>
        <v>9425</v>
      </c>
      <c r="E5" s="1744"/>
      <c r="F5" s="1742"/>
      <c r="G5" s="1742"/>
    </row>
    <row r="6" spans="1:10" ht="16.5">
      <c r="A6" s="1745" t="s">
        <v>1352</v>
      </c>
      <c r="B6" s="1745">
        <f ca="1">SUM(G14:G23)</f>
        <v>10052</v>
      </c>
      <c r="C6" s="1745">
        <f ca="1">ROUND(B6*10000/$B$1,0)</f>
        <v>13766</v>
      </c>
      <c r="D6" s="1745">
        <f ca="1">ROUND(B6*10000/$B$2,0)</f>
        <v>9425</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7302.06</v>
      </c>
      <c r="C14" s="1743">
        <f>结果表!C118</f>
        <v>10665.64</v>
      </c>
      <c r="D14" s="1743">
        <f ca="1">结果表!H118</f>
        <v>10052</v>
      </c>
      <c r="E14" s="1743">
        <f ca="1">ROUND(D14*10000/B14,0)</f>
        <v>13766</v>
      </c>
      <c r="F14" s="1743">
        <f ca="1">ROUND(D14*10000/C14,0)</f>
        <v>9425</v>
      </c>
      <c r="G14" s="1743">
        <f ca="1">结果表!D122</f>
        <v>10052</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5" zoomScaleNormal="100" zoomScaleSheetLayoutView="100" zoomScalePageLayoutView="80" workbookViewId="0">
      <selection activeCell="K110" sqref="K11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2109</v>
      </c>
      <c r="B1" s="2422"/>
      <c r="C1" s="2423"/>
      <c r="D1" s="2422"/>
      <c r="E1" s="2422"/>
      <c r="F1" s="2424" t="s">
        <v>2110</v>
      </c>
      <c r="G1" s="2073" t="s">
        <v>3113</v>
      </c>
      <c r="H1" s="2425" t="str">
        <f>IF(G1="现房","——","估价对象范围")</f>
        <v>——</v>
      </c>
      <c r="I1" s="2426" t="s">
        <v>3114</v>
      </c>
    </row>
    <row r="2" spans="1:12" ht="21.75" customHeight="1" thickBot="1">
      <c r="A2" s="3084" t="str">
        <f>项目基本情况!S2</f>
        <v>房地产</v>
      </c>
      <c r="B2" s="3085"/>
      <c r="C2" s="3085"/>
      <c r="D2" s="3085"/>
      <c r="E2" s="3085"/>
      <c r="F2" s="3085"/>
      <c r="G2" s="3085"/>
      <c r="H2" s="3085"/>
      <c r="I2" s="3086"/>
    </row>
    <row r="3" spans="1:12" ht="12.75">
      <c r="A3" s="3088" t="s">
        <v>2111</v>
      </c>
      <c r="B3" s="3089"/>
      <c r="C3" s="3089"/>
      <c r="D3" s="3089"/>
      <c r="E3" s="3089"/>
      <c r="F3" s="3089"/>
      <c r="G3" s="3089"/>
      <c r="H3" s="3089"/>
      <c r="I3" s="3089"/>
    </row>
    <row r="4" spans="1:12" ht="14.25">
      <c r="A4" s="2429" t="s">
        <v>2112</v>
      </c>
      <c r="B4" s="2430" t="s">
        <v>2113</v>
      </c>
      <c r="C4" s="2431" t="s">
        <v>3115</v>
      </c>
      <c r="D4" s="2431" t="s">
        <v>3053</v>
      </c>
      <c r="E4" s="3081" t="s">
        <v>2114</v>
      </c>
      <c r="F4" s="3082"/>
      <c r="G4" s="3082"/>
      <c r="H4" s="3082"/>
      <c r="I4" s="309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4" t="s">
        <v>2115</v>
      </c>
      <c r="B5" s="3002">
        <v>25</v>
      </c>
      <c r="C5" s="3067"/>
      <c r="D5" s="3087"/>
      <c r="E5" s="140" t="s">
        <v>2116</v>
      </c>
      <c r="F5" s="2433"/>
      <c r="G5" s="2433"/>
      <c r="H5" s="2433"/>
      <c r="I5" s="1833"/>
    </row>
    <row r="6" spans="1:12" ht="12.75">
      <c r="A6" s="3064"/>
      <c r="B6" s="3002"/>
      <c r="C6" s="3068"/>
      <c r="D6" s="3087"/>
      <c r="E6" s="140" t="s">
        <v>2117</v>
      </c>
      <c r="F6" s="2433"/>
      <c r="G6" s="2433"/>
      <c r="H6" s="2433"/>
      <c r="I6" s="1833"/>
    </row>
    <row r="7" spans="1:12" ht="12.75">
      <c r="A7" s="3064"/>
      <c r="B7" s="3002"/>
      <c r="C7" s="3069"/>
      <c r="D7" s="3087"/>
      <c r="E7" s="140" t="s">
        <v>2118</v>
      </c>
      <c r="F7" s="2433"/>
      <c r="G7" s="2433"/>
      <c r="H7" s="2433"/>
      <c r="I7" s="1833"/>
    </row>
    <row r="8" spans="1:12" ht="12.75">
      <c r="A8" s="3064" t="s">
        <v>2119</v>
      </c>
      <c r="B8" s="3002">
        <v>15</v>
      </c>
      <c r="C8" s="3067"/>
      <c r="D8" s="3087"/>
      <c r="E8" s="140" t="s">
        <v>2120</v>
      </c>
      <c r="F8" s="2433"/>
      <c r="G8" s="2433"/>
      <c r="H8" s="2433"/>
      <c r="I8" s="1833"/>
    </row>
    <row r="9" spans="1:12" ht="12.75">
      <c r="A9" s="3064"/>
      <c r="B9" s="3002"/>
      <c r="C9" s="3069"/>
      <c r="D9" s="3087"/>
      <c r="E9" s="140" t="s">
        <v>2121</v>
      </c>
      <c r="F9" s="2433"/>
      <c r="G9" s="2433"/>
      <c r="H9" s="2433"/>
      <c r="I9" s="1833"/>
    </row>
    <row r="10" spans="1:12" ht="12.75">
      <c r="A10" s="3064" t="s">
        <v>2122</v>
      </c>
      <c r="B10" s="3002">
        <v>15</v>
      </c>
      <c r="C10" s="3067"/>
      <c r="D10" s="3087"/>
      <c r="E10" s="140" t="s">
        <v>2123</v>
      </c>
      <c r="F10" s="2433"/>
      <c r="G10" s="2433"/>
      <c r="H10" s="2433"/>
      <c r="I10" s="1833"/>
    </row>
    <row r="11" spans="1:12" ht="12.75">
      <c r="A11" s="3064"/>
      <c r="B11" s="3002"/>
      <c r="C11" s="3069"/>
      <c r="D11" s="3087"/>
      <c r="E11" s="140" t="s">
        <v>2124</v>
      </c>
      <c r="F11" s="2433"/>
      <c r="G11" s="2433"/>
      <c r="H11" s="2433"/>
      <c r="I11" s="1833"/>
    </row>
    <row r="12" spans="1:12" ht="12.75">
      <c r="A12" s="3064" t="s">
        <v>2125</v>
      </c>
      <c r="B12" s="3002">
        <v>15</v>
      </c>
      <c r="C12" s="3067"/>
      <c r="D12" s="3087"/>
      <c r="E12" s="140" t="s">
        <v>2126</v>
      </c>
      <c r="F12" s="2433"/>
      <c r="G12" s="2433"/>
      <c r="H12" s="2433"/>
      <c r="I12" s="1833"/>
    </row>
    <row r="13" spans="1:12" ht="12.75">
      <c r="A13" s="3064"/>
      <c r="B13" s="3002"/>
      <c r="C13" s="3069"/>
      <c r="D13" s="3087"/>
      <c r="E13" s="140" t="s">
        <v>2127</v>
      </c>
      <c r="F13" s="2433"/>
      <c r="G13" s="2433"/>
      <c r="H13" s="2433"/>
      <c r="I13" s="1833"/>
    </row>
    <row r="14" spans="1:12" ht="12.75">
      <c r="A14" s="3064" t="s">
        <v>2128</v>
      </c>
      <c r="B14" s="3002">
        <v>30</v>
      </c>
      <c r="C14" s="3067">
        <v>1</v>
      </c>
      <c r="D14" s="3087">
        <v>0</v>
      </c>
      <c r="E14" s="140" t="s">
        <v>2129</v>
      </c>
      <c r="F14" s="2433"/>
      <c r="G14" s="2433"/>
      <c r="H14" s="2433"/>
      <c r="I14" s="1833"/>
    </row>
    <row r="15" spans="1:12" ht="12.75">
      <c r="A15" s="3064"/>
      <c r="B15" s="3002"/>
      <c r="C15" s="3068"/>
      <c r="D15" s="3087"/>
      <c r="E15" s="140" t="s">
        <v>2130</v>
      </c>
      <c r="F15" s="2433"/>
      <c r="G15" s="2433"/>
      <c r="H15" s="2433"/>
      <c r="I15" s="1833"/>
    </row>
    <row r="16" spans="1:12" ht="12.75">
      <c r="A16" s="3064"/>
      <c r="B16" s="3002"/>
      <c r="C16" s="3069"/>
      <c r="D16" s="3087"/>
      <c r="E16" s="140" t="s">
        <v>2131</v>
      </c>
      <c r="F16" s="2433"/>
      <c r="G16" s="2433"/>
      <c r="H16" s="2433"/>
      <c r="I16" s="1833"/>
    </row>
    <row r="17" spans="1:35" ht="15">
      <c r="A17" s="2434" t="s">
        <v>2132</v>
      </c>
      <c r="B17" s="64"/>
      <c r="C17" s="141">
        <f>SUM(C5:C16)</f>
        <v>1</v>
      </c>
      <c r="D17" s="141">
        <f>SUM(D5:D16)</f>
        <v>0</v>
      </c>
      <c r="E17" s="138"/>
      <c r="F17" s="138"/>
      <c r="G17" s="138"/>
      <c r="H17" s="138"/>
      <c r="I17" s="138"/>
      <c r="K17" s="2432"/>
      <c r="L17" s="2435" t="s">
        <v>2133</v>
      </c>
      <c r="M17" s="2435" t="s">
        <v>2134</v>
      </c>
    </row>
    <row r="18" spans="1:35" ht="15.75" thickBot="1">
      <c r="A18" s="2436" t="s">
        <v>2135</v>
      </c>
      <c r="B18" s="2437"/>
      <c r="C18" s="142">
        <f>ROUND(C17/SUM(C17:D17),2)</f>
        <v>1</v>
      </c>
      <c r="D18" s="142">
        <f>1-C18</f>
        <v>0</v>
      </c>
      <c r="E18" s="138"/>
      <c r="F18" s="138"/>
      <c r="G18" s="138"/>
      <c r="H18" s="138"/>
      <c r="I18" s="138"/>
      <c r="K18" s="2432" t="s">
        <v>2136</v>
      </c>
      <c r="L18" s="2432">
        <f>IF(C1="",'数据-汇总表'!E3,SUMIF(项目类型,C1,'数据-汇总表'!E17:E26)+SUMIF(项目类型,C1,'数据-汇总表'!I17:I26))</f>
        <v>7302.06</v>
      </c>
      <c r="M18" s="2432">
        <f>IF(C1="",'数据-汇总表'!E3,SUMIF(项目类型,C1,'数据-汇总表'!E17:E26))</f>
        <v>7302.06</v>
      </c>
    </row>
    <row r="19" spans="1:35" ht="15">
      <c r="A19" s="2438" t="s">
        <v>2137</v>
      </c>
      <c r="B19" s="2439" t="s">
        <v>2138</v>
      </c>
      <c r="C19" s="143">
        <f ca="1">SUMIF(INDIRECT("'"&amp;C4&amp;"'"&amp;"!A:A"),结果表!B19,INDIRECT("'"&amp;C4&amp;"'"&amp;"!B:B"))</f>
        <v>10052</v>
      </c>
      <c r="D19" s="144">
        <f ca="1">SUMIF(INDIRECT("'"&amp;D4&amp;"'"&amp;"!A:A"),结果表!B19,INDIRECT("'"&amp;D4&amp;"'"&amp;"!B:B"))</f>
        <v>2799</v>
      </c>
      <c r="E19" s="2438" t="s">
        <v>2139</v>
      </c>
      <c r="F19" s="2439" t="s">
        <v>2138</v>
      </c>
      <c r="G19" s="145">
        <f ca="1">ROUND(C19*$C$18+D19*$D$18,0)</f>
        <v>10052</v>
      </c>
      <c r="H19" s="2440" t="s">
        <v>2140</v>
      </c>
      <c r="I19" s="138"/>
      <c r="K19" s="2432" t="s">
        <v>2141</v>
      </c>
      <c r="L19" s="2432">
        <f>IF(C1="",'数据-汇总表'!D3,SUMIF(项目类型,C1,'数据-汇总表'!D17:D26)+SUMIF(项目类型,C1,'数据-汇总表'!H17:H27))</f>
        <v>10665.64</v>
      </c>
      <c r="M19" s="2432">
        <f>IF(C1="",'数据-汇总表'!D3,SUMIF(项目类型,C1,'数据-汇总表'!D17:D26))</f>
        <v>10665.64</v>
      </c>
    </row>
    <row r="20" spans="1:35" ht="15">
      <c r="A20" s="2441"/>
      <c r="B20" s="1250" t="s">
        <v>2142</v>
      </c>
      <c r="C20" s="146">
        <f ca="1">SUMIF(INDIRECT("'"&amp;C4&amp;"'"&amp;"!A:A"),结果表!B20,INDIRECT("'"&amp;C4&amp;"'"&amp;"!B:B"))</f>
        <v>13766</v>
      </c>
      <c r="D20" s="147">
        <f ca="1">SUMIF(INDIRECT("'"&amp;D4&amp;"'"&amp;"!A:A"),结果表!B20,INDIRECT("'"&amp;D4&amp;"'"&amp;"!B:B"))</f>
        <v>3833</v>
      </c>
      <c r="E20" s="2441"/>
      <c r="F20" s="1250" t="s">
        <v>2142</v>
      </c>
      <c r="G20" s="148">
        <f ca="1">ROUND(C20*$C$18+D20*$D$18,0)</f>
        <v>13766</v>
      </c>
      <c r="H20" s="983" t="s">
        <v>2143</v>
      </c>
      <c r="I20" s="138"/>
    </row>
    <row r="21" spans="1:35" ht="15" customHeight="1" thickBot="1">
      <c r="A21" s="1003"/>
      <c r="B21" s="2442" t="s">
        <v>2144</v>
      </c>
      <c r="C21" s="789">
        <f ca="1">ROUND(C19*10000/L19,0)</f>
        <v>9425</v>
      </c>
      <c r="D21" s="790">
        <f ca="1">ROUND(D19*10000/L19,0)</f>
        <v>2624</v>
      </c>
      <c r="E21" s="1003"/>
      <c r="F21" s="2442" t="s">
        <v>2144</v>
      </c>
      <c r="G21" s="149">
        <f ca="1">ROUND(G19*10000/L19,0)</f>
        <v>9425</v>
      </c>
      <c r="H21" s="2443" t="s">
        <v>2143</v>
      </c>
      <c r="I21" s="138"/>
    </row>
    <row r="22" spans="1:35" ht="15" thickBot="1">
      <c r="A22" s="2284" t="s">
        <v>2145</v>
      </c>
      <c r="B22" s="2444"/>
      <c r="C22" s="2445"/>
      <c r="D22" s="791">
        <f ca="1">IF(C19&lt;D19,D19/C19-1,C19/D19-1)</f>
        <v>2.5912826009289032</v>
      </c>
      <c r="E22" s="138"/>
      <c r="F22" s="138"/>
      <c r="G22" s="138"/>
      <c r="H22" s="138"/>
      <c r="I22" s="138"/>
    </row>
    <row r="23" spans="1:35" ht="13.5" thickBot="1">
      <c r="A23" s="2422"/>
      <c r="B23" s="2422"/>
      <c r="C23" s="2422"/>
      <c r="D23" s="2422"/>
      <c r="E23" s="138"/>
      <c r="F23" s="138"/>
      <c r="G23" s="138"/>
      <c r="H23" s="138"/>
      <c r="I23" s="138"/>
    </row>
    <row r="24" spans="1:35" ht="14.25">
      <c r="A24" s="3058" t="s">
        <v>2146</v>
      </c>
      <c r="B24" s="2439" t="s">
        <v>2138</v>
      </c>
      <c r="C24" s="145">
        <f>IF(B30=0,0,D30)</f>
        <v>0</v>
      </c>
      <c r="D24" s="2446"/>
      <c r="E24" s="138"/>
      <c r="F24" s="138"/>
      <c r="G24" s="138"/>
      <c r="H24" s="138"/>
      <c r="I24" s="138"/>
    </row>
    <row r="25" spans="1:35" ht="14.25">
      <c r="A25" s="3059"/>
      <c r="B25" s="1250" t="s">
        <v>2142</v>
      </c>
      <c r="C25" s="150">
        <f>IF(B30=0,0,C30)</f>
        <v>0</v>
      </c>
      <c r="D25" s="2447"/>
      <c r="E25" s="138"/>
      <c r="F25" s="138"/>
      <c r="G25" s="138"/>
      <c r="H25" s="138"/>
      <c r="I25" s="138"/>
    </row>
    <row r="26" spans="1:35" ht="13.5" customHeight="1">
      <c r="A26" s="2448" t="s">
        <v>2147</v>
      </c>
      <c r="B26" s="151" t="s">
        <v>2148</v>
      </c>
      <c r="C26" s="151" t="s">
        <v>2149</v>
      </c>
      <c r="D26" s="152" t="s">
        <v>2150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2151</v>
      </c>
      <c r="B30" s="151"/>
      <c r="C30" s="151"/>
      <c r="D30" s="151"/>
      <c r="E30" s="2931"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2152</v>
      </c>
      <c r="B32" s="2452"/>
      <c r="C32" s="153">
        <f ca="1">IF(D32="总价",G19-C24,G20-C25)</f>
        <v>10052</v>
      </c>
      <c r="D32" s="2453" t="s">
        <v>2153</v>
      </c>
      <c r="E32" s="138"/>
      <c r="F32" s="138"/>
      <c r="G32" s="138"/>
      <c r="H32" s="138"/>
      <c r="I32" s="138"/>
    </row>
    <row r="33" spans="1:15" ht="15">
      <c r="A33" s="960" t="s">
        <v>2154</v>
      </c>
      <c r="B33" s="2454"/>
      <c r="C33" s="2455" t="s">
        <v>3116</v>
      </c>
      <c r="D33" s="2456" t="s">
        <v>3115</v>
      </c>
      <c r="E33" s="2457" t="s">
        <v>2155</v>
      </c>
      <c r="F33" s="2458" t="str">
        <f>IF(D32="楼面单价","取值（单价）","取值（总价）")</f>
        <v>取值（总价）</v>
      </c>
      <c r="G33" s="138"/>
      <c r="H33" s="138"/>
      <c r="I33" s="138"/>
    </row>
    <row r="34" spans="1:15" ht="15">
      <c r="A34" s="2459"/>
      <c r="B34" s="2460" t="s">
        <v>2156</v>
      </c>
      <c r="C34" s="157">
        <f ca="1">IF(C33="自定义",F34,C32-C35)</f>
        <v>6976</v>
      </c>
      <c r="D34" s="1058">
        <f ca="1">IF(C33="自定义",ROUND(C34/C32,3),IF(C33="收益比率",SUMIF(INDIRECT("'"&amp;D33&amp;"'"&amp;"!b:b"),"土地收益比率",INDIRECT("'"&amp;D33&amp;"'"&amp;"!c:c")),SUMIF(INDIRECT("'"&amp;D33&amp;"'"&amp;"!b:b"),"土地成本比率",INDIRECT("'"&amp;D33&amp;"'"&amp;"!c:c"))))</f>
        <v>0.69399999999999995</v>
      </c>
      <c r="E34" s="2461" t="s">
        <v>2157</v>
      </c>
      <c r="F34" s="1738"/>
      <c r="G34" s="138"/>
      <c r="H34" s="138"/>
      <c r="I34" s="138"/>
    </row>
    <row r="35" spans="1:15" ht="15.75" thickBot="1">
      <c r="A35" s="2462"/>
      <c r="B35" s="2463" t="s">
        <v>2158</v>
      </c>
      <c r="C35" s="1444">
        <f ca="1">IF(C33="自定义",F35,ROUND(C32*D35,0))</f>
        <v>3076</v>
      </c>
      <c r="D35" s="1445">
        <f ca="1">IF(C33="自定义",ROUND(C35/C32,3),IF(C33="收益比率",SUMIF(INDIRECT("'"&amp;D33&amp;"'"&amp;"!b:b"),"建筑物收益比率",INDIRECT("'"&amp;D33&amp;"'"&amp;"!c:c")),SUMIF(INDIRECT("'"&amp;D33&amp;"'"&amp;"!b:b"),"建筑物成本比率",INDIRECT("'"&amp;D33&amp;"'"&amp;"!c:c"))))</f>
        <v>0.30599999999999999</v>
      </c>
      <c r="E35" s="2464" t="s">
        <v>2159</v>
      </c>
      <c r="F35" s="163"/>
      <c r="G35" s="138"/>
      <c r="H35" s="138"/>
      <c r="I35" s="138"/>
    </row>
    <row r="36" spans="1:15" ht="15.75" thickBot="1">
      <c r="A36" s="3076" t="s">
        <v>2160</v>
      </c>
      <c r="B36" s="2465" t="s">
        <v>2161</v>
      </c>
      <c r="C36" s="154"/>
      <c r="D36" s="2466"/>
      <c r="E36" s="2467"/>
      <c r="F36" s="2468"/>
      <c r="G36" s="138"/>
      <c r="H36" s="138"/>
      <c r="I36" s="138"/>
    </row>
    <row r="37" spans="1:15" ht="15.75" thickBot="1">
      <c r="A37" s="3077"/>
      <c r="B37" s="2270" t="s">
        <v>2162</v>
      </c>
      <c r="C37" s="156"/>
      <c r="D37" s="1395"/>
      <c r="E37" s="1395"/>
      <c r="F37" s="2468"/>
      <c r="G37" s="138"/>
      <c r="H37" s="138"/>
      <c r="I37" s="138"/>
    </row>
    <row r="38" spans="1:15" ht="15.75" thickBot="1">
      <c r="A38" s="3078"/>
      <c r="B38" s="2469" t="s">
        <v>2163</v>
      </c>
      <c r="C38" s="727"/>
      <c r="D38" s="2470" t="s">
        <v>2164</v>
      </c>
      <c r="E38" s="1395"/>
      <c r="F38" s="2468"/>
      <c r="G38" s="138"/>
      <c r="H38" s="138"/>
      <c r="I38" s="138"/>
    </row>
    <row r="39" spans="1:15" ht="15">
      <c r="A39" s="2441" t="s">
        <v>2165</v>
      </c>
      <c r="B39" s="2471" t="s">
        <v>2166</v>
      </c>
      <c r="C39" s="2472" t="s">
        <v>2167</v>
      </c>
      <c r="D39" s="2472" t="s">
        <v>2168</v>
      </c>
      <c r="E39" s="2473" t="s">
        <v>2169</v>
      </c>
      <c r="F39" s="2468"/>
      <c r="G39" s="138"/>
      <c r="H39" s="138"/>
      <c r="I39" s="138"/>
    </row>
    <row r="40" spans="1:15" ht="14.25">
      <c r="A40" s="2474" t="s">
        <v>2170</v>
      </c>
      <c r="B40" s="158"/>
      <c r="C40" s="159"/>
      <c r="D40" s="159"/>
      <c r="E40" s="160"/>
      <c r="F40" s="2468"/>
      <c r="G40" s="138"/>
      <c r="H40" s="138"/>
      <c r="I40" s="138"/>
    </row>
    <row r="41" spans="1:15" ht="14.25">
      <c r="A41" s="2474" t="s">
        <v>2171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2172</v>
      </c>
      <c r="B44" s="2479"/>
      <c r="C44" s="2479"/>
      <c r="D44" s="2480"/>
      <c r="E44" s="2480"/>
      <c r="F44" s="2481"/>
      <c r="G44" s="2481"/>
      <c r="H44" s="2481"/>
      <c r="I44" s="2481"/>
      <c r="J44" s="2482" t="s">
        <v>2173</v>
      </c>
      <c r="K44" s="2483"/>
      <c r="L44" s="2483"/>
      <c r="M44" s="2483"/>
      <c r="N44" s="2483"/>
      <c r="O44" s="2483"/>
    </row>
    <row r="45" spans="1:15" ht="14.25" customHeight="1" thickBot="1">
      <c r="A45" s="3055" t="s">
        <v>2174</v>
      </c>
      <c r="B45" s="3056"/>
      <c r="C45" s="3057"/>
      <c r="D45" s="164">
        <f ca="1">ROUND(H101*F45,0)</f>
        <v>10052</v>
      </c>
      <c r="E45" s="165" t="s">
        <v>2175</v>
      </c>
      <c r="F45" s="166">
        <v>1</v>
      </c>
      <c r="G45" s="167" t="s">
        <v>2176</v>
      </c>
      <c r="H45" s="138"/>
      <c r="I45" s="138"/>
      <c r="J45" s="3115" t="s">
        <v>2177</v>
      </c>
      <c r="K45" s="3115"/>
      <c r="L45" s="3115"/>
      <c r="M45" s="3115"/>
      <c r="N45" s="3115"/>
      <c r="O45" s="3115"/>
    </row>
    <row r="46" spans="1:15" ht="14.25" customHeight="1">
      <c r="A46" s="3052" t="s">
        <v>2178</v>
      </c>
      <c r="B46" s="3053"/>
      <c r="C46" s="3053"/>
      <c r="D46" s="3053"/>
      <c r="E46" s="3053"/>
      <c r="F46" s="3053"/>
      <c r="G46" s="3054"/>
      <c r="H46" s="2484"/>
      <c r="I46" s="168"/>
      <c r="J46" s="1811">
        <v>1</v>
      </c>
      <c r="K46" s="3115" t="s">
        <v>2179</v>
      </c>
      <c r="L46" s="3115"/>
      <c r="M46" s="3135"/>
      <c r="N46" s="3135"/>
      <c r="O46" s="3135"/>
    </row>
    <row r="47" spans="1:15" ht="12" customHeight="1">
      <c r="A47" s="169" t="s">
        <v>2180</v>
      </c>
      <c r="B47" s="170"/>
      <c r="C47" s="171"/>
      <c r="D47" s="172" t="s">
        <v>2181</v>
      </c>
      <c r="E47" s="24" t="s">
        <v>2182</v>
      </c>
      <c r="F47" s="173" t="s">
        <v>2183</v>
      </c>
      <c r="G47" s="174" t="s">
        <v>2184</v>
      </c>
      <c r="H47" s="2484"/>
      <c r="I47" s="168"/>
      <c r="J47" s="1811">
        <v>2</v>
      </c>
      <c r="K47" s="3115" t="s">
        <v>2185</v>
      </c>
      <c r="L47" s="3115"/>
      <c r="M47" s="3136">
        <f>'数据-取费表'!B2</f>
        <v>43462</v>
      </c>
      <c r="N47" s="3136"/>
      <c r="O47" s="3136"/>
    </row>
    <row r="48" spans="1:15" ht="25.5">
      <c r="A48" s="3083" t="s">
        <v>2186</v>
      </c>
      <c r="B48" s="3066"/>
      <c r="C48" s="3066"/>
      <c r="D48" s="140">
        <f>IF(H48="情况1",0,IF(H48="情况2",D52,IF(H48="情况3",D53,IF(H48="情况4",D54))))</f>
        <v>0</v>
      </c>
      <c r="E48" s="1800" t="str">
        <f>IF(H48="情况4","(销售额-原购置价)×税（费）率","销售额×税（费）率")</f>
        <v>销售额×税（费）率</v>
      </c>
      <c r="F48" s="175" t="str">
        <f>IF(H48="情况1","免征",'数据-取费表'!B41)</f>
        <v>免征</v>
      </c>
      <c r="G48" s="2485" t="s">
        <v>2187</v>
      </c>
      <c r="H48" s="2486" t="s">
        <v>2188</v>
      </c>
      <c r="I48" s="2484"/>
      <c r="J48" s="1811">
        <v>3</v>
      </c>
      <c r="K48" s="3115" t="s">
        <v>2189</v>
      </c>
      <c r="L48" s="3115"/>
      <c r="M48" s="3137">
        <f ca="1">H101</f>
        <v>10052</v>
      </c>
      <c r="N48" s="3137"/>
      <c r="O48" s="3137"/>
    </row>
    <row r="49" spans="1:35" ht="25.5" customHeight="1">
      <c r="A49" s="176" t="s">
        <v>2190</v>
      </c>
      <c r="B49" s="3051" t="s">
        <v>2191</v>
      </c>
      <c r="C49" s="3051"/>
      <c r="D49" s="177">
        <v>0</v>
      </c>
      <c r="E49" s="23" t="s">
        <v>2192</v>
      </c>
      <c r="F49" s="28" t="s">
        <v>34</v>
      </c>
      <c r="G49" s="3121"/>
      <c r="H49" s="138"/>
      <c r="I49" s="2487"/>
      <c r="J49" s="1811">
        <v>4</v>
      </c>
      <c r="K49" s="3115" t="str">
        <f>IF(项目基本情况!E8="房地产抵押价值","房地产抵押价值","抵押担保权已注销时的房地产抵押价值")</f>
        <v>抵押担保权已注销时的房地产抵押价值</v>
      </c>
      <c r="L49" s="3115"/>
      <c r="M49" s="3137" t="str">
        <f>IF(项目基本情况!E8="房地产抵押价值",H107,H109)</f>
        <v>——</v>
      </c>
      <c r="N49" s="3137"/>
      <c r="O49" s="3137"/>
    </row>
    <row r="50" spans="1:35" ht="25.5" customHeight="1">
      <c r="A50" s="178"/>
      <c r="B50" s="3051" t="s">
        <v>2193</v>
      </c>
      <c r="C50" s="3051"/>
      <c r="D50" s="179"/>
      <c r="E50" s="31"/>
      <c r="F50" s="180"/>
      <c r="G50" s="3122"/>
      <c r="H50" s="138"/>
      <c r="I50" s="2487"/>
      <c r="J50" s="3115" t="s">
        <v>2194</v>
      </c>
      <c r="K50" s="3115"/>
      <c r="L50" s="3115"/>
      <c r="M50" s="3115"/>
      <c r="N50" s="3115"/>
      <c r="O50" s="3115"/>
    </row>
    <row r="51" spans="1:35" ht="12" customHeight="1">
      <c r="A51" s="181"/>
      <c r="B51" s="3051" t="s">
        <v>2195</v>
      </c>
      <c r="C51" s="3051"/>
      <c r="D51" s="182"/>
      <c r="E51" s="30"/>
      <c r="F51" s="180"/>
      <c r="G51" s="3123"/>
      <c r="H51" s="138"/>
      <c r="I51" s="2487"/>
      <c r="J51" s="2488" t="s">
        <v>2196</v>
      </c>
      <c r="K51" s="3115" t="s">
        <v>2197</v>
      </c>
      <c r="L51" s="3115"/>
      <c r="M51" s="2488" t="s">
        <v>2198</v>
      </c>
      <c r="N51" s="2488" t="s">
        <v>2199</v>
      </c>
      <c r="O51" s="2488" t="s">
        <v>2200</v>
      </c>
    </row>
    <row r="52" spans="1:35" ht="24" customHeight="1">
      <c r="A52" s="183" t="s">
        <v>2201</v>
      </c>
      <c r="B52" s="3051" t="s">
        <v>2202</v>
      </c>
      <c r="C52" s="3051"/>
      <c r="D52" s="182">
        <f ca="1">ROUND(D45*'数据-取费表'!B41/(1+'数据-取费表'!C42),0)</f>
        <v>536</v>
      </c>
      <c r="E52" s="11" t="s">
        <v>2203</v>
      </c>
      <c r="F52" s="184">
        <f>'数据-取费表'!B41</f>
        <v>5.6000000000000001E-2</v>
      </c>
      <c r="G52" s="2489"/>
      <c r="H52" s="138"/>
      <c r="I52" s="2487"/>
      <c r="J52" s="1811">
        <v>1</v>
      </c>
      <c r="K52" s="3116" t="s">
        <v>2204</v>
      </c>
      <c r="L52" s="3116"/>
      <c r="M52" s="1753">
        <f>D48</f>
        <v>0</v>
      </c>
      <c r="N52" s="1811" t="str">
        <f>E48</f>
        <v>销售额×税（费）率</v>
      </c>
      <c r="O52" s="1754" t="str">
        <f>F48</f>
        <v>免征</v>
      </c>
    </row>
    <row r="53" spans="1:35" ht="12" customHeight="1">
      <c r="A53" s="183" t="s">
        <v>2205</v>
      </c>
      <c r="B53" s="3074" t="s">
        <v>2206</v>
      </c>
      <c r="C53" s="3075"/>
      <c r="D53" s="182">
        <f ca="1">ROUND(D45*'数据-取费表'!B41/(1+'数据-取费表'!C42),0)</f>
        <v>536</v>
      </c>
      <c r="E53" s="11" t="s">
        <v>2203</v>
      </c>
      <c r="F53" s="184">
        <f>'数据-取费表'!B41</f>
        <v>5.6000000000000001E-2</v>
      </c>
      <c r="G53" s="2489"/>
      <c r="H53" s="138"/>
      <c r="I53" s="2487"/>
      <c r="J53" s="1811">
        <v>2</v>
      </c>
      <c r="K53" s="3116" t="s">
        <v>2207</v>
      </c>
      <c r="L53" s="3116"/>
      <c r="M53" s="1753">
        <f t="shared" ref="M53:O54" ca="1" si="0">D55</f>
        <v>5</v>
      </c>
      <c r="N53" s="1811" t="str">
        <f t="shared" si="0"/>
        <v>销售额×税（费）率</v>
      </c>
      <c r="O53" s="1754">
        <f t="shared" si="0"/>
        <v>5.0000000000000001E-4</v>
      </c>
    </row>
    <row r="54" spans="1:35" ht="12" customHeight="1">
      <c r="A54" s="183" t="s">
        <v>2208</v>
      </c>
      <c r="B54" s="3074" t="s">
        <v>2209</v>
      </c>
      <c r="C54" s="3075"/>
      <c r="D54" s="182">
        <f ca="1">C68</f>
        <v>536</v>
      </c>
      <c r="E54" s="30" t="s">
        <v>2210</v>
      </c>
      <c r="F54" s="184">
        <f>'数据-取费表'!B41</f>
        <v>5.6000000000000001E-2</v>
      </c>
      <c r="G54" s="2489"/>
      <c r="H54" s="2490"/>
      <c r="I54" s="2487"/>
      <c r="J54" s="1811">
        <v>3</v>
      </c>
      <c r="K54" s="3116" t="s">
        <v>2211</v>
      </c>
      <c r="L54" s="3116"/>
      <c r="M54" s="1753">
        <f t="shared" ca="1" si="0"/>
        <v>5690</v>
      </c>
      <c r="N54" s="1811" t="str">
        <f t="shared" si="0"/>
        <v>增值额×税（费）率</v>
      </c>
      <c r="O54" s="1755" t="str">
        <f t="shared" si="0"/>
        <v>——</v>
      </c>
    </row>
    <row r="55" spans="1:35" ht="24" customHeight="1">
      <c r="A55" s="3065" t="s">
        <v>2212</v>
      </c>
      <c r="B55" s="3066"/>
      <c r="C55" s="3066"/>
      <c r="D55" s="185">
        <f ca="1">IF(H55="个人住宅",0,ROUND(D45*I55,0))</f>
        <v>5</v>
      </c>
      <c r="E55" s="11" t="s">
        <v>2213</v>
      </c>
      <c r="F55" s="184">
        <f>IF(H55="正常",I55,"免征")</f>
        <v>5.0000000000000001E-4</v>
      </c>
      <c r="G55" s="2489"/>
      <c r="H55" s="2486" t="s">
        <v>2214</v>
      </c>
      <c r="I55" s="186">
        <f>'数据-取费表'!B49</f>
        <v>5.0000000000000001E-4</v>
      </c>
      <c r="J55" s="1811" t="str">
        <f>IF(H59="非个人房产","",4)</f>
        <v/>
      </c>
      <c r="K55" s="3116" t="str">
        <f>IF(H59="非个人房产","——","个人所得税")</f>
        <v>——</v>
      </c>
      <c r="L55" s="3116"/>
      <c r="M55" s="1756" t="str">
        <f>D59</f>
        <v>——</v>
      </c>
      <c r="N55" s="1809" t="str">
        <f>E59</f>
        <v>——</v>
      </c>
      <c r="O55" s="1757" t="str">
        <f>F59</f>
        <v>——</v>
      </c>
    </row>
    <row r="56" spans="1:35" ht="24.75">
      <c r="A56" s="3065" t="s">
        <v>2215</v>
      </c>
      <c r="B56" s="3066"/>
      <c r="C56" s="3066"/>
      <c r="D56" s="185">
        <f ca="1">IF(H56="个人住宅",D57,D58)</f>
        <v>5690</v>
      </c>
      <c r="E56" s="11" t="s">
        <v>2216</v>
      </c>
      <c r="F56" s="184" t="str">
        <f>IF(H56="正常",F58,"免征")</f>
        <v>——</v>
      </c>
      <c r="G56" s="2491" t="s">
        <v>2217</v>
      </c>
      <c r="H56" s="2492" t="s">
        <v>2214</v>
      </c>
      <c r="I56" s="2493"/>
      <c r="J56" s="1811" t="str">
        <f>IF(项目基本情况!K6="上海银行",IF(J55="",4,J55+1),"")</f>
        <v/>
      </c>
      <c r="K56" s="3139" t="str">
        <f>IF(项目基本情况!K6="上海银行","其他处置费用","")</f>
        <v/>
      </c>
      <c r="L56" s="3140"/>
      <c r="M56" s="1753" t="str">
        <f>IF(项目基本情况!K6="上海银行",M69,"")</f>
        <v/>
      </c>
      <c r="N56" s="3142" t="str">
        <f>IF(项目基本情况!K6="上海银行","包含处置中涉及的律师、诉讼、拍卖、评估等费用","")</f>
        <v/>
      </c>
      <c r="O56" s="3143"/>
    </row>
    <row r="57" spans="1:35" ht="12.75">
      <c r="A57" s="183" t="s">
        <v>2190</v>
      </c>
      <c r="B57" s="3081" t="s">
        <v>2218</v>
      </c>
      <c r="C57" s="3090"/>
      <c r="D57" s="187">
        <v>0</v>
      </c>
      <c r="E57" s="23" t="s">
        <v>2192</v>
      </c>
      <c r="F57" s="155"/>
      <c r="G57" s="2489"/>
      <c r="H57" s="2493"/>
      <c r="I57" s="2493"/>
      <c r="J57" s="3116">
        <f>IF(AND(J55="",J56=""),4,IF(项目基本情况!K6="上海银行",结果表!J56+1,结果表!J55+1))</f>
        <v>4</v>
      </c>
      <c r="K57" s="3116" t="s">
        <v>2219</v>
      </c>
      <c r="L57" s="2494" t="s">
        <v>2220</v>
      </c>
      <c r="M57" s="1758"/>
      <c r="N57" s="1759">
        <f ca="1">SUMIF(M52:M56,"&lt;9e307")</f>
        <v>5695</v>
      </c>
      <c r="O57" s="2495"/>
      <c r="P57" s="1752" t="e">
        <f ca="1">N57/M49</f>
        <v>#VALUE!</v>
      </c>
    </row>
    <row r="58" spans="1:35" ht="24.75">
      <c r="A58" s="183" t="s">
        <v>2201</v>
      </c>
      <c r="B58" s="3081" t="s">
        <v>2221</v>
      </c>
      <c r="C58" s="3082"/>
      <c r="D58" s="185">
        <f ca="1">IF(H58="转让取得",C81,C97)</f>
        <v>5690</v>
      </c>
      <c r="E58" s="11" t="s">
        <v>2216</v>
      </c>
      <c r="F58" s="24" t="s">
        <v>34</v>
      </c>
      <c r="G58" s="2489"/>
      <c r="H58" s="2492" t="s">
        <v>2222</v>
      </c>
      <c r="I58" s="2493"/>
      <c r="J58" s="3116"/>
      <c r="K58" s="3116"/>
      <c r="L58" s="2494" t="s">
        <v>2223</v>
      </c>
      <c r="M58" s="1760"/>
      <c r="N58" s="2496" t="str">
        <f ca="1">NUMBERSTRING(INT(N57*10000),2)&amp;"元整"</f>
        <v>伍仟陆佰玖拾伍万元整</v>
      </c>
      <c r="O58" s="2497"/>
    </row>
    <row r="59" spans="1:35" ht="24.75" thickBot="1">
      <c r="A59" s="3119" t="s">
        <v>2224</v>
      </c>
      <c r="B59" s="3120"/>
      <c r="C59" s="3120"/>
      <c r="D59" s="188" t="str">
        <f>IF(H59="非个人房产","——",IF(H59="个人住宅",0,ROUND(D45*I59,0)))</f>
        <v>——</v>
      </c>
      <c r="E59" s="189" t="str">
        <f>IF(H59="非个人房产","——","销售额×税（费）率")</f>
        <v>——</v>
      </c>
      <c r="F59" s="190" t="str">
        <f>IF(H59="非个人房产","——",IF(H59="个人住宅","免征",I59))</f>
        <v>——</v>
      </c>
      <c r="G59" s="2498" t="s">
        <v>2217</v>
      </c>
      <c r="H59" s="2492" t="s">
        <v>2225</v>
      </c>
      <c r="I59" s="191">
        <v>0.01</v>
      </c>
      <c r="J59" s="3117">
        <f>J57+1</f>
        <v>5</v>
      </c>
      <c r="K59" s="3116" t="s">
        <v>2226</v>
      </c>
      <c r="L59" s="1811" t="s">
        <v>2220</v>
      </c>
      <c r="M59" s="1761"/>
      <c r="N59" s="1762" t="e">
        <f ca="1">M49-N57</f>
        <v>#VALUE!</v>
      </c>
      <c r="O59" s="2499"/>
    </row>
    <row r="60" spans="1:35" ht="12" customHeight="1">
      <c r="A60" s="2500"/>
      <c r="B60" s="2422"/>
      <c r="C60" s="2422"/>
      <c r="D60" s="2422"/>
      <c r="E60" s="2169"/>
      <c r="F60" s="2493"/>
      <c r="G60" s="2493"/>
      <c r="H60" s="2501"/>
      <c r="I60" s="138"/>
      <c r="J60" s="3118"/>
      <c r="K60" s="3116"/>
      <c r="L60" s="2494" t="s">
        <v>2223</v>
      </c>
      <c r="M60" s="1760"/>
      <c r="N60" s="2496" t="e">
        <f ca="1">NUMBERSTRING(INT(N59*10000),2)&amp;"元整"</f>
        <v>#VALUE!</v>
      </c>
      <c r="O60" s="2497"/>
    </row>
    <row r="61" spans="1:35" ht="13.5" thickBot="1">
      <c r="A61" s="3063" t="s">
        <v>2227</v>
      </c>
      <c r="B61" s="3063"/>
      <c r="C61" s="3063"/>
      <c r="D61" s="3063"/>
      <c r="E61" s="3063"/>
      <c r="F61" s="2493"/>
      <c r="G61" s="2493"/>
      <c r="H61" s="2501"/>
      <c r="I61" s="138"/>
      <c r="J61" s="1811">
        <f>J59+1</f>
        <v>6</v>
      </c>
      <c r="K61" s="3116" t="s">
        <v>2228</v>
      </c>
      <c r="L61" s="3116"/>
      <c r="M61" s="1763"/>
      <c r="N61" s="1764" t="e">
        <f ca="1">ROUND(N59*10000/'数据-汇总表'!E3,0)</f>
        <v>#VALUE!</v>
      </c>
      <c r="O61" s="2502"/>
    </row>
    <row r="62" spans="1:35" ht="12.75">
      <c r="A62" s="3079" t="s">
        <v>2229</v>
      </c>
      <c r="B62" s="3080"/>
      <c r="C62" s="1803"/>
      <c r="D62" s="1803" t="s">
        <v>2230</v>
      </c>
      <c r="E62" s="192" t="s">
        <v>2231</v>
      </c>
      <c r="F62" s="2493"/>
      <c r="G62" s="2493"/>
      <c r="H62" s="2501"/>
      <c r="I62" s="138"/>
    </row>
    <row r="63" spans="1:35" ht="12.75">
      <c r="A63" s="203" t="s">
        <v>775</v>
      </c>
      <c r="B63" s="193" t="s">
        <v>2232</v>
      </c>
      <c r="C63" s="194">
        <f ca="1">ROUND((C64+C65)/(1+'数据-取费表'!C42),0)</f>
        <v>9573</v>
      </c>
      <c r="D63" s="195"/>
      <c r="E63" s="196"/>
      <c r="F63" s="2493"/>
      <c r="G63" s="2493"/>
      <c r="H63" s="2501"/>
      <c r="I63" s="138"/>
      <c r="J63" s="3141" t="s">
        <v>2233</v>
      </c>
      <c r="K63" s="2503" t="s">
        <v>2234</v>
      </c>
      <c r="L63" s="1751" t="e">
        <f>IF(M49&gt;10000,M49*0.5%,IF(AND(M49&gt;1000,M49&lt;=10000),M49*1%,IF(AND(M49&gt;100,M49&lt;=1000),M49*3%,IF(AND(M49&gt;10,M49&lt;=100),M49*5%,M49*8%))))</f>
        <v>#VALUE!</v>
      </c>
      <c r="M63" s="24" t="e">
        <f>ROUND(L63,1)</f>
        <v>#VALUE!</v>
      </c>
      <c r="Z63" s="2427"/>
      <c r="AI63" s="2428"/>
    </row>
    <row r="64" spans="1:35" ht="14.25" customHeight="1">
      <c r="A64" s="197" t="s">
        <v>770</v>
      </c>
      <c r="B64" s="198" t="s">
        <v>2235</v>
      </c>
      <c r="C64" s="199">
        <f ca="1">D45</f>
        <v>10052</v>
      </c>
      <c r="D64" s="200" t="s">
        <v>32</v>
      </c>
      <c r="E64" s="201"/>
      <c r="F64" s="2493"/>
      <c r="G64" s="2493"/>
      <c r="H64" s="2501"/>
      <c r="I64" s="138"/>
      <c r="J64" s="3141"/>
      <c r="K64" s="2503" t="s">
        <v>2236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2237</v>
      </c>
      <c r="Z64" s="2427"/>
      <c r="AI64" s="2428"/>
    </row>
    <row r="65" spans="1:35" ht="14.25" customHeight="1">
      <c r="A65" s="197" t="s">
        <v>771</v>
      </c>
      <c r="B65" s="198" t="s">
        <v>2238</v>
      </c>
      <c r="C65" s="202"/>
      <c r="D65" s="200"/>
      <c r="E65" s="201"/>
      <c r="F65" s="2493"/>
      <c r="G65" s="2493"/>
      <c r="H65" s="2501"/>
      <c r="I65" s="138"/>
      <c r="J65" s="3141"/>
      <c r="K65" s="2503" t="s">
        <v>2239</v>
      </c>
      <c r="L65" s="1751" t="e">
        <f>IF(M49&gt;1000,M49*0.1%,IF(AND(M49&gt;500,M49&lt;=1000),M49*0.5%,IF(AND(M49&gt;50,M49&lt;=500),M49*1%,IF(AND(M49&gt;1,M49&lt;=50),M49*1.5%))))</f>
        <v>#VALUE!</v>
      </c>
      <c r="M65" s="24" t="e">
        <f t="shared" si="1"/>
        <v>#VALUE!</v>
      </c>
      <c r="N65" s="138" t="s">
        <v>2237</v>
      </c>
      <c r="Z65" s="2427"/>
      <c r="AI65" s="2428"/>
    </row>
    <row r="66" spans="1:35" ht="14.25" customHeight="1">
      <c r="A66" s="203" t="s">
        <v>772</v>
      </c>
      <c r="B66" s="204" t="s">
        <v>2240</v>
      </c>
      <c r="C66" s="205"/>
      <c r="D66" s="206" t="s">
        <v>32</v>
      </c>
      <c r="E66" s="1775" t="s">
        <v>1367</v>
      </c>
      <c r="F66" s="2493"/>
      <c r="G66" s="2493"/>
      <c r="H66" s="2501"/>
      <c r="I66" s="138"/>
      <c r="J66" s="3141"/>
      <c r="K66" s="2503" t="s">
        <v>2241</v>
      </c>
      <c r="L66" s="1751" t="e">
        <f>M49*0.5%</f>
        <v>#VALUE!</v>
      </c>
      <c r="M66" s="24" t="e">
        <f>IF(L66&gt;0.5,0.5,ROUND(L66,0))</f>
        <v>#VALUE!</v>
      </c>
      <c r="N66" s="138" t="s">
        <v>2242</v>
      </c>
      <c r="Z66" s="2427"/>
      <c r="AI66" s="2428"/>
    </row>
    <row r="67" spans="1:35" ht="14.25" customHeight="1">
      <c r="A67" s="203" t="s">
        <v>773</v>
      </c>
      <c r="B67" s="204" t="s">
        <v>2243</v>
      </c>
      <c r="C67" s="207">
        <f ca="1">C63-C66</f>
        <v>9573</v>
      </c>
      <c r="D67" s="200" t="s">
        <v>32</v>
      </c>
      <c r="E67" s="201"/>
      <c r="F67" s="2493"/>
      <c r="G67" s="2493"/>
      <c r="H67" s="2501"/>
      <c r="I67" s="138"/>
      <c r="J67" s="3141"/>
      <c r="K67" s="2503" t="s">
        <v>2244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2245</v>
      </c>
      <c r="C68" s="210">
        <f ca="1">IF(C67&lt;=0,0,ROUND(C67*D68,0))</f>
        <v>536</v>
      </c>
      <c r="D68" s="211">
        <f>'数据-取费表'!B41</f>
        <v>5.6000000000000001E-2</v>
      </c>
      <c r="E68" s="212"/>
      <c r="F68" s="2493"/>
      <c r="G68" s="2493"/>
      <c r="H68" s="2501"/>
      <c r="I68" s="138"/>
      <c r="J68" s="3141"/>
      <c r="K68" s="2503" t="s">
        <v>2246</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41"/>
      <c r="K69" s="2503" t="s">
        <v>2247</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0" t="s">
        <v>2248</v>
      </c>
      <c r="B70" s="3101"/>
      <c r="C70" s="3101"/>
      <c r="D70" s="3101"/>
      <c r="E70" s="3101"/>
      <c r="F70" s="3101"/>
      <c r="G70" s="3101"/>
      <c r="H70" s="310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9" t="s">
        <v>2229</v>
      </c>
      <c r="B71" s="3080"/>
      <c r="C71" s="1803"/>
      <c r="D71" s="1803" t="s">
        <v>2230</v>
      </c>
      <c r="E71" s="213" t="s">
        <v>2231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2249</v>
      </c>
      <c r="C72" s="207">
        <f ca="1">ROUND(D45/(1+'数据-取费表'!C42),0)</f>
        <v>9573</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2250</v>
      </c>
      <c r="C73" s="207">
        <f ca="1">C74+C78</f>
        <v>57</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2251</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2252</v>
      </c>
      <c r="C75" s="218"/>
      <c r="D75" s="200" t="s">
        <v>32</v>
      </c>
      <c r="E75" s="219" t="s">
        <v>2253</v>
      </c>
      <c r="F75" s="2515" t="s">
        <v>2254</v>
      </c>
      <c r="G75" s="219" t="s">
        <v>2255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2256</v>
      </c>
      <c r="C76" s="200">
        <f>IF(F75="购房发票",ROUND(C75*H75*D76,0),0)</f>
        <v>0</v>
      </c>
      <c r="D76" s="222">
        <v>0.05</v>
      </c>
      <c r="E76" s="3074" t="s">
        <v>2257</v>
      </c>
      <c r="F76" s="3051"/>
      <c r="G76" s="3051"/>
      <c r="H76" s="309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7" t="s">
        <v>2260</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2261</v>
      </c>
      <c r="C78" s="225">
        <f ca="1">ROUND(D45*D78/(1+'数据-取费表'!C42),0)</f>
        <v>57</v>
      </c>
      <c r="D78" s="226">
        <f>'数据-取费表'!B43</f>
        <v>6.000000000000001E-3</v>
      </c>
      <c r="E78" s="3060" t="s">
        <v>2262</v>
      </c>
      <c r="F78" s="3061"/>
      <c r="G78" s="3061"/>
      <c r="H78" s="307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2263</v>
      </c>
      <c r="C79" s="207">
        <f ca="1">C72-C73</f>
        <v>9516</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2264</v>
      </c>
      <c r="C80" s="227">
        <f ca="1">IF(C79&lt;=0,0,C79/C73)</f>
        <v>166.94736842105263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2265</v>
      </c>
      <c r="C81" s="228">
        <f ca="1">ROUND(IF(C79&lt;=0,0,IF(C80&gt;=200%,C79*60%-C73*35%,IF(C80&gt;=100%,C79*50%-C73*15%,IF(C80&gt;=50%,C79*40%-C73*5%,IF(C80&lt;50%,C79*30%,0))))),0)</f>
        <v>5690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0" t="s">
        <v>2266</v>
      </c>
      <c r="B83" s="3101"/>
      <c r="C83" s="3101"/>
      <c r="D83" s="3101"/>
      <c r="E83" s="3101"/>
      <c r="F83" s="3101"/>
      <c r="G83" s="3101"/>
      <c r="H83" s="310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9" t="s">
        <v>2229</v>
      </c>
      <c r="B84" s="3080"/>
      <c r="C84" s="1803"/>
      <c r="D84" s="1803" t="s">
        <v>2230</v>
      </c>
      <c r="E84" s="213" t="s">
        <v>2231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2249</v>
      </c>
      <c r="C85" s="207">
        <f ca="1">ROUND(D45/(1+'数据-取费表'!C42),0)</f>
        <v>9573</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2250</v>
      </c>
      <c r="C86" s="207">
        <f ca="1">IF(H88="仅含出让金",C87+C90+C91+C92+C93+C94,C87+C91+C92+C93+C94)</f>
        <v>57</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2267</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2268</v>
      </c>
      <c r="C88" s="236"/>
      <c r="D88" s="226"/>
      <c r="E88" s="237" t="s">
        <v>2269</v>
      </c>
      <c r="F88" s="1799"/>
      <c r="G88" s="238" t="s">
        <v>2270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2258</v>
      </c>
      <c r="C89" s="225">
        <f>ROUND(C88*D89,0)</f>
        <v>0</v>
      </c>
      <c r="D89" s="226">
        <f>'数据-取费表'!B48+'数据-取费表'!B49</f>
        <v>3.0499999999999999E-2</v>
      </c>
      <c r="E89" s="237" t="s">
        <v>2271</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2272</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2273</v>
      </c>
      <c r="B91" s="198" t="s">
        <v>2274</v>
      </c>
      <c r="C91" s="225">
        <f>IF(H91="——",成本法!C33,I91)</f>
        <v>0</v>
      </c>
      <c r="D91" s="226"/>
      <c r="E91" s="3060" t="s">
        <v>2275</v>
      </c>
      <c r="F91" s="3061"/>
      <c r="G91" s="3061"/>
      <c r="H91" s="2522" t="s">
        <v>2276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2277</v>
      </c>
      <c r="B92" s="198" t="s">
        <v>2278</v>
      </c>
      <c r="C92" s="225">
        <f>ROUND((C87+C90+C91)*D92,0)</f>
        <v>0</v>
      </c>
      <c r="D92" s="226">
        <v>0.1</v>
      </c>
      <c r="E92" s="3060" t="s">
        <v>2279</v>
      </c>
      <c r="F92" s="3061"/>
      <c r="G92" s="3061"/>
      <c r="H92" s="307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2280</v>
      </c>
      <c r="B93" s="198" t="s">
        <v>2261</v>
      </c>
      <c r="C93" s="225">
        <f ca="1">ROUND(D45*D93/(1+'数据-取费表'!C42),0)</f>
        <v>57</v>
      </c>
      <c r="D93" s="226">
        <f>'数据-取费表'!B43</f>
        <v>6.000000000000001E-3</v>
      </c>
      <c r="E93" s="3060" t="s">
        <v>2262</v>
      </c>
      <c r="F93" s="3061"/>
      <c r="G93" s="3061"/>
      <c r="H93" s="307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2281</v>
      </c>
      <c r="B94" s="198" t="s">
        <v>2282</v>
      </c>
      <c r="C94" s="236">
        <f>ROUND((C87+C90+C91)*D94,0)</f>
        <v>0</v>
      </c>
      <c r="D94" s="226">
        <v>0.2</v>
      </c>
      <c r="E94" s="3071" t="s">
        <v>2283</v>
      </c>
      <c r="F94" s="3072"/>
      <c r="G94" s="3072"/>
      <c r="H94" s="307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2263</v>
      </c>
      <c r="C95" s="207">
        <f ca="1">ROUND(C85-C86,0)</f>
        <v>9516</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2264</v>
      </c>
      <c r="C96" s="227">
        <f ca="1">IF(C95&lt;=0,0,C95/C86)</f>
        <v>166.94736842105263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2265</v>
      </c>
      <c r="C97" s="228">
        <f ca="1">ROUND(IF(C95&lt;=0,0,IF(C96&gt;=200%,C95*60%-C86*35%,IF(C96&gt;=100%,C95*50%-C86*15%,IF(C96&gt;=50%,C95*40%-C86*5%,IF(C96&lt;50%,C95*30%,0))))),0)</f>
        <v>5690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2284</v>
      </c>
      <c r="B99" s="2422"/>
      <c r="C99" s="2422"/>
      <c r="D99" s="2422"/>
      <c r="E99" s="2169"/>
      <c r="F99" s="2169"/>
      <c r="G99" s="2169"/>
      <c r="H99" s="2168"/>
      <c r="I99" s="138"/>
    </row>
    <row r="100" spans="1:35" ht="18.75" customHeight="1">
      <c r="A100" s="3045" t="s">
        <v>2285</v>
      </c>
      <c r="B100" s="3046"/>
      <c r="C100" s="3046"/>
      <c r="D100" s="3062"/>
      <c r="E100" s="3046" t="s">
        <v>2286</v>
      </c>
      <c r="F100" s="3046"/>
      <c r="G100" s="3046"/>
      <c r="H100" s="3062"/>
      <c r="I100" s="138"/>
    </row>
    <row r="101" spans="1:35" ht="18.75" customHeight="1">
      <c r="A101" s="3124" t="s">
        <v>2287</v>
      </c>
      <c r="B101" s="3125"/>
      <c r="C101" s="736" t="str">
        <f>C4</f>
        <v>成本法</v>
      </c>
      <c r="D101" s="737" t="str">
        <f>D4</f>
        <v>收益法</v>
      </c>
      <c r="E101" s="3138" t="s">
        <v>2288</v>
      </c>
      <c r="F101" s="3092"/>
      <c r="G101" s="2524" t="s">
        <v>2289</v>
      </c>
      <c r="H101" s="1048">
        <f ca="1">H118</f>
        <v>10052</v>
      </c>
      <c r="I101" s="138"/>
    </row>
    <row r="102" spans="1:35" ht="18.75" customHeight="1">
      <c r="A102" s="3094" t="s">
        <v>2290</v>
      </c>
      <c r="B102" s="2524" t="s">
        <v>2289</v>
      </c>
      <c r="C102" s="736">
        <f ca="1">C19</f>
        <v>10052</v>
      </c>
      <c r="D102" s="737">
        <f ca="1">D19</f>
        <v>2799</v>
      </c>
      <c r="E102" s="3138"/>
      <c r="F102" s="3092"/>
      <c r="G102" s="2524" t="s">
        <v>2291</v>
      </c>
      <c r="H102" s="371">
        <f ca="1">I118</f>
        <v>13766</v>
      </c>
      <c r="I102" s="138"/>
    </row>
    <row r="103" spans="1:35" ht="42.75" customHeight="1">
      <c r="A103" s="3094"/>
      <c r="B103" s="2524" t="s">
        <v>2291</v>
      </c>
      <c r="C103" s="738">
        <f ca="1">C20</f>
        <v>13766</v>
      </c>
      <c r="D103" s="739">
        <f ca="1">D20</f>
        <v>3833</v>
      </c>
      <c r="E103" s="3133" t="s">
        <v>2292</v>
      </c>
      <c r="F103" s="3134"/>
      <c r="G103" s="2525" t="s">
        <v>2293</v>
      </c>
      <c r="H103" s="1048">
        <f>IF(D36="正常操作",H104+H105+H106,H105+H106)</f>
        <v>0</v>
      </c>
      <c r="I103" s="138"/>
    </row>
    <row r="104" spans="1:35" ht="18.75" customHeight="1">
      <c r="A104" s="3094" t="s">
        <v>2294</v>
      </c>
      <c r="B104" s="2526" t="s">
        <v>2289</v>
      </c>
      <c r="C104" s="740">
        <f ca="1">H118</f>
        <v>10052</v>
      </c>
      <c r="D104" s="741"/>
      <c r="E104" s="2270" t="s">
        <v>2295</v>
      </c>
      <c r="F104" s="2261"/>
      <c r="G104" s="2525" t="s">
        <v>2293</v>
      </c>
      <c r="H104" s="1049">
        <f>IF(D36="同一抵押权人同一抵押物续贷",C36&amp;"（未扣减，详见特别提示）",C36)</f>
        <v>0</v>
      </c>
      <c r="I104" s="138"/>
    </row>
    <row r="105" spans="1:35" ht="18.75" customHeight="1" thickBot="1">
      <c r="A105" s="3095"/>
      <c r="B105" s="2527" t="s">
        <v>2291</v>
      </c>
      <c r="C105" s="742">
        <f ca="1">I118</f>
        <v>13766</v>
      </c>
      <c r="D105" s="743"/>
      <c r="E105" s="2270" t="s">
        <v>2296</v>
      </c>
      <c r="F105" s="2261"/>
      <c r="G105" s="2525" t="s">
        <v>2293</v>
      </c>
      <c r="H105" s="1049">
        <f>C37</f>
        <v>0</v>
      </c>
      <c r="I105" s="138"/>
    </row>
    <row r="106" spans="1:35" ht="18.75" customHeight="1">
      <c r="A106" s="2422" t="s">
        <v>2297</v>
      </c>
      <c r="B106" s="2422"/>
      <c r="C106" s="2422"/>
      <c r="D106" s="2422"/>
      <c r="E106" s="2528" t="s">
        <v>2298</v>
      </c>
      <c r="F106" s="2261"/>
      <c r="G106" s="2525" t="s">
        <v>2293</v>
      </c>
      <c r="H106" s="1049">
        <f>C38</f>
        <v>0</v>
      </c>
      <c r="I106" s="138"/>
    </row>
    <row r="107" spans="1:35" ht="18.75" customHeight="1">
      <c r="A107" s="138"/>
      <c r="B107" s="138"/>
      <c r="C107" s="138"/>
      <c r="D107" s="138"/>
      <c r="E107" s="3091" t="str">
        <f>IF(项目基本情况!E8="已注销","——","3.房地产抵押价值")</f>
        <v>3.房地产抵押价值</v>
      </c>
      <c r="F107" s="3092"/>
      <c r="G107" s="2524" t="s">
        <v>2289</v>
      </c>
      <c r="H107" s="1048">
        <f ca="1">IF(E107="——","——",H101-H103)</f>
        <v>10052</v>
      </c>
      <c r="I107" s="138"/>
    </row>
    <row r="108" spans="1:35" ht="18.75" customHeight="1">
      <c r="A108" s="138"/>
      <c r="B108" s="138"/>
      <c r="C108" s="138"/>
      <c r="D108" s="138"/>
      <c r="E108" s="3091"/>
      <c r="F108" s="3092"/>
      <c r="G108" s="2524" t="s">
        <v>2291</v>
      </c>
      <c r="H108" s="371">
        <f ca="1">ROUND(H107*10000/'数据-汇总表'!E3,0)</f>
        <v>13766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4" t="s">
        <v>2289</v>
      </c>
      <c r="H109" s="348" t="str">
        <f>IF(E109="——","——",H101-H105-H106)</f>
        <v>——</v>
      </c>
      <c r="I109" s="138"/>
    </row>
    <row r="110" spans="1:35" ht="18.75" customHeight="1">
      <c r="A110" s="138"/>
      <c r="B110" s="138"/>
      <c r="C110" s="138"/>
      <c r="D110" s="138"/>
      <c r="E110" s="3091"/>
      <c r="F110" s="3092"/>
      <c r="G110" s="2524" t="s">
        <v>2291</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4" t="s">
        <v>2289</v>
      </c>
      <c r="H111" s="1048" t="str">
        <f>IF(E111="——","——",N59)</f>
        <v>——</v>
      </c>
      <c r="I111" s="138"/>
    </row>
    <row r="112" spans="1:35" ht="18.75" customHeight="1" thickBot="1">
      <c r="A112" s="138"/>
      <c r="B112" s="138"/>
      <c r="C112" s="138"/>
      <c r="D112" s="138"/>
      <c r="E112" s="3128"/>
      <c r="F112" s="3129"/>
      <c r="G112" s="2529" t="s">
        <v>2291</v>
      </c>
      <c r="H112" s="790" t="str">
        <f>IF(E111="——","——",N61)</f>
        <v>——</v>
      </c>
      <c r="I112" s="138"/>
    </row>
    <row r="113" spans="1:11" ht="18.75" customHeight="1">
      <c r="A113" s="138"/>
      <c r="B113" s="138"/>
      <c r="C113" s="138"/>
      <c r="D113" s="138"/>
      <c r="E113" s="3096" t="s">
        <v>2297</v>
      </c>
      <c r="F113" s="3096"/>
      <c r="G113" s="3096"/>
      <c r="H113" s="3096"/>
      <c r="I113" s="138"/>
    </row>
    <row r="114" spans="1:11" ht="3.75" customHeight="1">
      <c r="A114" s="2422"/>
      <c r="B114" s="2422"/>
      <c r="C114" s="2422"/>
      <c r="D114" s="2422"/>
      <c r="E114" s="2500"/>
      <c r="F114" s="2500"/>
      <c r="G114" s="2500"/>
      <c r="H114" s="2500"/>
      <c r="I114" s="2422"/>
    </row>
    <row r="115" spans="1:11" ht="18.75" customHeight="1">
      <c r="A115" s="3109" t="s">
        <v>2299</v>
      </c>
      <c r="B115" s="3110"/>
      <c r="C115" s="3110"/>
      <c r="D115" s="3110"/>
      <c r="E115" s="3110"/>
      <c r="F115" s="3110"/>
      <c r="G115" s="3110"/>
      <c r="H115" s="3110"/>
      <c r="I115" s="3111"/>
    </row>
    <row r="116" spans="1:11" ht="27" customHeight="1">
      <c r="A116" s="3002" t="s">
        <v>2300</v>
      </c>
      <c r="B116" s="3097" t="s">
        <v>2301</v>
      </c>
      <c r="C116" s="3097" t="s">
        <v>2302</v>
      </c>
      <c r="D116" s="3113" t="s">
        <v>2303</v>
      </c>
      <c r="E116" s="3114"/>
      <c r="F116" s="3105" t="s">
        <v>2304</v>
      </c>
      <c r="G116" s="3105"/>
      <c r="H116" s="3002" t="s">
        <v>2305</v>
      </c>
      <c r="I116" s="3002"/>
    </row>
    <row r="117" spans="1:11" ht="18.75" customHeight="1">
      <c r="A117" s="3002"/>
      <c r="B117" s="3098"/>
      <c r="C117" s="3098"/>
      <c r="D117" s="1797" t="s">
        <v>2306</v>
      </c>
      <c r="E117" s="1797" t="s">
        <v>2307</v>
      </c>
      <c r="F117" s="1797" t="s">
        <v>2306</v>
      </c>
      <c r="G117" s="1797" t="s">
        <v>2308</v>
      </c>
      <c r="H117" s="1797" t="s">
        <v>2306</v>
      </c>
      <c r="I117" s="1797" t="s">
        <v>2308</v>
      </c>
    </row>
    <row r="118" spans="1:11" ht="24.75" customHeight="1">
      <c r="A118" s="2530" t="str">
        <f>项目基本情况!S2</f>
        <v>房地产</v>
      </c>
      <c r="B118" s="1797">
        <f>M18</f>
        <v>7302.06</v>
      </c>
      <c r="C118" s="1797">
        <f>M19</f>
        <v>10665.64</v>
      </c>
      <c r="D118" s="1797">
        <f ca="1">ROUND(IF(D32="总价",C34,E118*B118/10000),0)</f>
        <v>6976</v>
      </c>
      <c r="E118" s="1797">
        <f ca="1">ROUND(IF(C33="自定义",IF(D32="楼面单价",C34,D118*10000/B118),I118-G118),0)</f>
        <v>9553</v>
      </c>
      <c r="F118" s="1797">
        <f ca="1">ROUND(IF(D32="总价",C35,G118*B118/10000),0)</f>
        <v>3076</v>
      </c>
      <c r="G118" s="1797">
        <f ca="1">ROUND(IF(D32="楼面单价",C35,F118*10000/B118),0)</f>
        <v>4213</v>
      </c>
      <c r="H118" s="1797">
        <f ca="1">ROUND(IF(D32="总价",C32,I118*B118/10000),0)</f>
        <v>10052</v>
      </c>
      <c r="I118" s="1797">
        <f ca="1">ROUND(IF(D32="楼面单价",C32,H118*10000/B118),0)</f>
        <v>13766</v>
      </c>
    </row>
    <row r="119" spans="1:11" ht="18.75" customHeight="1">
      <c r="A119" s="3002" t="s">
        <v>2309</v>
      </c>
      <c r="B119" s="3002"/>
      <c r="C119" s="3002"/>
      <c r="D119" s="3102" t="str">
        <f ca="1">NUMBERSTRING(INT(D118*10000),2)&amp;"元整"</f>
        <v>陆仟玖佰柒拾陆万元整</v>
      </c>
      <c r="E119" s="3104"/>
      <c r="F119" s="3102" t="str">
        <f ca="1">NUMBERSTRING(INT(F118*10000),2)&amp;"元整"</f>
        <v>叁仟零柒拾陆万元整</v>
      </c>
      <c r="G119" s="3104"/>
      <c r="H119" s="3102" t="str">
        <f ca="1">NUMBERSTRING(INT(H118*10000),2)&amp;"元整"</f>
        <v>壹亿零伍拾贰万元整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7" t="str">
        <f>IF(D120=0,"故，本次评估不存在"&amp;A120,"故，本次评估"&amp;A120&amp;"为人民币"&amp;D120&amp;"万元整。")</f>
        <v>故，本次评估不存在估价师知悉的法定优先受偿款</v>
      </c>
    </row>
    <row r="121" spans="1:11" ht="18.75" customHeight="1">
      <c r="A121" s="3106" t="s">
        <v>2309</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10052</v>
      </c>
      <c r="E122" s="3131"/>
      <c r="F122" s="3131"/>
      <c r="G122" s="3131"/>
      <c r="H122" s="3131"/>
      <c r="I122" s="3132"/>
    </row>
    <row r="123" spans="1:11" ht="18.75" customHeight="1">
      <c r="A123" s="3002" t="s">
        <v>2309</v>
      </c>
      <c r="B123" s="3002"/>
      <c r="C123" s="3002"/>
      <c r="D123" s="3102" t="str">
        <f ca="1">NUMBERSTRING(INT(D122*10000),2)&amp;"元整"</f>
        <v>壹亿零伍拾贰万元整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2309</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2309</v>
      </c>
      <c r="B127" s="3002"/>
      <c r="C127" s="3002"/>
      <c r="D127" s="3102" t="e">
        <f>NUMBERSTRING(INT(D126*10000),2)&amp;"元整"</f>
        <v>#VALUE!</v>
      </c>
      <c r="E127" s="3103"/>
      <c r="F127" s="3103"/>
      <c r="G127" s="3103"/>
      <c r="H127" s="3103"/>
      <c r="I127" s="3104"/>
    </row>
    <row r="128" spans="1:11" ht="21.75" customHeight="1">
      <c r="A128" s="3112" t="s">
        <v>2310</v>
      </c>
      <c r="B128" s="3112"/>
      <c r="C128" s="3112"/>
      <c r="D128" s="3112"/>
      <c r="E128" s="3112"/>
      <c r="F128" s="3112"/>
      <c r="G128" s="3112"/>
      <c r="H128" s="3112"/>
      <c r="I128" s="3112"/>
    </row>
    <row r="129" spans="1:35" ht="21.75" customHeight="1">
      <c r="A129" s="2531" t="s">
        <v>2311</v>
      </c>
      <c r="B129" s="2532"/>
      <c r="C129" s="2533" t="s">
        <v>2312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2313</v>
      </c>
      <c r="G135" s="2548"/>
      <c r="H135" s="2548"/>
      <c r="I135" s="2549" t="s">
        <v>2314</v>
      </c>
    </row>
    <row r="136" spans="1:35" ht="21.75" customHeight="1">
      <c r="A136" s="795"/>
      <c r="B136" s="255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2316</v>
      </c>
    </row>
    <row r="139" spans="1:35" ht="21.75" customHeight="1">
      <c r="A139" s="795"/>
      <c r="B139" s="2550" t="s">
        <v>2317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9"/>
      <c r="C1" s="242"/>
      <c r="D1" s="242"/>
      <c r="E1" s="242"/>
      <c r="F1" s="242"/>
      <c r="G1" s="1382">
        <f>MATCH(B1,'数据-取费表'!A6:A16,0)+5</f>
        <v>7</v>
      </c>
    </row>
    <row r="2" spans="1:9" s="244" customFormat="1" ht="18" customHeight="1">
      <c r="A2" s="245" t="s">
        <v>2319</v>
      </c>
      <c r="B2" s="246">
        <f ca="1">IF(D2="——",C52,C52-E2)</f>
        <v>10052</v>
      </c>
      <c r="C2" s="243" t="s">
        <v>2320</v>
      </c>
      <c r="D2" s="2553" t="s">
        <v>70</v>
      </c>
      <c r="E2" s="1443" t="e">
        <f ca="1">SUMIF(INDIRECT("'"&amp;G2&amp;"'"&amp;"!A:A"),"承租人权益价值",INDIRECT("'"&amp;G2&amp;"'"&amp;"!c:c"))</f>
        <v>#REF!</v>
      </c>
      <c r="F2" s="2554" t="s">
        <v>2320</v>
      </c>
      <c r="G2" s="2555"/>
    </row>
    <row r="3" spans="1:9" s="244" customFormat="1" ht="18" customHeight="1" thickBot="1">
      <c r="A3" s="247" t="s">
        <v>2321</v>
      </c>
      <c r="B3" s="248">
        <f ca="1">ROUND(B2*10000/(IF(B1="",'数据-汇总表'!E3,INDIRECT("'数据-取费表'!k"&amp;$G$1))),0)</f>
        <v>13766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5055</v>
      </c>
      <c r="D5" s="255" t="s">
        <v>2326</v>
      </c>
      <c r="E5" s="256" t="s">
        <v>2327</v>
      </c>
      <c r="F5" s="256" t="s">
        <v>2328</v>
      </c>
      <c r="G5" s="257"/>
    </row>
    <row r="6" spans="1:9" s="258" customFormat="1" ht="13.5" customHeight="1">
      <c r="A6" s="952" t="s">
        <v>2329</v>
      </c>
      <c r="B6" s="259" t="s">
        <v>2330</v>
      </c>
      <c r="C6" s="260">
        <f>'土地比较法-住宅、综合'!F66</f>
        <v>4778</v>
      </c>
      <c r="D6" s="261"/>
      <c r="E6" s="262"/>
      <c r="F6" s="262"/>
      <c r="G6" s="263"/>
    </row>
    <row r="7" spans="1:9" s="258" customFormat="1" ht="13.5" customHeight="1">
      <c r="A7" s="952" t="s">
        <v>2331</v>
      </c>
      <c r="B7" s="259" t="s">
        <v>2332</v>
      </c>
      <c r="C7" s="264">
        <f>ROUND(C6*F7,0)</f>
        <v>146</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131</v>
      </c>
      <c r="D8" s="266"/>
      <c r="E8" s="264"/>
      <c r="F8" s="265"/>
      <c r="G8" s="2556" t="s">
        <v>3111</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180</v>
      </c>
      <c r="F9" s="265"/>
      <c r="G9" s="2557" t="s">
        <v>3112</v>
      </c>
      <c r="H9" s="1393"/>
      <c r="I9" s="2558" t="s">
        <v>2336</v>
      </c>
    </row>
    <row r="10" spans="1:9" s="258" customFormat="1" ht="13.5" customHeight="1">
      <c r="A10" s="953" t="s">
        <v>801</v>
      </c>
      <c r="B10" s="268" t="s">
        <v>2337</v>
      </c>
      <c r="C10" s="269">
        <f ca="1">ROUND(D10*E10/10000,0)</f>
        <v>131</v>
      </c>
      <c r="D10" s="1035">
        <f ca="1">IF(B1="",'数据-汇总表'!E6,IF(INDIRECT("'数据-取费表'!c"&amp;$G$1)="住宅",INDIRECT("'数据-取费表'!s"&amp;$G$1),INDIRECT("'数据-取费表'!k"&amp;$G$1)+INDIRECT("'数据-取费表'!s"&amp;$G$1)))</f>
        <v>7302.06</v>
      </c>
      <c r="E10" s="269">
        <f>'数据-取费表'!B28</f>
        <v>180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7302.06</v>
      </c>
      <c r="E19" s="255">
        <f>'数据-取费表'!B31</f>
        <v>200</v>
      </c>
      <c r="F19" s="275"/>
      <c r="G19" s="2556" t="s">
        <v>3125</v>
      </c>
    </row>
    <row r="20" spans="1:7" s="258" customFormat="1" ht="13.5" customHeight="1">
      <c r="A20" s="299" t="s">
        <v>2350</v>
      </c>
      <c r="B20" s="254" t="s">
        <v>2351</v>
      </c>
      <c r="C20" s="276">
        <f>ROUND((C5+C19)*F20,0)</f>
        <v>152</v>
      </c>
      <c r="D20" s="276"/>
      <c r="E20" s="276"/>
      <c r="F20" s="277">
        <f>'数据-取费表'!B37</f>
        <v>0.03</v>
      </c>
      <c r="G20" s="278" t="s">
        <v>2352</v>
      </c>
    </row>
    <row r="21" spans="1:7" s="258" customFormat="1" ht="13.5" customHeight="1">
      <c r="A21" s="299" t="s">
        <v>2353</v>
      </c>
      <c r="B21" s="254" t="s">
        <v>2354</v>
      </c>
      <c r="C21" s="279">
        <f>F21</f>
        <v>0.03</v>
      </c>
      <c r="D21" s="280" t="s">
        <v>2355</v>
      </c>
      <c r="E21" s="276"/>
      <c r="F21" s="277">
        <f>'数据-取费表'!B38</f>
        <v>0.03</v>
      </c>
      <c r="G21" s="278" t="s">
        <v>2356</v>
      </c>
    </row>
    <row r="22" spans="1:7" s="258" customFormat="1" ht="13.5" customHeight="1">
      <c r="A22" s="299" t="s">
        <v>2357</v>
      </c>
      <c r="B22" s="254" t="s">
        <v>2358</v>
      </c>
      <c r="C22" s="1357">
        <f ca="1">ROUND(SUM(C23:C25),0)</f>
        <v>369</v>
      </c>
      <c r="D22" s="279">
        <f ca="1">C26</f>
        <v>1.1000000000000001E-3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364</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5</v>
      </c>
      <c r="D25" s="282"/>
      <c r="E25" s="285"/>
      <c r="F25" s="283"/>
      <c r="G25" s="286" t="s">
        <v>2367</v>
      </c>
    </row>
    <row r="26" spans="1:7" s="258" customFormat="1">
      <c r="A26" s="954" t="s">
        <v>795</v>
      </c>
      <c r="B26" s="259" t="s">
        <v>2368</v>
      </c>
      <c r="C26" s="282">
        <f ca="1">ROUND(IF('数据-取费表'!B22&lt;=1,F21*F22*'数据-取费表'!B23/2,F21*(POWER((1+F22),'数据-取费表'!B23/2)-1)),4)</f>
        <v>1.1000000000000001E-3</v>
      </c>
      <c r="D26" s="282"/>
      <c r="E26" s="285"/>
      <c r="F26" s="283"/>
      <c r="G26" s="287"/>
    </row>
    <row r="27" spans="1:7" s="258" customFormat="1" ht="24.75">
      <c r="A27" s="299" t="s">
        <v>2369</v>
      </c>
      <c r="B27" s="288" t="s">
        <v>2370</v>
      </c>
      <c r="C27" s="289">
        <f ca="1">C28</f>
        <v>781</v>
      </c>
      <c r="D27" s="279">
        <f ca="1">C29</f>
        <v>4.4999999999999997E-3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781</v>
      </c>
      <c r="D28" s="279"/>
      <c r="E28" s="280"/>
      <c r="F28" s="290"/>
      <c r="G28" s="291"/>
    </row>
    <row r="29" spans="1:7" s="258" customFormat="1" ht="13.5" customHeight="1">
      <c r="A29" s="954" t="s">
        <v>792</v>
      </c>
      <c r="B29" s="292" t="s">
        <v>2374</v>
      </c>
      <c r="C29" s="282">
        <f ca="1">ROUND(C21*F27*'数据-取费表'!B21/'数据-取费表'!B20,4)</f>
        <v>4.4999999999999997E-3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6977</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2868</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2556</v>
      </c>
      <c r="D34" s="261"/>
      <c r="E34" s="264"/>
      <c r="F34" s="301">
        <f ca="1">IF('数据-取费表'!B24=0,1,IF(B1="",'数据-取费表'!N16,INDIRECT("'数据-取费表'!n"&amp;$G$1)))</f>
        <v>1</v>
      </c>
      <c r="G34" s="263" t="s">
        <v>2383</v>
      </c>
    </row>
    <row r="35" spans="1:7" ht="13.5" customHeight="1">
      <c r="A35" s="954" t="s">
        <v>796</v>
      </c>
      <c r="B35" s="259" t="s">
        <v>2384</v>
      </c>
      <c r="C35" s="264">
        <f ca="1">ROUND(C34*F35,0)</f>
        <v>128</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146</v>
      </c>
      <c r="D37" s="261">
        <f ca="1">D19</f>
        <v>7302.06</v>
      </c>
      <c r="E37" s="293">
        <f>'数据-取费表'!B35</f>
        <v>200</v>
      </c>
      <c r="F37" s="303"/>
      <c r="G37" s="305" t="s">
        <v>2389</v>
      </c>
    </row>
    <row r="38" spans="1:7" ht="13.5" customHeight="1">
      <c r="A38" s="954" t="s">
        <v>799</v>
      </c>
      <c r="B38" s="259" t="s">
        <v>2390</v>
      </c>
      <c r="C38" s="264">
        <f ca="1">ROUND(C34*F38,0)</f>
        <v>38</v>
      </c>
      <c r="D38" s="264"/>
      <c r="E38" s="264"/>
      <c r="F38" s="303">
        <f>'数据-取费表'!B36</f>
        <v>1.4999999999999999E-2</v>
      </c>
      <c r="G38" s="263" t="s">
        <v>2385</v>
      </c>
    </row>
    <row r="39" spans="1:7" s="258" customFormat="1" ht="13.5" customHeight="1">
      <c r="A39" s="299" t="s">
        <v>2391</v>
      </c>
      <c r="B39" s="254" t="s">
        <v>2392</v>
      </c>
      <c r="C39" s="276">
        <f ca="1">ROUND(C33*F20,0)</f>
        <v>86</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105</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102</v>
      </c>
      <c r="D42" s="282"/>
      <c r="E42" s="282"/>
      <c r="F42" s="283"/>
      <c r="G42" s="3144" t="s">
        <v>2401</v>
      </c>
    </row>
    <row r="43" spans="1:7" ht="13.5" customHeight="1">
      <c r="A43" s="954" t="s">
        <v>792</v>
      </c>
      <c r="B43" s="259" t="s">
        <v>2402</v>
      </c>
      <c r="C43" s="282">
        <f ca="1">ROUND(IF('数据-取费表'!B22&lt;=1,C39*F22*'数据-取费表'!B21/2,C39*(POWER((1+F22),'数据-取费表'!B21/2)-1)),0)</f>
        <v>3</v>
      </c>
      <c r="D43" s="282"/>
      <c r="E43" s="282"/>
      <c r="F43" s="283"/>
      <c r="G43" s="3145"/>
    </row>
    <row r="44" spans="1:7" ht="13.5" customHeight="1">
      <c r="A44" s="954" t="s">
        <v>793</v>
      </c>
      <c r="B44" s="259" t="s">
        <v>2403</v>
      </c>
      <c r="C44" s="282">
        <f ca="1">ROUND(IF('数据-取费表'!B22&lt;=1,C40*F22*'数据-取费表'!B21/2,C40*(POWER((1+F22),'数据-取费表'!B21/2)-1)),4)</f>
        <v>1.1000000000000001E-3</v>
      </c>
      <c r="D44" s="282"/>
      <c r="E44" s="282"/>
      <c r="F44" s="283"/>
      <c r="G44" s="3146"/>
    </row>
    <row r="45" spans="1:7" s="258" customFormat="1" ht="13.5" customHeight="1">
      <c r="A45" s="299" t="s">
        <v>2404</v>
      </c>
      <c r="B45" s="288" t="s">
        <v>2370</v>
      </c>
      <c r="C45" s="289">
        <f ca="1">C46</f>
        <v>443</v>
      </c>
      <c r="D45" s="279">
        <f ca="1">C47</f>
        <v>4.4999999999999997E-3</v>
      </c>
      <c r="E45" s="280" t="s">
        <v>2396</v>
      </c>
      <c r="F45" s="290"/>
      <c r="G45" s="291" t="s">
        <v>2405</v>
      </c>
    </row>
    <row r="46" spans="1:7" s="258" customFormat="1" ht="13.5" customHeight="1">
      <c r="A46" s="954" t="s">
        <v>791</v>
      </c>
      <c r="B46" s="292" t="s">
        <v>2406</v>
      </c>
      <c r="C46" s="293">
        <f ca="1">ROUND((C33+C39)*F27,0)</f>
        <v>443</v>
      </c>
      <c r="D46" s="307"/>
      <c r="E46" s="280"/>
      <c r="F46" s="290"/>
      <c r="G46" s="291"/>
    </row>
    <row r="47" spans="1:7" s="258" customFormat="1" ht="13.5" customHeight="1">
      <c r="A47" s="954" t="s">
        <v>792</v>
      </c>
      <c r="B47" s="292" t="s">
        <v>2407</v>
      </c>
      <c r="C47" s="282">
        <f ca="1">ROUND(C40*F27,4)</f>
        <v>4.4999999999999997E-3</v>
      </c>
      <c r="D47" s="307"/>
      <c r="E47" s="280"/>
      <c r="F47" s="290"/>
      <c r="G47" s="291"/>
    </row>
    <row r="48" spans="1:7" s="258" customFormat="1" ht="13.5" customHeight="1">
      <c r="A48" s="299" t="s">
        <v>2369</v>
      </c>
      <c r="B48" s="254" t="s">
        <v>2408</v>
      </c>
      <c r="C48" s="1730">
        <f>ROUND(F30/(1+'数据-取费表'!C42),4)</f>
        <v>5.33E-2</v>
      </c>
      <c r="D48" s="280" t="s">
        <v>2396</v>
      </c>
      <c r="E48" s="276"/>
      <c r="F48" s="281"/>
      <c r="G48" s="278" t="s">
        <v>2409</v>
      </c>
    </row>
    <row r="49" spans="1:7" ht="16.5" customHeight="1">
      <c r="A49" s="299" t="s">
        <v>2375</v>
      </c>
      <c r="B49" s="254" t="s">
        <v>2410</v>
      </c>
      <c r="C49" s="276">
        <f ca="1">ROUND((C33+C39+C41+C45)/(1-C40-D41-D45-C48),0)</f>
        <v>3844</v>
      </c>
      <c r="D49" s="276"/>
      <c r="E49" s="276"/>
      <c r="F49" s="308"/>
      <c r="G49" s="278" t="s">
        <v>2411</v>
      </c>
    </row>
    <row r="50" spans="1:7" s="302" customFormat="1" ht="24">
      <c r="A50" s="299" t="s">
        <v>2412</v>
      </c>
      <c r="B50" s="254" t="s">
        <v>2413</v>
      </c>
      <c r="C50" s="276"/>
      <c r="D50" s="276"/>
      <c r="E50" s="276"/>
      <c r="F50" s="308">
        <f>IF('数据-取费表'!B24=0,'数据-取费表'!N16,1)</f>
        <v>0.8</v>
      </c>
      <c r="G50" s="291" t="s">
        <v>2414</v>
      </c>
    </row>
    <row r="51" spans="1:7" ht="16.5" customHeight="1">
      <c r="A51" s="299" t="s">
        <v>2415</v>
      </c>
      <c r="B51" s="254" t="s">
        <v>2416</v>
      </c>
      <c r="C51" s="276">
        <f ca="1">ROUND(C49*F50,0)</f>
        <v>3075</v>
      </c>
      <c r="D51" s="276"/>
      <c r="E51" s="276"/>
      <c r="F51" s="308"/>
      <c r="G51" s="278" t="s">
        <v>2417</v>
      </c>
    </row>
    <row r="52" spans="1:7" s="252" customFormat="1" ht="16.5" thickBot="1">
      <c r="A52" s="309" t="s">
        <v>2418</v>
      </c>
      <c r="B52" s="310"/>
      <c r="C52" s="311">
        <f ca="1">C31+C51</f>
        <v>10052</v>
      </c>
      <c r="D52" s="310"/>
      <c r="E52" s="310"/>
      <c r="F52" s="310"/>
      <c r="G52" s="312"/>
    </row>
    <row r="55" spans="1:7" ht="15">
      <c r="B55" s="314" t="s">
        <v>2419</v>
      </c>
      <c r="C55" s="315"/>
    </row>
    <row r="56" spans="1:7">
      <c r="B56" s="317" t="s">
        <v>1509</v>
      </c>
      <c r="C56" s="319">
        <f ca="1">1-C57</f>
        <v>0.69399999999999995</v>
      </c>
    </row>
    <row r="57" spans="1:7">
      <c r="B57" s="317" t="s">
        <v>1510</v>
      </c>
      <c r="C57" s="318">
        <f ca="1">ROUND(C51/C52,3)</f>
        <v>0.30599999999999999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预评估</v>
      </c>
      <c r="C37" s="2958"/>
      <c r="D37" s="2958"/>
      <c r="E37" s="2958"/>
      <c r="F37" s="2958"/>
      <c r="G37" s="2958"/>
      <c r="H37" s="2958"/>
      <c r="I37" s="2958"/>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康正预评字2019-1-0004-P01DYGJ3号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9"/>
      <c r="C1" s="2559"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3458</v>
      </c>
      <c r="C2" s="243" t="s">
        <v>2320</v>
      </c>
      <c r="D2" s="2553" t="s">
        <v>70</v>
      </c>
      <c r="E2" s="1443" t="e">
        <f ca="1">SUMIF(INDIRECT("'"&amp;G2&amp;"'"&amp;"!A:A"),"承租人权益价值",INDIRECT("'"&amp;G2&amp;"'"&amp;"!c:c"))</f>
        <v>#REF!</v>
      </c>
      <c r="F2" s="2554" t="s">
        <v>2320</v>
      </c>
      <c r="G2" s="2555"/>
    </row>
    <row r="3" spans="1:8" s="244" customFormat="1" ht="18" customHeight="1" thickBot="1">
      <c r="A3" s="247" t="s">
        <v>2321</v>
      </c>
      <c r="B3" s="248">
        <f ca="1">ROUND(B2*10000/(IF(B1="",'数据-汇总表'!E3,INDIRECT("'数据-取费表'!k"&amp;$G$1))),0)</f>
        <v>4736</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1314371</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1314371</v>
      </c>
      <c r="D8" s="266"/>
      <c r="E8" s="264"/>
      <c r="F8" s="265"/>
      <c r="G8" s="2556"/>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180</v>
      </c>
      <c r="F9" s="265"/>
      <c r="G9" s="270"/>
    </row>
    <row r="10" spans="1:8" s="258" customFormat="1" ht="13.5" customHeight="1">
      <c r="A10" s="953" t="s">
        <v>801</v>
      </c>
      <c r="B10" s="268" t="s">
        <v>2337</v>
      </c>
      <c r="C10" s="269">
        <f ca="1">ROUND(D10*E10,0)</f>
        <v>1314371</v>
      </c>
      <c r="D10" s="1035">
        <f ca="1">IF(B1="",'数据-汇总表'!E6,IF(INDIRECT("'数据-取费表'!c"&amp;$G$1)="住宅",INDIRECT("'数据-取费表'!s"&amp;$G$1),INDIRECT("'数据-取费表'!k"&amp;$G$1)+INDIRECT("'数据-取费表'!s"&amp;$G$1)))</f>
        <v>7302.06</v>
      </c>
      <c r="E10" s="269">
        <f>'数据-取费表'!B28</f>
        <v>180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1460412</v>
      </c>
      <c r="D19" s="1039">
        <f ca="1">D9+D10</f>
        <v>7302.06</v>
      </c>
      <c r="E19" s="255">
        <f>'数据-取费表'!B31</f>
        <v>200</v>
      </c>
      <c r="F19" s="275"/>
      <c r="G19" s="2556"/>
    </row>
    <row r="20" spans="1:7" s="258" customFormat="1" ht="13.5" customHeight="1">
      <c r="A20" s="299" t="s">
        <v>2431</v>
      </c>
      <c r="B20" s="254" t="s">
        <v>2432</v>
      </c>
      <c r="C20" s="276">
        <f ca="1">ROUND((C5+C19)*F20,0)</f>
        <v>83243</v>
      </c>
      <c r="D20" s="276"/>
      <c r="E20" s="276"/>
      <c r="F20" s="277">
        <f>'数据-取费表'!B37</f>
        <v>0.03</v>
      </c>
      <c r="G20" s="278" t="s">
        <v>2433</v>
      </c>
    </row>
    <row r="21" spans="1:7" s="258" customFormat="1" ht="13.5" customHeight="1">
      <c r="A21" s="299" t="s">
        <v>2434</v>
      </c>
      <c r="B21" s="254" t="s">
        <v>2435</v>
      </c>
      <c r="C21" s="279">
        <f>F21</f>
        <v>0.03</v>
      </c>
      <c r="D21" s="280" t="s">
        <v>2436</v>
      </c>
      <c r="E21" s="276"/>
      <c r="F21" s="277">
        <f>'数据-取费表'!B38</f>
        <v>0.03</v>
      </c>
      <c r="G21" s="278" t="s">
        <v>2437</v>
      </c>
    </row>
    <row r="22" spans="1:7" s="258" customFormat="1" ht="13.5" customHeight="1">
      <c r="A22" s="299" t="s">
        <v>2438</v>
      </c>
      <c r="B22" s="254" t="s">
        <v>2439</v>
      </c>
      <c r="C22" s="1383">
        <f ca="1">ROUND(SUM(C23:C25),0)</f>
        <v>202980</v>
      </c>
      <c r="D22" s="279">
        <f ca="1">C26</f>
        <v>1.1000000000000001E-3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94752</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105280</v>
      </c>
      <c r="D24" s="282"/>
      <c r="E24" s="282"/>
      <c r="F24" s="283"/>
      <c r="G24" s="284" t="s">
        <v>2443</v>
      </c>
    </row>
    <row r="25" spans="1:7" s="258" customFormat="1" ht="24">
      <c r="A25" s="954" t="s">
        <v>2333</v>
      </c>
      <c r="B25" s="259" t="s">
        <v>2444</v>
      </c>
      <c r="C25" s="1384">
        <f ca="1">ROUND(IF('数据-取费表'!B22&lt;=1,C20*F22*'数据-取费表'!B22/2,C20*(POWER((1+F22),'数据-取费表'!B22/2)-1)),0)</f>
        <v>2948</v>
      </c>
      <c r="D25" s="282"/>
      <c r="E25" s="285"/>
      <c r="F25" s="283"/>
      <c r="G25" s="286" t="s">
        <v>2445</v>
      </c>
    </row>
    <row r="26" spans="1:7" s="258" customFormat="1">
      <c r="A26" s="954" t="s">
        <v>795</v>
      </c>
      <c r="B26" s="259" t="s">
        <v>2368</v>
      </c>
      <c r="C26" s="282">
        <f ca="1">ROUND(IF('数据-取费表'!B22&lt;=1,F21*F22*'数据-取费表'!B22/2,F21*(POWER((1+F22),'数据-取费表'!B22/2)-1)),4)</f>
        <v>1.1000000000000001E-3</v>
      </c>
      <c r="D26" s="282"/>
      <c r="E26" s="285"/>
      <c r="F26" s="283"/>
      <c r="G26" s="287"/>
    </row>
    <row r="27" spans="1:7" s="258" customFormat="1" ht="24.75">
      <c r="A27" s="299" t="s">
        <v>2369</v>
      </c>
      <c r="B27" s="288" t="s">
        <v>2370</v>
      </c>
      <c r="C27" s="289">
        <f ca="1">C28</f>
        <v>428704</v>
      </c>
      <c r="D27" s="279">
        <f ca="1">C29</f>
        <v>4.4999999999999997E-3</v>
      </c>
      <c r="E27" s="280" t="s">
        <v>2371</v>
      </c>
      <c r="F27" s="290">
        <f ca="1">IF(B1="",'数据-取费表'!Q16,INDIRECT("'数据-取费表'!q"&amp;$G$1))</f>
        <v>0.15</v>
      </c>
      <c r="G27" s="291" t="s">
        <v>2372</v>
      </c>
    </row>
    <row r="28" spans="1:7" s="258" customFormat="1" ht="13.5" customHeight="1">
      <c r="A28" s="954" t="s">
        <v>791</v>
      </c>
      <c r="B28" s="292" t="s">
        <v>2373</v>
      </c>
      <c r="C28" s="293">
        <f ca="1">ROUND((C5+C19+C20)*F27,0)</f>
        <v>428704</v>
      </c>
      <c r="D28" s="279"/>
      <c r="E28" s="280"/>
      <c r="F28" s="290"/>
      <c r="G28" s="291"/>
    </row>
    <row r="29" spans="1:7" s="258" customFormat="1" ht="13.5" customHeight="1">
      <c r="A29" s="954" t="s">
        <v>792</v>
      </c>
      <c r="B29" s="292" t="s">
        <v>2374</v>
      </c>
      <c r="C29" s="282">
        <f ca="1">ROUND(C21*F27,4)</f>
        <v>4.4999999999999997E-3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3830216</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28678841</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25557210</v>
      </c>
      <c r="D34" s="261"/>
      <c r="E34" s="264"/>
      <c r="F34" s="301"/>
      <c r="G34" s="263"/>
    </row>
    <row r="35" spans="1:7" ht="13.5" customHeight="1">
      <c r="A35" s="954" t="s">
        <v>796</v>
      </c>
      <c r="B35" s="259" t="s">
        <v>2384</v>
      </c>
      <c r="C35" s="264">
        <f ca="1">ROUND(C34*F35,0)</f>
        <v>1277861</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1460412</v>
      </c>
      <c r="D37" s="261">
        <f ca="1">D19</f>
        <v>7302.06</v>
      </c>
      <c r="E37" s="293">
        <f>'数据-取费表'!B35</f>
        <v>200</v>
      </c>
      <c r="F37" s="303"/>
      <c r="G37" s="305"/>
    </row>
    <row r="38" spans="1:7" ht="13.5" customHeight="1">
      <c r="A38" s="954" t="s">
        <v>799</v>
      </c>
      <c r="B38" s="259" t="s">
        <v>2390</v>
      </c>
      <c r="C38" s="264">
        <f ca="1">ROUND(C34*F38,0)</f>
        <v>383358</v>
      </c>
      <c r="D38" s="264"/>
      <c r="E38" s="264"/>
      <c r="F38" s="303">
        <f>'数据-取费表'!B36</f>
        <v>1.4999999999999999E-2</v>
      </c>
      <c r="G38" s="263" t="s">
        <v>2385</v>
      </c>
    </row>
    <row r="39" spans="1:7" s="258" customFormat="1" ht="13.5" customHeight="1">
      <c r="A39" s="299" t="s">
        <v>2391</v>
      </c>
      <c r="B39" s="254" t="s">
        <v>2392</v>
      </c>
      <c r="C39" s="276">
        <f ca="1">ROUND(C33*F20,0)</f>
        <v>860365</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1046206</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1015734</v>
      </c>
      <c r="D42" s="282"/>
      <c r="E42" s="282"/>
      <c r="F42" s="283"/>
      <c r="G42" s="3144" t="s">
        <v>2448</v>
      </c>
    </row>
    <row r="43" spans="1:7" ht="13.5" customHeight="1">
      <c r="A43" s="954" t="s">
        <v>792</v>
      </c>
      <c r="B43" s="259" t="s">
        <v>2402</v>
      </c>
      <c r="C43" s="282">
        <f ca="1">ROUND(IF('数据-取费表'!B22&lt;=1,C39*F22*'数据-取费表'!B20/2,C39*(POWER((1+F22),'数据-取费表'!B20/2)-1)),0)</f>
        <v>30472</v>
      </c>
      <c r="D43" s="282"/>
      <c r="E43" s="282"/>
      <c r="F43" s="283"/>
      <c r="G43" s="3145"/>
    </row>
    <row r="44" spans="1:7" ht="13.5" customHeight="1">
      <c r="A44" s="954" t="s">
        <v>793</v>
      </c>
      <c r="B44" s="259" t="s">
        <v>2403</v>
      </c>
      <c r="C44" s="282">
        <f ca="1">ROUND(IF('数据-取费表'!B22&lt;=1,C40*F22*'数据-取费表'!B20/2,C40*(POWER((1+F22),'数据-取费表'!B20/2)-1)),4)</f>
        <v>1.1000000000000001E-3</v>
      </c>
      <c r="D44" s="282"/>
      <c r="E44" s="282"/>
      <c r="F44" s="283"/>
      <c r="G44" s="3146"/>
    </row>
    <row r="45" spans="1:7" s="258" customFormat="1" ht="13.5" customHeight="1">
      <c r="A45" s="299" t="s">
        <v>2404</v>
      </c>
      <c r="B45" s="288" t="s">
        <v>2370</v>
      </c>
      <c r="C45" s="289">
        <f ca="1">C46</f>
        <v>4430881</v>
      </c>
      <c r="D45" s="279">
        <f ca="1">C47</f>
        <v>4.4999999999999997E-3</v>
      </c>
      <c r="E45" s="280" t="s">
        <v>2396</v>
      </c>
      <c r="F45" s="290"/>
      <c r="G45" s="291" t="s">
        <v>2405</v>
      </c>
    </row>
    <row r="46" spans="1:7" s="258" customFormat="1" ht="13.5" customHeight="1">
      <c r="A46" s="954" t="s">
        <v>791</v>
      </c>
      <c r="B46" s="292" t="s">
        <v>2406</v>
      </c>
      <c r="C46" s="293">
        <f ca="1">ROUND((C33+C39)*F27,0)</f>
        <v>4430881</v>
      </c>
      <c r="D46" s="307"/>
      <c r="E46" s="280"/>
      <c r="F46" s="290"/>
      <c r="G46" s="291"/>
    </row>
    <row r="47" spans="1:7" s="258" customFormat="1" ht="13.5" customHeight="1">
      <c r="A47" s="954" t="s">
        <v>792</v>
      </c>
      <c r="B47" s="292" t="s">
        <v>2407</v>
      </c>
      <c r="C47" s="282">
        <f ca="1">ROUND(C40*F27,4)</f>
        <v>4.4999999999999997E-3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38432985</v>
      </c>
      <c r="D49" s="276"/>
      <c r="E49" s="276"/>
      <c r="F49" s="308"/>
      <c r="G49" s="278" t="s">
        <v>2411</v>
      </c>
    </row>
    <row r="50" spans="1:7" s="302" customFormat="1">
      <c r="A50" s="299" t="s">
        <v>2412</v>
      </c>
      <c r="B50" s="254" t="s">
        <v>2413</v>
      </c>
      <c r="C50" s="276"/>
      <c r="D50" s="276"/>
      <c r="E50" s="276"/>
      <c r="F50" s="308">
        <f>IF('数据-取费表'!B24=0,'数据-取费表'!N16,1)</f>
        <v>0.8</v>
      </c>
      <c r="G50" s="291"/>
    </row>
    <row r="51" spans="1:7" ht="16.5" customHeight="1">
      <c r="A51" s="299" t="s">
        <v>2415</v>
      </c>
      <c r="B51" s="254" t="s">
        <v>2450</v>
      </c>
      <c r="C51" s="276">
        <f ca="1">ROUND(C49*F50,0)</f>
        <v>30746388</v>
      </c>
      <c r="D51" s="276"/>
      <c r="E51" s="276"/>
      <c r="F51" s="308"/>
      <c r="G51" s="278" t="s">
        <v>2417</v>
      </c>
    </row>
    <row r="52" spans="1:7" s="252" customFormat="1" ht="16.5" thickBot="1">
      <c r="A52" s="309" t="s">
        <v>2418</v>
      </c>
      <c r="B52" s="310"/>
      <c r="C52" s="311">
        <f ca="1">C31+C51</f>
        <v>34576604</v>
      </c>
      <c r="D52" s="310"/>
      <c r="E52" s="310"/>
      <c r="F52" s="310"/>
      <c r="G52" s="312"/>
    </row>
    <row r="55" spans="1:7" ht="15">
      <c r="B55" s="314" t="s">
        <v>2419</v>
      </c>
      <c r="C55" s="315"/>
    </row>
    <row r="56" spans="1:7">
      <c r="B56" s="317" t="s">
        <v>1509</v>
      </c>
      <c r="C56" s="319">
        <f ca="1">1-C57</f>
        <v>0.11099999999999999</v>
      </c>
    </row>
    <row r="57" spans="1:7">
      <c r="B57" s="317" t="s">
        <v>1510</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3"/>
      <c r="C1" s="1584"/>
      <c r="D1" s="1582"/>
      <c r="E1" s="320"/>
      <c r="F1" s="320"/>
      <c r="G1" s="1583"/>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60" t="s">
        <v>2457</v>
      </c>
      <c r="D5" s="2560" t="s">
        <v>2458</v>
      </c>
      <c r="E5" s="2560" t="s">
        <v>2459</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0.05</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7302.06</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7302.06</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2"/>
      <c r="H18" s="1579"/>
      <c r="I18" s="2563"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180</v>
      </c>
      <c r="F19" s="979"/>
      <c r="G19" s="15"/>
      <c r="H19" s="1581"/>
      <c r="I19" s="984"/>
      <c r="J19" s="984"/>
      <c r="K19" s="985"/>
    </row>
    <row r="20" spans="1:33" s="978" customFormat="1" ht="13.5" customHeight="1">
      <c r="A20" s="974" t="s">
        <v>806</v>
      </c>
      <c r="B20" s="975" t="s">
        <v>2487</v>
      </c>
      <c r="C20" s="24">
        <f ca="1">ROUND(D20*E20/10000,0)</f>
        <v>131</v>
      </c>
      <c r="D20" s="1036">
        <f ca="1">IF(C1="",'数据-汇总表'!E6,IF(INDIRECT("'数据-取费表'!c"&amp;$K$1)="住宅",INDIRECT("'数据-取费表'!s"&amp;$K$1),INDIRECT("'数据-取费表'!k"&amp;$K$1)+INDIRECT("'数据-取费表'!s"&amp;$K$1)))</f>
        <v>7302.06</v>
      </c>
      <c r="E20" s="24">
        <f>'数据-取费表'!B28</f>
        <v>180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0.03</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2501</v>
      </c>
      <c r="B28" s="2565" t="s">
        <v>2502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6"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topLeftCell="C1" workbookViewId="0">
      <selection activeCell="A4" sqref="A4"/>
    </sheetView>
  </sheetViews>
  <sheetFormatPr defaultRowHeight="12.75"/>
  <cols>
    <col min="1" max="1" width="39.25" style="2952" customWidth="1"/>
    <col min="2" max="2" width="6.25" style="2952" customWidth="1"/>
    <col min="3" max="3" width="11.75" style="2952" customWidth="1"/>
    <col min="4" max="5" width="13.875" style="2952" customWidth="1"/>
    <col min="6" max="6" width="11.75"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37.625" style="2952" customWidth="1"/>
    <col min="14" max="14" width="7.875" style="2952" customWidth="1"/>
    <col min="15" max="256" width="9" style="2952"/>
    <col min="257" max="257" width="39.25" style="2952" customWidth="1"/>
    <col min="258" max="258" width="6.25" style="2952" customWidth="1"/>
    <col min="259" max="259" width="11.75" style="2952" customWidth="1"/>
    <col min="260" max="261" width="13.875" style="2952" customWidth="1"/>
    <col min="262" max="262" width="11.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7.625" style="2952" customWidth="1"/>
    <col min="270" max="270" width="7.875" style="2952" customWidth="1"/>
    <col min="271" max="512" width="9" style="2952"/>
    <col min="513" max="513" width="39.25" style="2952" customWidth="1"/>
    <col min="514" max="514" width="6.25" style="2952" customWidth="1"/>
    <col min="515" max="515" width="11.75" style="2952" customWidth="1"/>
    <col min="516" max="517" width="13.875" style="2952" customWidth="1"/>
    <col min="518" max="518" width="11.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7.625" style="2952" customWidth="1"/>
    <col min="526" max="526" width="7.875" style="2952" customWidth="1"/>
    <col min="527" max="768" width="9" style="2952"/>
    <col min="769" max="769" width="39.25" style="2952" customWidth="1"/>
    <col min="770" max="770" width="6.25" style="2952" customWidth="1"/>
    <col min="771" max="771" width="11.75" style="2952" customWidth="1"/>
    <col min="772" max="773" width="13.875" style="2952" customWidth="1"/>
    <col min="774" max="774" width="11.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7.625" style="2952" customWidth="1"/>
    <col min="782" max="782" width="7.875" style="2952" customWidth="1"/>
    <col min="783" max="1024" width="9" style="2952"/>
    <col min="1025" max="1025" width="39.25" style="2952" customWidth="1"/>
    <col min="1026" max="1026" width="6.25" style="2952" customWidth="1"/>
    <col min="1027" max="1027" width="11.75" style="2952" customWidth="1"/>
    <col min="1028" max="1029" width="13.875" style="2952" customWidth="1"/>
    <col min="1030" max="1030" width="11.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7.625" style="2952" customWidth="1"/>
    <col min="1038" max="1038" width="7.875" style="2952" customWidth="1"/>
    <col min="1039" max="1280" width="9" style="2952"/>
    <col min="1281" max="1281" width="39.25" style="2952" customWidth="1"/>
    <col min="1282" max="1282" width="6.25" style="2952" customWidth="1"/>
    <col min="1283" max="1283" width="11.75" style="2952" customWidth="1"/>
    <col min="1284" max="1285" width="13.875" style="2952" customWidth="1"/>
    <col min="1286" max="1286" width="11.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7.625" style="2952" customWidth="1"/>
    <col min="1294" max="1294" width="7.875" style="2952" customWidth="1"/>
    <col min="1295" max="1536" width="9" style="2952"/>
    <col min="1537" max="1537" width="39.25" style="2952" customWidth="1"/>
    <col min="1538" max="1538" width="6.25" style="2952" customWidth="1"/>
    <col min="1539" max="1539" width="11.75" style="2952" customWidth="1"/>
    <col min="1540" max="1541" width="13.875" style="2952" customWidth="1"/>
    <col min="1542" max="1542" width="11.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7.625" style="2952" customWidth="1"/>
    <col min="1550" max="1550" width="7.875" style="2952" customWidth="1"/>
    <col min="1551" max="1792" width="9" style="2952"/>
    <col min="1793" max="1793" width="39.25" style="2952" customWidth="1"/>
    <col min="1794" max="1794" width="6.25" style="2952" customWidth="1"/>
    <col min="1795" max="1795" width="11.75" style="2952" customWidth="1"/>
    <col min="1796" max="1797" width="13.875" style="2952" customWidth="1"/>
    <col min="1798" max="1798" width="11.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7.625" style="2952" customWidth="1"/>
    <col min="1806" max="1806" width="7.875" style="2952" customWidth="1"/>
    <col min="1807" max="2048" width="9" style="2952"/>
    <col min="2049" max="2049" width="39.25" style="2952" customWidth="1"/>
    <col min="2050" max="2050" width="6.25" style="2952" customWidth="1"/>
    <col min="2051" max="2051" width="11.75" style="2952" customWidth="1"/>
    <col min="2052" max="2053" width="13.875" style="2952" customWidth="1"/>
    <col min="2054" max="2054" width="11.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7.625" style="2952" customWidth="1"/>
    <col min="2062" max="2062" width="7.875" style="2952" customWidth="1"/>
    <col min="2063" max="2304" width="9" style="2952"/>
    <col min="2305" max="2305" width="39.25" style="2952" customWidth="1"/>
    <col min="2306" max="2306" width="6.25" style="2952" customWidth="1"/>
    <col min="2307" max="2307" width="11.75" style="2952" customWidth="1"/>
    <col min="2308" max="2309" width="13.875" style="2952" customWidth="1"/>
    <col min="2310" max="2310" width="11.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7.625" style="2952" customWidth="1"/>
    <col min="2318" max="2318" width="7.875" style="2952" customWidth="1"/>
    <col min="2319" max="2560" width="9" style="2952"/>
    <col min="2561" max="2561" width="39.25" style="2952" customWidth="1"/>
    <col min="2562" max="2562" width="6.25" style="2952" customWidth="1"/>
    <col min="2563" max="2563" width="11.75" style="2952" customWidth="1"/>
    <col min="2564" max="2565" width="13.875" style="2952" customWidth="1"/>
    <col min="2566" max="2566" width="11.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7.625" style="2952" customWidth="1"/>
    <col min="2574" max="2574" width="7.875" style="2952" customWidth="1"/>
    <col min="2575" max="2816" width="9" style="2952"/>
    <col min="2817" max="2817" width="39.25" style="2952" customWidth="1"/>
    <col min="2818" max="2818" width="6.25" style="2952" customWidth="1"/>
    <col min="2819" max="2819" width="11.75" style="2952" customWidth="1"/>
    <col min="2820" max="2821" width="13.875" style="2952" customWidth="1"/>
    <col min="2822" max="2822" width="11.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7.625" style="2952" customWidth="1"/>
    <col min="2830" max="2830" width="7.875" style="2952" customWidth="1"/>
    <col min="2831" max="3072" width="9" style="2952"/>
    <col min="3073" max="3073" width="39.25" style="2952" customWidth="1"/>
    <col min="3074" max="3074" width="6.25" style="2952" customWidth="1"/>
    <col min="3075" max="3075" width="11.75" style="2952" customWidth="1"/>
    <col min="3076" max="3077" width="13.875" style="2952" customWidth="1"/>
    <col min="3078" max="3078" width="11.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7.625" style="2952" customWidth="1"/>
    <col min="3086" max="3086" width="7.875" style="2952" customWidth="1"/>
    <col min="3087" max="3328" width="9" style="2952"/>
    <col min="3329" max="3329" width="39.25" style="2952" customWidth="1"/>
    <col min="3330" max="3330" width="6.25" style="2952" customWidth="1"/>
    <col min="3331" max="3331" width="11.75" style="2952" customWidth="1"/>
    <col min="3332" max="3333" width="13.875" style="2952" customWidth="1"/>
    <col min="3334" max="3334" width="11.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7.625" style="2952" customWidth="1"/>
    <col min="3342" max="3342" width="7.875" style="2952" customWidth="1"/>
    <col min="3343" max="3584" width="9" style="2952"/>
    <col min="3585" max="3585" width="39.25" style="2952" customWidth="1"/>
    <col min="3586" max="3586" width="6.25" style="2952" customWidth="1"/>
    <col min="3587" max="3587" width="11.75" style="2952" customWidth="1"/>
    <col min="3588" max="3589" width="13.875" style="2952" customWidth="1"/>
    <col min="3590" max="3590" width="11.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7.625" style="2952" customWidth="1"/>
    <col min="3598" max="3598" width="7.875" style="2952" customWidth="1"/>
    <col min="3599" max="3840" width="9" style="2952"/>
    <col min="3841" max="3841" width="39.25" style="2952" customWidth="1"/>
    <col min="3842" max="3842" width="6.25" style="2952" customWidth="1"/>
    <col min="3843" max="3843" width="11.75" style="2952" customWidth="1"/>
    <col min="3844" max="3845" width="13.875" style="2952" customWidth="1"/>
    <col min="3846" max="3846" width="11.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7.625" style="2952" customWidth="1"/>
    <col min="3854" max="3854" width="7.875" style="2952" customWidth="1"/>
    <col min="3855" max="4096" width="9" style="2952"/>
    <col min="4097" max="4097" width="39.25" style="2952" customWidth="1"/>
    <col min="4098" max="4098" width="6.25" style="2952" customWidth="1"/>
    <col min="4099" max="4099" width="11.75" style="2952" customWidth="1"/>
    <col min="4100" max="4101" width="13.875" style="2952" customWidth="1"/>
    <col min="4102" max="4102" width="11.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7.625" style="2952" customWidth="1"/>
    <col min="4110" max="4110" width="7.875" style="2952" customWidth="1"/>
    <col min="4111" max="4352" width="9" style="2952"/>
    <col min="4353" max="4353" width="39.25" style="2952" customWidth="1"/>
    <col min="4354" max="4354" width="6.25" style="2952" customWidth="1"/>
    <col min="4355" max="4355" width="11.75" style="2952" customWidth="1"/>
    <col min="4356" max="4357" width="13.875" style="2952" customWidth="1"/>
    <col min="4358" max="4358" width="11.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7.625" style="2952" customWidth="1"/>
    <col min="4366" max="4366" width="7.875" style="2952" customWidth="1"/>
    <col min="4367" max="4608" width="9" style="2952"/>
    <col min="4609" max="4609" width="39.25" style="2952" customWidth="1"/>
    <col min="4610" max="4610" width="6.25" style="2952" customWidth="1"/>
    <col min="4611" max="4611" width="11.75" style="2952" customWidth="1"/>
    <col min="4612" max="4613" width="13.875" style="2952" customWidth="1"/>
    <col min="4614" max="4614" width="11.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7.625" style="2952" customWidth="1"/>
    <col min="4622" max="4622" width="7.875" style="2952" customWidth="1"/>
    <col min="4623" max="4864" width="9" style="2952"/>
    <col min="4865" max="4865" width="39.25" style="2952" customWidth="1"/>
    <col min="4866" max="4866" width="6.25" style="2952" customWidth="1"/>
    <col min="4867" max="4867" width="11.75" style="2952" customWidth="1"/>
    <col min="4868" max="4869" width="13.875" style="2952" customWidth="1"/>
    <col min="4870" max="4870" width="11.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7.625" style="2952" customWidth="1"/>
    <col min="4878" max="4878" width="7.875" style="2952" customWidth="1"/>
    <col min="4879" max="5120" width="9" style="2952"/>
    <col min="5121" max="5121" width="39.25" style="2952" customWidth="1"/>
    <col min="5122" max="5122" width="6.25" style="2952" customWidth="1"/>
    <col min="5123" max="5123" width="11.75" style="2952" customWidth="1"/>
    <col min="5124" max="5125" width="13.875" style="2952" customWidth="1"/>
    <col min="5126" max="5126" width="11.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7.625" style="2952" customWidth="1"/>
    <col min="5134" max="5134" width="7.875" style="2952" customWidth="1"/>
    <col min="5135" max="5376" width="9" style="2952"/>
    <col min="5377" max="5377" width="39.25" style="2952" customWidth="1"/>
    <col min="5378" max="5378" width="6.25" style="2952" customWidth="1"/>
    <col min="5379" max="5379" width="11.75" style="2952" customWidth="1"/>
    <col min="5380" max="5381" width="13.875" style="2952" customWidth="1"/>
    <col min="5382" max="5382" width="11.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7.625" style="2952" customWidth="1"/>
    <col min="5390" max="5390" width="7.875" style="2952" customWidth="1"/>
    <col min="5391" max="5632" width="9" style="2952"/>
    <col min="5633" max="5633" width="39.25" style="2952" customWidth="1"/>
    <col min="5634" max="5634" width="6.25" style="2952" customWidth="1"/>
    <col min="5635" max="5635" width="11.75" style="2952" customWidth="1"/>
    <col min="5636" max="5637" width="13.875" style="2952" customWidth="1"/>
    <col min="5638" max="5638" width="11.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7.625" style="2952" customWidth="1"/>
    <col min="5646" max="5646" width="7.875" style="2952" customWidth="1"/>
    <col min="5647" max="5888" width="9" style="2952"/>
    <col min="5889" max="5889" width="39.25" style="2952" customWidth="1"/>
    <col min="5890" max="5890" width="6.25" style="2952" customWidth="1"/>
    <col min="5891" max="5891" width="11.75" style="2952" customWidth="1"/>
    <col min="5892" max="5893" width="13.875" style="2952" customWidth="1"/>
    <col min="5894" max="5894" width="11.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7.625" style="2952" customWidth="1"/>
    <col min="5902" max="5902" width="7.875" style="2952" customWidth="1"/>
    <col min="5903" max="6144" width="9" style="2952"/>
    <col min="6145" max="6145" width="39.25" style="2952" customWidth="1"/>
    <col min="6146" max="6146" width="6.25" style="2952" customWidth="1"/>
    <col min="6147" max="6147" width="11.75" style="2952" customWidth="1"/>
    <col min="6148" max="6149" width="13.875" style="2952" customWidth="1"/>
    <col min="6150" max="6150" width="11.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7.625" style="2952" customWidth="1"/>
    <col min="6158" max="6158" width="7.875" style="2952" customWidth="1"/>
    <col min="6159" max="6400" width="9" style="2952"/>
    <col min="6401" max="6401" width="39.25" style="2952" customWidth="1"/>
    <col min="6402" max="6402" width="6.25" style="2952" customWidth="1"/>
    <col min="6403" max="6403" width="11.75" style="2952" customWidth="1"/>
    <col min="6404" max="6405" width="13.875" style="2952" customWidth="1"/>
    <col min="6406" max="6406" width="11.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7.625" style="2952" customWidth="1"/>
    <col min="6414" max="6414" width="7.875" style="2952" customWidth="1"/>
    <col min="6415" max="6656" width="9" style="2952"/>
    <col min="6657" max="6657" width="39.25" style="2952" customWidth="1"/>
    <col min="6658" max="6658" width="6.25" style="2952" customWidth="1"/>
    <col min="6659" max="6659" width="11.75" style="2952" customWidth="1"/>
    <col min="6660" max="6661" width="13.875" style="2952" customWidth="1"/>
    <col min="6662" max="6662" width="11.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7.625" style="2952" customWidth="1"/>
    <col min="6670" max="6670" width="7.875" style="2952" customWidth="1"/>
    <col min="6671" max="6912" width="9" style="2952"/>
    <col min="6913" max="6913" width="39.25" style="2952" customWidth="1"/>
    <col min="6914" max="6914" width="6.25" style="2952" customWidth="1"/>
    <col min="6915" max="6915" width="11.75" style="2952" customWidth="1"/>
    <col min="6916" max="6917" width="13.875" style="2952" customWidth="1"/>
    <col min="6918" max="6918" width="11.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7.625" style="2952" customWidth="1"/>
    <col min="6926" max="6926" width="7.875" style="2952" customWidth="1"/>
    <col min="6927" max="7168" width="9" style="2952"/>
    <col min="7169" max="7169" width="39.25" style="2952" customWidth="1"/>
    <col min="7170" max="7170" width="6.25" style="2952" customWidth="1"/>
    <col min="7171" max="7171" width="11.75" style="2952" customWidth="1"/>
    <col min="7172" max="7173" width="13.875" style="2952" customWidth="1"/>
    <col min="7174" max="7174" width="11.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7.625" style="2952" customWidth="1"/>
    <col min="7182" max="7182" width="7.875" style="2952" customWidth="1"/>
    <col min="7183" max="7424" width="9" style="2952"/>
    <col min="7425" max="7425" width="39.25" style="2952" customWidth="1"/>
    <col min="7426" max="7426" width="6.25" style="2952" customWidth="1"/>
    <col min="7427" max="7427" width="11.75" style="2952" customWidth="1"/>
    <col min="7428" max="7429" width="13.875" style="2952" customWidth="1"/>
    <col min="7430" max="7430" width="11.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7.625" style="2952" customWidth="1"/>
    <col min="7438" max="7438" width="7.875" style="2952" customWidth="1"/>
    <col min="7439" max="7680" width="9" style="2952"/>
    <col min="7681" max="7681" width="39.25" style="2952" customWidth="1"/>
    <col min="7682" max="7682" width="6.25" style="2952" customWidth="1"/>
    <col min="7683" max="7683" width="11.75" style="2952" customWidth="1"/>
    <col min="7684" max="7685" width="13.875" style="2952" customWidth="1"/>
    <col min="7686" max="7686" width="11.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7.625" style="2952" customWidth="1"/>
    <col min="7694" max="7694" width="7.875" style="2952" customWidth="1"/>
    <col min="7695" max="7936" width="9" style="2952"/>
    <col min="7937" max="7937" width="39.25" style="2952" customWidth="1"/>
    <col min="7938" max="7938" width="6.25" style="2952" customWidth="1"/>
    <col min="7939" max="7939" width="11.75" style="2952" customWidth="1"/>
    <col min="7940" max="7941" width="13.875" style="2952" customWidth="1"/>
    <col min="7942" max="7942" width="11.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7.625" style="2952" customWidth="1"/>
    <col min="7950" max="7950" width="7.875" style="2952" customWidth="1"/>
    <col min="7951" max="8192" width="9" style="2952"/>
    <col min="8193" max="8193" width="39.25" style="2952" customWidth="1"/>
    <col min="8194" max="8194" width="6.25" style="2952" customWidth="1"/>
    <col min="8195" max="8195" width="11.75" style="2952" customWidth="1"/>
    <col min="8196" max="8197" width="13.875" style="2952" customWidth="1"/>
    <col min="8198" max="8198" width="11.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7.625" style="2952" customWidth="1"/>
    <col min="8206" max="8206" width="7.875" style="2952" customWidth="1"/>
    <col min="8207" max="8448" width="9" style="2952"/>
    <col min="8449" max="8449" width="39.25" style="2952" customWidth="1"/>
    <col min="8450" max="8450" width="6.25" style="2952" customWidth="1"/>
    <col min="8451" max="8451" width="11.75" style="2952" customWidth="1"/>
    <col min="8452" max="8453" width="13.875" style="2952" customWidth="1"/>
    <col min="8454" max="8454" width="11.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7.625" style="2952" customWidth="1"/>
    <col min="8462" max="8462" width="7.875" style="2952" customWidth="1"/>
    <col min="8463" max="8704" width="9" style="2952"/>
    <col min="8705" max="8705" width="39.25" style="2952" customWidth="1"/>
    <col min="8706" max="8706" width="6.25" style="2952" customWidth="1"/>
    <col min="8707" max="8707" width="11.75" style="2952" customWidth="1"/>
    <col min="8708" max="8709" width="13.875" style="2952" customWidth="1"/>
    <col min="8710" max="8710" width="11.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7.625" style="2952" customWidth="1"/>
    <col min="8718" max="8718" width="7.875" style="2952" customWidth="1"/>
    <col min="8719" max="8960" width="9" style="2952"/>
    <col min="8961" max="8961" width="39.25" style="2952" customWidth="1"/>
    <col min="8962" max="8962" width="6.25" style="2952" customWidth="1"/>
    <col min="8963" max="8963" width="11.75" style="2952" customWidth="1"/>
    <col min="8964" max="8965" width="13.875" style="2952" customWidth="1"/>
    <col min="8966" max="8966" width="11.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7.625" style="2952" customWidth="1"/>
    <col min="8974" max="8974" width="7.875" style="2952" customWidth="1"/>
    <col min="8975" max="9216" width="9" style="2952"/>
    <col min="9217" max="9217" width="39.25" style="2952" customWidth="1"/>
    <col min="9218" max="9218" width="6.25" style="2952" customWidth="1"/>
    <col min="9219" max="9219" width="11.75" style="2952" customWidth="1"/>
    <col min="9220" max="9221" width="13.875" style="2952" customWidth="1"/>
    <col min="9222" max="9222" width="11.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7.625" style="2952" customWidth="1"/>
    <col min="9230" max="9230" width="7.875" style="2952" customWidth="1"/>
    <col min="9231" max="9472" width="9" style="2952"/>
    <col min="9473" max="9473" width="39.25" style="2952" customWidth="1"/>
    <col min="9474" max="9474" width="6.25" style="2952" customWidth="1"/>
    <col min="9475" max="9475" width="11.75" style="2952" customWidth="1"/>
    <col min="9476" max="9477" width="13.875" style="2952" customWidth="1"/>
    <col min="9478" max="9478" width="11.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7.625" style="2952" customWidth="1"/>
    <col min="9486" max="9486" width="7.875" style="2952" customWidth="1"/>
    <col min="9487" max="9728" width="9" style="2952"/>
    <col min="9729" max="9729" width="39.25" style="2952" customWidth="1"/>
    <col min="9730" max="9730" width="6.25" style="2952" customWidth="1"/>
    <col min="9731" max="9731" width="11.75" style="2952" customWidth="1"/>
    <col min="9732" max="9733" width="13.875" style="2952" customWidth="1"/>
    <col min="9734" max="9734" width="11.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7.625" style="2952" customWidth="1"/>
    <col min="9742" max="9742" width="7.875" style="2952" customWidth="1"/>
    <col min="9743" max="9984" width="9" style="2952"/>
    <col min="9985" max="9985" width="39.25" style="2952" customWidth="1"/>
    <col min="9986" max="9986" width="6.25" style="2952" customWidth="1"/>
    <col min="9987" max="9987" width="11.75" style="2952" customWidth="1"/>
    <col min="9988" max="9989" width="13.875" style="2952" customWidth="1"/>
    <col min="9990" max="9990" width="11.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7.625" style="2952" customWidth="1"/>
    <col min="9998" max="9998" width="7.875" style="2952" customWidth="1"/>
    <col min="9999" max="10240" width="9" style="2952"/>
    <col min="10241" max="10241" width="39.25" style="2952" customWidth="1"/>
    <col min="10242" max="10242" width="6.25" style="2952" customWidth="1"/>
    <col min="10243" max="10243" width="11.75" style="2952" customWidth="1"/>
    <col min="10244" max="10245" width="13.875" style="2952" customWidth="1"/>
    <col min="10246" max="10246" width="11.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7.625" style="2952" customWidth="1"/>
    <col min="10254" max="10254" width="7.875" style="2952" customWidth="1"/>
    <col min="10255" max="10496" width="9" style="2952"/>
    <col min="10497" max="10497" width="39.25" style="2952" customWidth="1"/>
    <col min="10498" max="10498" width="6.25" style="2952" customWidth="1"/>
    <col min="10499" max="10499" width="11.75" style="2952" customWidth="1"/>
    <col min="10500" max="10501" width="13.875" style="2952" customWidth="1"/>
    <col min="10502" max="10502" width="11.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7.625" style="2952" customWidth="1"/>
    <col min="10510" max="10510" width="7.875" style="2952" customWidth="1"/>
    <col min="10511" max="10752" width="9" style="2952"/>
    <col min="10753" max="10753" width="39.25" style="2952" customWidth="1"/>
    <col min="10754" max="10754" width="6.25" style="2952" customWidth="1"/>
    <col min="10755" max="10755" width="11.75" style="2952" customWidth="1"/>
    <col min="10756" max="10757" width="13.875" style="2952" customWidth="1"/>
    <col min="10758" max="10758" width="11.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7.625" style="2952" customWidth="1"/>
    <col min="10766" max="10766" width="7.875" style="2952" customWidth="1"/>
    <col min="10767" max="11008" width="9" style="2952"/>
    <col min="11009" max="11009" width="39.25" style="2952" customWidth="1"/>
    <col min="11010" max="11010" width="6.25" style="2952" customWidth="1"/>
    <col min="11011" max="11011" width="11.75" style="2952" customWidth="1"/>
    <col min="11012" max="11013" width="13.875" style="2952" customWidth="1"/>
    <col min="11014" max="11014" width="11.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7.625" style="2952" customWidth="1"/>
    <col min="11022" max="11022" width="7.875" style="2952" customWidth="1"/>
    <col min="11023" max="11264" width="9" style="2952"/>
    <col min="11265" max="11265" width="39.25" style="2952" customWidth="1"/>
    <col min="11266" max="11266" width="6.25" style="2952" customWidth="1"/>
    <col min="11267" max="11267" width="11.75" style="2952" customWidth="1"/>
    <col min="11268" max="11269" width="13.875" style="2952" customWidth="1"/>
    <col min="11270" max="11270" width="11.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7.625" style="2952" customWidth="1"/>
    <col min="11278" max="11278" width="7.875" style="2952" customWidth="1"/>
    <col min="11279" max="11520" width="9" style="2952"/>
    <col min="11521" max="11521" width="39.25" style="2952" customWidth="1"/>
    <col min="11522" max="11522" width="6.25" style="2952" customWidth="1"/>
    <col min="11523" max="11523" width="11.75" style="2952" customWidth="1"/>
    <col min="11524" max="11525" width="13.875" style="2952" customWidth="1"/>
    <col min="11526" max="11526" width="11.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7.625" style="2952" customWidth="1"/>
    <col min="11534" max="11534" width="7.875" style="2952" customWidth="1"/>
    <col min="11535" max="11776" width="9" style="2952"/>
    <col min="11777" max="11777" width="39.25" style="2952" customWidth="1"/>
    <col min="11778" max="11778" width="6.25" style="2952" customWidth="1"/>
    <col min="11779" max="11779" width="11.75" style="2952" customWidth="1"/>
    <col min="11780" max="11781" width="13.875" style="2952" customWidth="1"/>
    <col min="11782" max="11782" width="11.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7.625" style="2952" customWidth="1"/>
    <col min="11790" max="11790" width="7.875" style="2952" customWidth="1"/>
    <col min="11791" max="12032" width="9" style="2952"/>
    <col min="12033" max="12033" width="39.25" style="2952" customWidth="1"/>
    <col min="12034" max="12034" width="6.25" style="2952" customWidth="1"/>
    <col min="12035" max="12035" width="11.75" style="2952" customWidth="1"/>
    <col min="12036" max="12037" width="13.875" style="2952" customWidth="1"/>
    <col min="12038" max="12038" width="11.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7.625" style="2952" customWidth="1"/>
    <col min="12046" max="12046" width="7.875" style="2952" customWidth="1"/>
    <col min="12047" max="12288" width="9" style="2952"/>
    <col min="12289" max="12289" width="39.25" style="2952" customWidth="1"/>
    <col min="12290" max="12290" width="6.25" style="2952" customWidth="1"/>
    <col min="12291" max="12291" width="11.75" style="2952" customWidth="1"/>
    <col min="12292" max="12293" width="13.875" style="2952" customWidth="1"/>
    <col min="12294" max="12294" width="11.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7.625" style="2952" customWidth="1"/>
    <col min="12302" max="12302" width="7.875" style="2952" customWidth="1"/>
    <col min="12303" max="12544" width="9" style="2952"/>
    <col min="12545" max="12545" width="39.25" style="2952" customWidth="1"/>
    <col min="12546" max="12546" width="6.25" style="2952" customWidth="1"/>
    <col min="12547" max="12547" width="11.75" style="2952" customWidth="1"/>
    <col min="12548" max="12549" width="13.875" style="2952" customWidth="1"/>
    <col min="12550" max="12550" width="11.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7.625" style="2952" customWidth="1"/>
    <col min="12558" max="12558" width="7.875" style="2952" customWidth="1"/>
    <col min="12559" max="12800" width="9" style="2952"/>
    <col min="12801" max="12801" width="39.25" style="2952" customWidth="1"/>
    <col min="12802" max="12802" width="6.25" style="2952" customWidth="1"/>
    <col min="12803" max="12803" width="11.75" style="2952" customWidth="1"/>
    <col min="12804" max="12805" width="13.875" style="2952" customWidth="1"/>
    <col min="12806" max="12806" width="11.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7.625" style="2952" customWidth="1"/>
    <col min="12814" max="12814" width="7.875" style="2952" customWidth="1"/>
    <col min="12815" max="13056" width="9" style="2952"/>
    <col min="13057" max="13057" width="39.25" style="2952" customWidth="1"/>
    <col min="13058" max="13058" width="6.25" style="2952" customWidth="1"/>
    <col min="13059" max="13059" width="11.75" style="2952" customWidth="1"/>
    <col min="13060" max="13061" width="13.875" style="2952" customWidth="1"/>
    <col min="13062" max="13062" width="11.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7.625" style="2952" customWidth="1"/>
    <col min="13070" max="13070" width="7.875" style="2952" customWidth="1"/>
    <col min="13071" max="13312" width="9" style="2952"/>
    <col min="13313" max="13313" width="39.25" style="2952" customWidth="1"/>
    <col min="13314" max="13314" width="6.25" style="2952" customWidth="1"/>
    <col min="13315" max="13315" width="11.75" style="2952" customWidth="1"/>
    <col min="13316" max="13317" width="13.875" style="2952" customWidth="1"/>
    <col min="13318" max="13318" width="11.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7.625" style="2952" customWidth="1"/>
    <col min="13326" max="13326" width="7.875" style="2952" customWidth="1"/>
    <col min="13327" max="13568" width="9" style="2952"/>
    <col min="13569" max="13569" width="39.25" style="2952" customWidth="1"/>
    <col min="13570" max="13570" width="6.25" style="2952" customWidth="1"/>
    <col min="13571" max="13571" width="11.75" style="2952" customWidth="1"/>
    <col min="13572" max="13573" width="13.875" style="2952" customWidth="1"/>
    <col min="13574" max="13574" width="11.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7.625" style="2952" customWidth="1"/>
    <col min="13582" max="13582" width="7.875" style="2952" customWidth="1"/>
    <col min="13583" max="13824" width="9" style="2952"/>
    <col min="13825" max="13825" width="39.25" style="2952" customWidth="1"/>
    <col min="13826" max="13826" width="6.25" style="2952" customWidth="1"/>
    <col min="13827" max="13827" width="11.75" style="2952" customWidth="1"/>
    <col min="13828" max="13829" width="13.875" style="2952" customWidth="1"/>
    <col min="13830" max="13830" width="11.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7.625" style="2952" customWidth="1"/>
    <col min="13838" max="13838" width="7.875" style="2952" customWidth="1"/>
    <col min="13839" max="14080" width="9" style="2952"/>
    <col min="14081" max="14081" width="39.25" style="2952" customWidth="1"/>
    <col min="14082" max="14082" width="6.25" style="2952" customWidth="1"/>
    <col min="14083" max="14083" width="11.75" style="2952" customWidth="1"/>
    <col min="14084" max="14085" width="13.875" style="2952" customWidth="1"/>
    <col min="14086" max="14086" width="11.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7.625" style="2952" customWidth="1"/>
    <col min="14094" max="14094" width="7.875" style="2952" customWidth="1"/>
    <col min="14095" max="14336" width="9" style="2952"/>
    <col min="14337" max="14337" width="39.25" style="2952" customWidth="1"/>
    <col min="14338" max="14338" width="6.25" style="2952" customWidth="1"/>
    <col min="14339" max="14339" width="11.75" style="2952" customWidth="1"/>
    <col min="14340" max="14341" width="13.875" style="2952" customWidth="1"/>
    <col min="14342" max="14342" width="11.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7.625" style="2952" customWidth="1"/>
    <col min="14350" max="14350" width="7.875" style="2952" customWidth="1"/>
    <col min="14351" max="14592" width="9" style="2952"/>
    <col min="14593" max="14593" width="39.25" style="2952" customWidth="1"/>
    <col min="14594" max="14594" width="6.25" style="2952" customWidth="1"/>
    <col min="14595" max="14595" width="11.75" style="2952" customWidth="1"/>
    <col min="14596" max="14597" width="13.875" style="2952" customWidth="1"/>
    <col min="14598" max="14598" width="11.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7.625" style="2952" customWidth="1"/>
    <col min="14606" max="14606" width="7.875" style="2952" customWidth="1"/>
    <col min="14607" max="14848" width="9" style="2952"/>
    <col min="14849" max="14849" width="39.25" style="2952" customWidth="1"/>
    <col min="14850" max="14850" width="6.25" style="2952" customWidth="1"/>
    <col min="14851" max="14851" width="11.75" style="2952" customWidth="1"/>
    <col min="14852" max="14853" width="13.875" style="2952" customWidth="1"/>
    <col min="14854" max="14854" width="11.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7.625" style="2952" customWidth="1"/>
    <col min="14862" max="14862" width="7.875" style="2952" customWidth="1"/>
    <col min="14863" max="15104" width="9" style="2952"/>
    <col min="15105" max="15105" width="39.25" style="2952" customWidth="1"/>
    <col min="15106" max="15106" width="6.25" style="2952" customWidth="1"/>
    <col min="15107" max="15107" width="11.75" style="2952" customWidth="1"/>
    <col min="15108" max="15109" width="13.875" style="2952" customWidth="1"/>
    <col min="15110" max="15110" width="11.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7.625" style="2952" customWidth="1"/>
    <col min="15118" max="15118" width="7.875" style="2952" customWidth="1"/>
    <col min="15119" max="15360" width="9" style="2952"/>
    <col min="15361" max="15361" width="39.25" style="2952" customWidth="1"/>
    <col min="15362" max="15362" width="6.25" style="2952" customWidth="1"/>
    <col min="15363" max="15363" width="11.75" style="2952" customWidth="1"/>
    <col min="15364" max="15365" width="13.875" style="2952" customWidth="1"/>
    <col min="15366" max="15366" width="11.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7.625" style="2952" customWidth="1"/>
    <col min="15374" max="15374" width="7.875" style="2952" customWidth="1"/>
    <col min="15375" max="15616" width="9" style="2952"/>
    <col min="15617" max="15617" width="39.25" style="2952" customWidth="1"/>
    <col min="15618" max="15618" width="6.25" style="2952" customWidth="1"/>
    <col min="15619" max="15619" width="11.75" style="2952" customWidth="1"/>
    <col min="15620" max="15621" width="13.875" style="2952" customWidth="1"/>
    <col min="15622" max="15622" width="11.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7.625" style="2952" customWidth="1"/>
    <col min="15630" max="15630" width="7.875" style="2952" customWidth="1"/>
    <col min="15631" max="15872" width="9" style="2952"/>
    <col min="15873" max="15873" width="39.25" style="2952" customWidth="1"/>
    <col min="15874" max="15874" width="6.25" style="2952" customWidth="1"/>
    <col min="15875" max="15875" width="11.75" style="2952" customWidth="1"/>
    <col min="15876" max="15877" width="13.875" style="2952" customWidth="1"/>
    <col min="15878" max="15878" width="11.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7.625" style="2952" customWidth="1"/>
    <col min="15886" max="15886" width="7.875" style="2952" customWidth="1"/>
    <col min="15887" max="16128" width="9" style="2952"/>
    <col min="16129" max="16129" width="39.25" style="2952" customWidth="1"/>
    <col min="16130" max="16130" width="6.25" style="2952" customWidth="1"/>
    <col min="16131" max="16131" width="11.75" style="2952" customWidth="1"/>
    <col min="16132" max="16133" width="13.875" style="2952" customWidth="1"/>
    <col min="16134" max="16134" width="11.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7.625" style="2952" customWidth="1"/>
    <col min="16142" max="16142" width="7.875" style="2952" customWidth="1"/>
    <col min="16143" max="16384" width="9" style="2952"/>
  </cols>
  <sheetData>
    <row r="1" spans="1:14">
      <c r="A1" s="2951" t="s">
        <v>3058</v>
      </c>
      <c r="B1" s="2951" t="s">
        <v>3059</v>
      </c>
      <c r="C1" s="2951" t="s">
        <v>3060</v>
      </c>
      <c r="D1" s="2951" t="s">
        <v>3061</v>
      </c>
      <c r="E1" s="2951" t="s">
        <v>3062</v>
      </c>
      <c r="F1" s="2951" t="s">
        <v>3063</v>
      </c>
      <c r="G1" s="2951" t="s">
        <v>3064</v>
      </c>
      <c r="H1" s="2951" t="s">
        <v>3065</v>
      </c>
      <c r="I1" s="2951" t="s">
        <v>3066</v>
      </c>
      <c r="J1" s="2951" t="s">
        <v>3067</v>
      </c>
      <c r="K1" s="2951" t="s">
        <v>3068</v>
      </c>
      <c r="L1" s="2951" t="s">
        <v>3069</v>
      </c>
      <c r="M1" s="2951" t="s">
        <v>3070</v>
      </c>
      <c r="N1" s="2951" t="s">
        <v>3071</v>
      </c>
    </row>
    <row r="2" spans="1:14">
      <c r="A2" s="2953" t="s">
        <v>3072</v>
      </c>
      <c r="B2" s="2951" t="s">
        <v>3073</v>
      </c>
      <c r="C2" s="2951" t="s">
        <v>3074</v>
      </c>
      <c r="D2" s="2951">
        <v>10217</v>
      </c>
      <c r="E2" s="2951">
        <v>10217</v>
      </c>
      <c r="F2" s="2951" t="s">
        <v>3075</v>
      </c>
      <c r="G2" s="2951" t="s">
        <v>3076</v>
      </c>
      <c r="H2" s="2951" t="s">
        <v>3077</v>
      </c>
      <c r="I2" s="2951">
        <v>3833</v>
      </c>
      <c r="J2" s="2951">
        <v>3833</v>
      </c>
      <c r="K2" s="2951">
        <v>3751.59</v>
      </c>
      <c r="L2" s="2951">
        <v>0</v>
      </c>
      <c r="M2" s="2951" t="s">
        <v>3078</v>
      </c>
      <c r="N2" s="2951" t="s">
        <v>3079</v>
      </c>
    </row>
    <row r="3" spans="1:14">
      <c r="A3" s="2953" t="s">
        <v>3080</v>
      </c>
      <c r="B3" s="2951" t="s">
        <v>3073</v>
      </c>
      <c r="C3" s="2951" t="s">
        <v>3074</v>
      </c>
      <c r="D3" s="2951">
        <v>2884.12</v>
      </c>
      <c r="E3" s="2951">
        <v>2884.12</v>
      </c>
      <c r="F3" s="2951" t="s">
        <v>3075</v>
      </c>
      <c r="G3" s="2951" t="s">
        <v>3076</v>
      </c>
      <c r="H3" s="2951" t="s">
        <v>3077</v>
      </c>
      <c r="I3" s="2951">
        <v>1299</v>
      </c>
      <c r="J3" s="2951">
        <v>1299</v>
      </c>
      <c r="K3" s="2951">
        <v>4503.97</v>
      </c>
      <c r="L3" s="2951">
        <v>0</v>
      </c>
      <c r="M3" s="2951" t="s">
        <v>3081</v>
      </c>
      <c r="N3" s="2951" t="s">
        <v>3079</v>
      </c>
    </row>
    <row r="4" spans="1:14">
      <c r="A4" s="2953" t="s">
        <v>3082</v>
      </c>
      <c r="B4" s="2951" t="s">
        <v>3073</v>
      </c>
      <c r="C4" s="2951" t="s">
        <v>3074</v>
      </c>
      <c r="D4" s="2951">
        <v>4636.0600000000004</v>
      </c>
      <c r="E4" s="2951">
        <v>4636.0600000000004</v>
      </c>
      <c r="F4" s="2951" t="s">
        <v>3075</v>
      </c>
      <c r="G4" s="2951" t="s">
        <v>3076</v>
      </c>
      <c r="H4" s="2951" t="s">
        <v>3077</v>
      </c>
      <c r="I4" s="2951">
        <v>1738</v>
      </c>
      <c r="J4" s="2951">
        <v>1738</v>
      </c>
      <c r="K4" s="2951">
        <v>3748.86</v>
      </c>
      <c r="L4" s="2951">
        <v>0</v>
      </c>
      <c r="M4" s="2951" t="s">
        <v>3083</v>
      </c>
      <c r="N4" s="2951" t="s">
        <v>3079</v>
      </c>
    </row>
    <row r="5" spans="1:14">
      <c r="A5" s="2951" t="s">
        <v>3084</v>
      </c>
      <c r="B5" s="2951" t="s">
        <v>3073</v>
      </c>
      <c r="C5" s="2951" t="s">
        <v>3074</v>
      </c>
      <c r="D5" s="2951">
        <v>4660</v>
      </c>
      <c r="E5" s="2951">
        <v>1398</v>
      </c>
      <c r="F5" s="2951" t="s">
        <v>3085</v>
      </c>
      <c r="G5" s="2951" t="s">
        <v>3076</v>
      </c>
      <c r="H5" s="2951" t="s">
        <v>3077</v>
      </c>
      <c r="I5" s="2951">
        <v>1748</v>
      </c>
      <c r="J5" s="2951">
        <v>1748</v>
      </c>
      <c r="K5" s="2951">
        <v>12503.57</v>
      </c>
      <c r="L5" s="2951">
        <v>0</v>
      </c>
      <c r="M5" s="2951" t="s">
        <v>3086</v>
      </c>
      <c r="N5" s="2951" t="s">
        <v>3079</v>
      </c>
    </row>
    <row r="6" spans="1:14">
      <c r="A6" s="2951" t="s">
        <v>3087</v>
      </c>
      <c r="B6" s="2951" t="s">
        <v>3073</v>
      </c>
      <c r="C6" s="2951" t="s">
        <v>3074</v>
      </c>
      <c r="D6" s="2951">
        <v>6452.6</v>
      </c>
      <c r="E6" s="2951">
        <v>9678.9</v>
      </c>
      <c r="F6" s="2951" t="s">
        <v>3088</v>
      </c>
      <c r="G6" s="2951" t="s">
        <v>3076</v>
      </c>
      <c r="H6" s="2951" t="s">
        <v>3089</v>
      </c>
      <c r="I6" s="2951">
        <v>657</v>
      </c>
      <c r="J6" s="2951">
        <v>657</v>
      </c>
      <c r="K6" s="2951">
        <v>678.79</v>
      </c>
      <c r="L6" s="2951">
        <v>0</v>
      </c>
      <c r="M6" s="2951" t="s">
        <v>3090</v>
      </c>
      <c r="N6" s="2951" t="s">
        <v>3091</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17" sqref="K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4778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6543</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2" t="s">
        <v>2640</v>
      </c>
      <c r="AC4" s="3161" t="s">
        <v>2641</v>
      </c>
    </row>
    <row r="5" spans="1:30" ht="15">
      <c r="A5" s="404"/>
      <c r="B5" s="405"/>
      <c r="C5" s="3181" t="s">
        <v>2534</v>
      </c>
      <c r="D5" s="3182"/>
      <c r="E5" s="3188" t="str">
        <f>土地案例!A2</f>
        <v>正阳组团武陵大道与规划路交叉口东南侧</v>
      </c>
      <c r="F5" s="3189"/>
      <c r="G5" s="3181" t="str">
        <f>土地案例!A3</f>
        <v>正阳组团嘉华城以南、检察四分院以北、正舟路东侧</v>
      </c>
      <c r="H5" s="3182"/>
      <c r="I5" s="3181" t="str">
        <f>土地案例!A4</f>
        <v>正阳街道物流园区物流路</v>
      </c>
      <c r="J5" s="3182"/>
      <c r="K5" s="610"/>
      <c r="L5" s="1133"/>
      <c r="M5" s="1134"/>
      <c r="N5" s="1134"/>
      <c r="O5" s="1134"/>
      <c r="P5" s="3169"/>
      <c r="Q5" s="3170"/>
      <c r="R5" s="3175"/>
      <c r="S5" s="3176"/>
      <c r="T5" s="3175"/>
      <c r="U5" s="3176"/>
      <c r="V5" s="3160"/>
      <c r="W5" s="3160"/>
      <c r="X5" s="1815"/>
      <c r="Y5" s="3175"/>
      <c r="Z5" s="3176"/>
      <c r="AA5" s="3162"/>
      <c r="AB5" s="3162"/>
      <c r="AC5" s="3162"/>
    </row>
    <row r="6" spans="1:30" ht="15.75" thickBot="1">
      <c r="A6" s="406"/>
      <c r="B6" s="407"/>
      <c r="C6" s="3179" t="s">
        <v>2538</v>
      </c>
      <c r="D6" s="3180"/>
      <c r="E6" s="3186" t="s">
        <v>2538</v>
      </c>
      <c r="F6" s="3187"/>
      <c r="G6" s="3179" t="s">
        <v>2538</v>
      </c>
      <c r="H6" s="3180"/>
      <c r="I6" s="3179" t="s">
        <v>2538</v>
      </c>
      <c r="J6" s="3180"/>
      <c r="K6" s="610" t="s">
        <v>2539</v>
      </c>
      <c r="L6" s="1133"/>
      <c r="M6" s="1134"/>
      <c r="N6" s="1134"/>
      <c r="O6" s="1134"/>
      <c r="P6" s="3171"/>
      <c r="Q6" s="3172"/>
      <c r="R6" s="3175"/>
      <c r="S6" s="3176"/>
      <c r="T6" s="3177"/>
      <c r="U6" s="3178"/>
      <c r="V6" s="3160"/>
      <c r="W6" s="3160"/>
      <c r="X6" s="1815"/>
      <c r="Y6" s="3177"/>
      <c r="Z6" s="3178"/>
      <c r="AA6" s="3163"/>
      <c r="AB6" s="3163"/>
      <c r="AC6" s="3163"/>
    </row>
    <row r="7" spans="1:30" s="117" customFormat="1" ht="15.75" thickBot="1">
      <c r="A7" s="408" t="s">
        <v>2540</v>
      </c>
      <c r="B7" s="409"/>
      <c r="C7" s="410">
        <f>'数据-取费表'!B2</f>
        <v>43462</v>
      </c>
      <c r="D7" s="411">
        <v>100</v>
      </c>
      <c r="E7" s="412" t="str">
        <f>土地案例!H2</f>
        <v>2018-08-15</v>
      </c>
      <c r="F7" s="413">
        <f>SUMIF(70:70,YEAR(E7)&amp;"-"&amp;INT((MONTH(E7)+2)/3),71:71)</f>
        <v>99</v>
      </c>
      <c r="G7" s="2702" t="str">
        <f>土地案例!H3</f>
        <v>2018-08-15</v>
      </c>
      <c r="H7" s="411">
        <f>SUMIF(70:70,YEAR(G7)&amp;"-"&amp;INT((MONTH(G7)+2)/3),71:71)</f>
        <v>99</v>
      </c>
      <c r="I7" s="2702" t="str">
        <f>土地案例!H4</f>
        <v>2018-08-15</v>
      </c>
      <c r="J7" s="411">
        <f>SUMIF(70:70,YEAR(I7)&amp;"-"&amp;INT((MONTH(I7)+2)/3),71:71)</f>
        <v>99</v>
      </c>
      <c r="K7" s="611"/>
      <c r="L7" s="1135"/>
      <c r="M7" s="1136"/>
      <c r="N7" s="1136"/>
      <c r="O7" s="1136"/>
      <c r="P7" s="3183" t="s">
        <v>2541</v>
      </c>
      <c r="Q7" s="3185"/>
      <c r="R7" s="770" t="s">
        <v>17</v>
      </c>
      <c r="S7" s="771">
        <f t="shared" ref="S7:S15" si="0">F7</f>
        <v>99</v>
      </c>
      <c r="T7" s="770" t="s">
        <v>17</v>
      </c>
      <c r="U7" s="771">
        <f t="shared" ref="U7:U15" si="1">H7</f>
        <v>99</v>
      </c>
      <c r="V7" s="770" t="s">
        <v>17</v>
      </c>
      <c r="W7" s="771">
        <f t="shared" ref="W7:W15" si="2">J7</f>
        <v>99</v>
      </c>
      <c r="X7" s="772"/>
      <c r="Y7" s="3183" t="s">
        <v>2541</v>
      </c>
      <c r="Z7" s="3184"/>
      <c r="AA7" s="773">
        <f>D7/F7</f>
        <v>1.0101010101010102</v>
      </c>
      <c r="AB7" s="773">
        <f>D7/H7</f>
        <v>1.0101010101010102</v>
      </c>
      <c r="AC7" s="773">
        <f>D7/J7</f>
        <v>1.0101010101010102</v>
      </c>
    </row>
    <row r="8" spans="1:30" s="117" customFormat="1" ht="15.75" thickBot="1">
      <c r="A8" s="408" t="s">
        <v>2542</v>
      </c>
      <c r="B8" s="409"/>
      <c r="C8" s="414" t="s">
        <v>2543</v>
      </c>
      <c r="D8" s="411">
        <v>100</v>
      </c>
      <c r="E8" s="414" t="s">
        <v>3092</v>
      </c>
      <c r="F8" s="413">
        <f>SUMIF(73:73,E8,74:74)-SUMIF(73:73,C8,74:74)+100</f>
        <v>100</v>
      </c>
      <c r="G8" s="414" t="s">
        <v>3092</v>
      </c>
      <c r="H8" s="411">
        <f>SUMIF(73:73,G8,74:74)-SUMIF(73:73,C8,74:74)+100</f>
        <v>100</v>
      </c>
      <c r="I8" s="414" t="s">
        <v>3092</v>
      </c>
      <c r="J8" s="411">
        <f>SUMIF(73:73,I8,74:74)-SUMIF(73:73,C8,74:74)+100</f>
        <v>100</v>
      </c>
      <c r="K8" s="611"/>
      <c r="L8" s="1135"/>
      <c r="M8" s="1136"/>
      <c r="N8" s="1136"/>
      <c r="O8" s="1136"/>
      <c r="P8" s="3183" t="s">
        <v>2544</v>
      </c>
      <c r="Q8" s="3184"/>
      <c r="R8" s="770" t="s">
        <v>17</v>
      </c>
      <c r="S8" s="771">
        <f t="shared" si="0"/>
        <v>100</v>
      </c>
      <c r="T8" s="770" t="s">
        <v>17</v>
      </c>
      <c r="U8" s="771">
        <f t="shared" si="1"/>
        <v>100</v>
      </c>
      <c r="V8" s="770" t="s">
        <v>17</v>
      </c>
      <c r="W8" s="771">
        <f t="shared" si="2"/>
        <v>100</v>
      </c>
      <c r="X8" s="772"/>
      <c r="Y8" s="3183" t="s">
        <v>2544</v>
      </c>
      <c r="Z8" s="3184"/>
      <c r="AA8" s="773">
        <f t="shared" ref="AA8:AA45" si="3">D8/F8</f>
        <v>1</v>
      </c>
      <c r="AB8" s="773">
        <f t="shared" ref="AB8:AB45" si="4">D8/H8</f>
        <v>1</v>
      </c>
      <c r="AC8" s="773">
        <f t="shared" ref="AC8:AC45" si="5">D8/J8</f>
        <v>1</v>
      </c>
    </row>
    <row r="9" spans="1:30" s="117" customFormat="1">
      <c r="A9" s="415" t="s">
        <v>2545</v>
      </c>
      <c r="B9" s="71" t="s">
        <v>2546</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154"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773">
        <f t="shared" si="5"/>
        <v>1</v>
      </c>
    </row>
    <row r="10" spans="1:30" s="427" customFormat="1" ht="27">
      <c r="A10" s="421"/>
      <c r="B10" s="422" t="s">
        <v>2549</v>
      </c>
      <c r="C10" s="432" t="str">
        <f>项目基本情况!F16</f>
        <v>30.33年</v>
      </c>
      <c r="D10" s="136">
        <v>100</v>
      </c>
      <c r="E10" s="465" t="s">
        <v>3105</v>
      </c>
      <c r="F10" s="136">
        <f>ROUND(100/'数据-取费表'!G16,0)</f>
        <v>112</v>
      </c>
      <c r="G10" s="463" t="s">
        <v>3105</v>
      </c>
      <c r="H10" s="136">
        <f>ROUND(100/'数据-取费表'!G16,0)</f>
        <v>112</v>
      </c>
      <c r="I10" s="463" t="s">
        <v>3105</v>
      </c>
      <c r="J10" s="136">
        <f>ROUND(100/'数据-取费表'!G16,0)</f>
        <v>112</v>
      </c>
      <c r="K10" s="672"/>
      <c r="L10" s="1138"/>
      <c r="M10" s="1139"/>
      <c r="N10" s="1139"/>
      <c r="O10" s="1140"/>
      <c r="P10" s="3154"/>
      <c r="Q10" s="1797" t="str">
        <f t="shared" si="6"/>
        <v>土地使用年限（年）</v>
      </c>
      <c r="R10" s="770" t="s">
        <v>17</v>
      </c>
      <c r="S10" s="771">
        <f t="shared" si="0"/>
        <v>112</v>
      </c>
      <c r="T10" s="770" t="s">
        <v>17</v>
      </c>
      <c r="U10" s="771">
        <f t="shared" si="1"/>
        <v>112</v>
      </c>
      <c r="V10" s="770" t="s">
        <v>17</v>
      </c>
      <c r="W10" s="771">
        <f t="shared" si="2"/>
        <v>112</v>
      </c>
      <c r="X10" s="772"/>
      <c r="Y10" s="3002"/>
      <c r="Z10" s="55" t="str">
        <f t="shared" si="7"/>
        <v>土地使用年限（年）</v>
      </c>
      <c r="AA10" s="773">
        <f t="shared" si="3"/>
        <v>0.8928571428571429</v>
      </c>
      <c r="AB10" s="773">
        <f t="shared" si="4"/>
        <v>0.8928571428571429</v>
      </c>
      <c r="AC10" s="773">
        <f t="shared" si="5"/>
        <v>0.8928571428571429</v>
      </c>
    </row>
    <row r="11" spans="1:30" ht="15">
      <c r="A11" s="428"/>
      <c r="B11" s="422" t="s">
        <v>2550</v>
      </c>
      <c r="C11" s="429">
        <f>'数据-汇总表'!I6</f>
        <v>0.68</v>
      </c>
      <c r="D11" s="136">
        <v>100</v>
      </c>
      <c r="E11" s="429">
        <v>1</v>
      </c>
      <c r="F11" s="136">
        <f>LOOKUP(E11,80:80,81:81)-LOOKUP(C11,80:80,81:81)+100</f>
        <v>100</v>
      </c>
      <c r="G11" s="430">
        <v>1</v>
      </c>
      <c r="H11" s="136">
        <f>LOOKUP(G11,80:80,81:81)-LOOKUP(C11,80:80,81:81)+100</f>
        <v>100</v>
      </c>
      <c r="I11" s="429">
        <v>1</v>
      </c>
      <c r="J11" s="136">
        <f>LOOKUP(I11,80:80,81:81)-LOOKUP(C11,80:80,81:81)+100</f>
        <v>100</v>
      </c>
      <c r="K11" s="673">
        <v>0</v>
      </c>
      <c r="L11" s="1141"/>
      <c r="M11" s="1134"/>
      <c r="N11" s="1134"/>
      <c r="O11" s="1142"/>
      <c r="P11" s="3154"/>
      <c r="Q11" s="1797" t="str">
        <f t="shared" si="6"/>
        <v>容积率</v>
      </c>
      <c r="R11" s="770" t="s">
        <v>17</v>
      </c>
      <c r="S11" s="771">
        <f t="shared" si="0"/>
        <v>100</v>
      </c>
      <c r="T11" s="770" t="s">
        <v>17</v>
      </c>
      <c r="U11" s="771">
        <f t="shared" si="1"/>
        <v>100</v>
      </c>
      <c r="V11" s="770" t="s">
        <v>17</v>
      </c>
      <c r="W11" s="771">
        <f t="shared" si="2"/>
        <v>100</v>
      </c>
      <c r="X11" s="772"/>
      <c r="Y11" s="3002"/>
      <c r="Z11" s="55" t="str">
        <f t="shared" si="7"/>
        <v>容积率</v>
      </c>
      <c r="AA11" s="773">
        <f t="shared" si="3"/>
        <v>1</v>
      </c>
      <c r="AB11" s="773">
        <f t="shared" si="4"/>
        <v>1</v>
      </c>
      <c r="AC11" s="773">
        <f t="shared" si="5"/>
        <v>1</v>
      </c>
    </row>
    <row r="12" spans="1:30" s="117" customFormat="1" ht="15" hidden="1">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7">
        <f t="shared" si="6"/>
        <v>0</v>
      </c>
      <c r="R12" s="770" t="s">
        <v>17</v>
      </c>
      <c r="S12" s="771">
        <f t="shared" si="0"/>
        <v>100</v>
      </c>
      <c r="T12" s="770" t="s">
        <v>17</v>
      </c>
      <c r="U12" s="771">
        <f t="shared" si="1"/>
        <v>100</v>
      </c>
      <c r="V12" s="770" t="s">
        <v>17</v>
      </c>
      <c r="W12" s="771">
        <f t="shared" si="2"/>
        <v>100</v>
      </c>
      <c r="X12" s="772"/>
      <c r="Y12" s="3002"/>
      <c r="Z12" s="55">
        <f t="shared" si="7"/>
        <v>0</v>
      </c>
      <c r="AA12" s="773">
        <f>D12/F12</f>
        <v>1</v>
      </c>
      <c r="AB12" s="773">
        <f>D12/H12</f>
        <v>1</v>
      </c>
      <c r="AC12" s="773">
        <f>D12/J12</f>
        <v>1</v>
      </c>
    </row>
    <row r="13" spans="1:30" ht="15" hidden="1">
      <c r="A13" s="428"/>
      <c r="B13" s="2606"/>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7">
        <f t="shared" si="6"/>
        <v>0</v>
      </c>
      <c r="R13" s="770" t="s">
        <v>17</v>
      </c>
      <c r="S13" s="771">
        <f t="shared" si="0"/>
        <v>100</v>
      </c>
      <c r="T13" s="770" t="s">
        <v>17</v>
      </c>
      <c r="U13" s="771">
        <f t="shared" si="1"/>
        <v>100</v>
      </c>
      <c r="V13" s="770" t="s">
        <v>17</v>
      </c>
      <c r="W13" s="771">
        <f t="shared" si="2"/>
        <v>100</v>
      </c>
      <c r="X13" s="772"/>
      <c r="Y13" s="3002"/>
      <c r="Z13" s="55">
        <f t="shared" si="7"/>
        <v>0</v>
      </c>
      <c r="AA13" s="773">
        <f>D13/F13</f>
        <v>1</v>
      </c>
      <c r="AB13" s="773">
        <f>D13/H13</f>
        <v>1</v>
      </c>
      <c r="AC13" s="773">
        <f>D13/J13</f>
        <v>1</v>
      </c>
    </row>
    <row r="14" spans="1:30" ht="15.75" hidden="1" thickBot="1">
      <c r="A14" s="436"/>
      <c r="B14" s="2608"/>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7">
        <f t="shared" si="6"/>
        <v>0</v>
      </c>
      <c r="R14" s="770" t="s">
        <v>17</v>
      </c>
      <c r="S14" s="771">
        <f t="shared" si="0"/>
        <v>100</v>
      </c>
      <c r="T14" s="770" t="s">
        <v>17</v>
      </c>
      <c r="U14" s="771">
        <f t="shared" si="1"/>
        <v>100</v>
      </c>
      <c r="V14" s="770" t="s">
        <v>17</v>
      </c>
      <c r="W14" s="771">
        <f t="shared" si="2"/>
        <v>100</v>
      </c>
      <c r="X14" s="772"/>
      <c r="Y14" s="3002"/>
      <c r="Z14" s="55">
        <f t="shared" si="7"/>
        <v>0</v>
      </c>
      <c r="AA14" s="773">
        <f>D14/F14</f>
        <v>1</v>
      </c>
      <c r="AB14" s="773">
        <f>D14/H14</f>
        <v>1</v>
      </c>
      <c r="AC14" s="773">
        <f>D14/J14</f>
        <v>1</v>
      </c>
    </row>
    <row r="15" spans="1:30" ht="15" hidden="1">
      <c r="A15" s="440" t="s">
        <v>2551</v>
      </c>
      <c r="B15" s="69" t="s">
        <v>2085</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2552</v>
      </c>
      <c r="Q15" s="1812" t="str">
        <f t="shared" si="6"/>
        <v>居住社区成熟度</v>
      </c>
      <c r="R15" s="774" t="s">
        <v>17</v>
      </c>
      <c r="S15" s="775">
        <f t="shared" si="0"/>
        <v>100</v>
      </c>
      <c r="T15" s="774" t="s">
        <v>17</v>
      </c>
      <c r="U15" s="775">
        <f t="shared" si="1"/>
        <v>100</v>
      </c>
      <c r="V15" s="774" t="s">
        <v>17</v>
      </c>
      <c r="W15" s="775">
        <f t="shared" si="2"/>
        <v>100</v>
      </c>
      <c r="X15" s="1815"/>
      <c r="Y15" s="3156" t="s">
        <v>2552</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57"/>
      <c r="Q16" s="1812"/>
      <c r="R16" s="774"/>
      <c r="S16" s="775"/>
      <c r="T16" s="774"/>
      <c r="U16" s="775"/>
      <c r="V16" s="774"/>
      <c r="W16" s="775"/>
      <c r="X16" s="1815"/>
      <c r="Y16" s="3157"/>
      <c r="Z16" s="1816"/>
      <c r="AA16" s="1813">
        <v>1</v>
      </c>
      <c r="AB16" s="1813">
        <v>1</v>
      </c>
      <c r="AC16" s="1813">
        <v>1</v>
      </c>
    </row>
    <row r="17" spans="1:29" ht="15">
      <c r="A17" s="428"/>
      <c r="B17" s="451" t="s">
        <v>2645</v>
      </c>
      <c r="C17" s="2670">
        <f>估价对象房地状况!C16</f>
        <v>0</v>
      </c>
      <c r="D17" s="450">
        <v>100</v>
      </c>
      <c r="E17" s="452"/>
      <c r="F17" s="450">
        <f>SUMIF(90:90,E18,91:91)-SUMIF(90:90,C18,91:91)+100</f>
        <v>94</v>
      </c>
      <c r="G17" s="452"/>
      <c r="H17" s="455">
        <f>SUMIF(90:90,G18,91:91)-SUMIF(90:90,C18,91:91)+100</f>
        <v>94</v>
      </c>
      <c r="I17" s="454"/>
      <c r="J17" s="455">
        <f>SUMIF(90:90,I18,91:91)-SUMIF(90:90,C18,91:91)+100</f>
        <v>94</v>
      </c>
      <c r="K17" s="673">
        <v>3</v>
      </c>
      <c r="L17" s="1143"/>
      <c r="M17" s="1134"/>
      <c r="N17" s="1134"/>
      <c r="O17" s="1142"/>
      <c r="P17" s="3157"/>
      <c r="Q17" s="1812" t="str">
        <f>B17</f>
        <v>商业繁华度</v>
      </c>
      <c r="R17" s="774" t="s">
        <v>17</v>
      </c>
      <c r="S17" s="775">
        <f>F17</f>
        <v>94</v>
      </c>
      <c r="T17" s="774" t="s">
        <v>17</v>
      </c>
      <c r="U17" s="775">
        <f>H17</f>
        <v>94</v>
      </c>
      <c r="V17" s="774" t="s">
        <v>17</v>
      </c>
      <c r="W17" s="775">
        <f>J17</f>
        <v>94</v>
      </c>
      <c r="X17" s="1815"/>
      <c r="Y17" s="3157"/>
      <c r="Z17" s="1816" t="str">
        <f>Q17</f>
        <v>商业繁华度</v>
      </c>
      <c r="AA17" s="1813">
        <f t="shared" si="3"/>
        <v>1.0638297872340425</v>
      </c>
      <c r="AB17" s="1813">
        <f t="shared" si="4"/>
        <v>1.0638297872340425</v>
      </c>
      <c r="AC17" s="1813">
        <f t="shared" si="5"/>
        <v>1.0638297872340425</v>
      </c>
    </row>
    <row r="18" spans="1:29" ht="15">
      <c r="A18" s="428"/>
      <c r="B18" s="456"/>
      <c r="C18" s="2614" t="s">
        <v>3102</v>
      </c>
      <c r="D18" s="450"/>
      <c r="E18" s="2616" t="s">
        <v>3103</v>
      </c>
      <c r="F18" s="450"/>
      <c r="G18" s="2616" t="s">
        <v>3103</v>
      </c>
      <c r="H18" s="448"/>
      <c r="I18" s="2615" t="s">
        <v>3103</v>
      </c>
      <c r="J18" s="448"/>
      <c r="K18" s="672"/>
      <c r="L18" s="1143"/>
      <c r="M18" s="1134"/>
      <c r="N18" s="1134"/>
      <c r="O18" s="1142"/>
      <c r="P18" s="3157"/>
      <c r="Q18" s="1812"/>
      <c r="R18" s="774"/>
      <c r="S18" s="775"/>
      <c r="T18" s="774"/>
      <c r="U18" s="775"/>
      <c r="V18" s="774"/>
      <c r="W18" s="775"/>
      <c r="X18" s="1815"/>
      <c r="Y18" s="3157"/>
      <c r="Z18" s="1816"/>
      <c r="AA18" s="1813">
        <v>1</v>
      </c>
      <c r="AB18" s="1813">
        <v>1</v>
      </c>
      <c r="AC18" s="1813">
        <v>1</v>
      </c>
    </row>
    <row r="19" spans="1:29" ht="15" hidden="1">
      <c r="A19" s="428"/>
      <c r="B19" s="451" t="s">
        <v>2679</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2" t="str">
        <f>B19</f>
        <v>办公集聚程度</v>
      </c>
      <c r="R19" s="774" t="s">
        <v>17</v>
      </c>
      <c r="S19" s="775">
        <f>F19</f>
        <v>100</v>
      </c>
      <c r="T19" s="774" t="s">
        <v>17</v>
      </c>
      <c r="U19" s="775">
        <f>H19</f>
        <v>100</v>
      </c>
      <c r="V19" s="774" t="s">
        <v>17</v>
      </c>
      <c r="W19" s="775">
        <f>J19</f>
        <v>100</v>
      </c>
      <c r="X19" s="1815"/>
      <c r="Y19" s="3157"/>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157"/>
      <c r="Q20" s="1812"/>
      <c r="R20" s="774"/>
      <c r="S20" s="775"/>
      <c r="T20" s="774"/>
      <c r="U20" s="775"/>
      <c r="V20" s="774"/>
      <c r="W20" s="775"/>
      <c r="X20" s="1815"/>
      <c r="Y20" s="3157"/>
      <c r="Z20" s="1816"/>
      <c r="AA20" s="1813">
        <v>1</v>
      </c>
      <c r="AB20" s="1813">
        <v>1</v>
      </c>
      <c r="AC20" s="1813">
        <v>1</v>
      </c>
    </row>
    <row r="21" spans="1:29" ht="15">
      <c r="A21" s="428"/>
      <c r="B21" s="451" t="s">
        <v>2701</v>
      </c>
      <c r="C21" s="2613">
        <f>估价对象房地状况!C18</f>
        <v>0</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57"/>
      <c r="Q21" s="1812" t="str">
        <f>B21</f>
        <v>交通便捷度</v>
      </c>
      <c r="R21" s="774" t="s">
        <v>17</v>
      </c>
      <c r="S21" s="775">
        <f>F21</f>
        <v>94</v>
      </c>
      <c r="T21" s="774" t="s">
        <v>17</v>
      </c>
      <c r="U21" s="775">
        <f>H21</f>
        <v>94</v>
      </c>
      <c r="V21" s="774" t="s">
        <v>17</v>
      </c>
      <c r="W21" s="775">
        <f>J21</f>
        <v>94</v>
      </c>
      <c r="X21" s="1815"/>
      <c r="Y21" s="3157"/>
      <c r="Z21" s="1816" t="str">
        <f>Q21</f>
        <v>交通便捷度</v>
      </c>
      <c r="AA21" s="1813">
        <f t="shared" si="3"/>
        <v>1.0638297872340425</v>
      </c>
      <c r="AB21" s="1813">
        <f t="shared" si="4"/>
        <v>1.0638297872340425</v>
      </c>
      <c r="AC21" s="1813">
        <f t="shared" si="5"/>
        <v>1.0638297872340425</v>
      </c>
    </row>
    <row r="22" spans="1:29" ht="15">
      <c r="A22" s="428"/>
      <c r="B22" s="1387"/>
      <c r="C22" s="447" t="s">
        <v>3102</v>
      </c>
      <c r="D22" s="450"/>
      <c r="E22" s="2616" t="s">
        <v>3103</v>
      </c>
      <c r="F22" s="448"/>
      <c r="G22" s="2616" t="s">
        <v>3103</v>
      </c>
      <c r="H22" s="448"/>
      <c r="I22" s="2616" t="s">
        <v>3103</v>
      </c>
      <c r="J22" s="448"/>
      <c r="K22" s="672"/>
      <c r="L22" s="1143"/>
      <c r="M22" s="1134"/>
      <c r="N22" s="1134"/>
      <c r="O22" s="1142"/>
      <c r="P22" s="3157"/>
      <c r="Q22" s="1812"/>
      <c r="R22" s="774"/>
      <c r="S22" s="775"/>
      <c r="T22" s="774"/>
      <c r="U22" s="775"/>
      <c r="V22" s="774"/>
      <c r="W22" s="775"/>
      <c r="X22" s="1815"/>
      <c r="Y22" s="3157"/>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57"/>
      <c r="Q23" s="1812" t="str">
        <f t="shared" ref="Q23:Q37" si="8">B23</f>
        <v>区域土地利用方向</v>
      </c>
      <c r="R23" s="774" t="s">
        <v>17</v>
      </c>
      <c r="S23" s="775">
        <f>F23</f>
        <v>100</v>
      </c>
      <c r="T23" s="774" t="s">
        <v>17</v>
      </c>
      <c r="U23" s="775">
        <f>H23</f>
        <v>100</v>
      </c>
      <c r="V23" s="774" t="s">
        <v>17</v>
      </c>
      <c r="W23" s="775">
        <f>J23</f>
        <v>100</v>
      </c>
      <c r="X23" s="1815"/>
      <c r="Y23" s="3157"/>
      <c r="Z23" s="1816" t="str">
        <f>Q23</f>
        <v>区域土地利用方向</v>
      </c>
      <c r="AA23" s="1813">
        <f t="shared" si="3"/>
        <v>1</v>
      </c>
      <c r="AB23" s="1813">
        <f t="shared" si="4"/>
        <v>1</v>
      </c>
      <c r="AC23" s="1813">
        <f t="shared" si="5"/>
        <v>1</v>
      </c>
    </row>
    <row r="24" spans="1:29" ht="15">
      <c r="A24" s="404"/>
      <c r="B24" s="456"/>
      <c r="C24" s="616" t="s">
        <v>3106</v>
      </c>
      <c r="D24" s="448"/>
      <c r="E24" s="616" t="s">
        <v>3106</v>
      </c>
      <c r="F24" s="448"/>
      <c r="G24" s="616" t="s">
        <v>3106</v>
      </c>
      <c r="H24" s="448"/>
      <c r="I24" s="616" t="s">
        <v>3106</v>
      </c>
      <c r="J24" s="448"/>
      <c r="K24" s="812"/>
      <c r="L24" s="1143"/>
      <c r="M24" s="1134"/>
      <c r="N24" s="1134"/>
      <c r="O24" s="1142"/>
      <c r="P24" s="3157"/>
      <c r="Q24" s="1812"/>
      <c r="R24" s="774"/>
      <c r="S24" s="775"/>
      <c r="T24" s="774"/>
      <c r="U24" s="775"/>
      <c r="V24" s="774"/>
      <c r="W24" s="775"/>
      <c r="X24" s="1815"/>
      <c r="Y24" s="3157"/>
      <c r="Z24" s="1816"/>
      <c r="AA24" s="1813"/>
      <c r="AB24" s="1813"/>
      <c r="AC24" s="1813"/>
    </row>
    <row r="25" spans="1:29" ht="27">
      <c r="A25" s="404"/>
      <c r="B25" s="1387" t="s">
        <v>2740</v>
      </c>
      <c r="C25" s="2670">
        <f>估价对象房地状况!C20</f>
        <v>0</v>
      </c>
      <c r="D25" s="450">
        <v>100</v>
      </c>
      <c r="E25" s="452"/>
      <c r="F25" s="450">
        <f>SUMIF(98:98,E26,99:99)-SUMIF(98:98,C26,99:99)+100</f>
        <v>97</v>
      </c>
      <c r="G25" s="452"/>
      <c r="H25" s="450">
        <f>SUMIF(98:98,G26,99:99)-SUMIF(98:98,C26,99:99)+100</f>
        <v>97</v>
      </c>
      <c r="I25" s="454"/>
      <c r="J25" s="450">
        <f>SUMIF(98:98,I26,99:99)-SUMIF(98:98,C26,99:99)+100</f>
        <v>97</v>
      </c>
      <c r="K25" s="673">
        <v>3</v>
      </c>
      <c r="L25" s="1143"/>
      <c r="M25" s="1134"/>
      <c r="N25" s="1134"/>
      <c r="O25" s="1142"/>
      <c r="P25" s="3157"/>
      <c r="Q25" s="1812" t="str">
        <f t="shared" si="8"/>
        <v>自然及人文环境状况</v>
      </c>
      <c r="R25" s="774" t="s">
        <v>17</v>
      </c>
      <c r="S25" s="775">
        <f>F25</f>
        <v>97</v>
      </c>
      <c r="T25" s="774" t="s">
        <v>17</v>
      </c>
      <c r="U25" s="775">
        <f>H25</f>
        <v>97</v>
      </c>
      <c r="V25" s="774" t="s">
        <v>17</v>
      </c>
      <c r="W25" s="775">
        <f>J25</f>
        <v>97</v>
      </c>
      <c r="X25" s="1815"/>
      <c r="Y25" s="3157"/>
      <c r="Z25" s="1816" t="str">
        <f>Q25</f>
        <v>自然及人文环境状况</v>
      </c>
      <c r="AA25" s="1813">
        <f t="shared" si="3"/>
        <v>1.0309278350515463</v>
      </c>
      <c r="AB25" s="1813">
        <f t="shared" si="4"/>
        <v>1.0309278350515463</v>
      </c>
      <c r="AC25" s="1813">
        <f t="shared" si="5"/>
        <v>1.0309278350515463</v>
      </c>
    </row>
    <row r="26" spans="1:29" ht="15">
      <c r="A26" s="404"/>
      <c r="B26" s="456"/>
      <c r="C26" s="447" t="s">
        <v>3102</v>
      </c>
      <c r="D26" s="448"/>
      <c r="E26" s="447" t="s">
        <v>3106</v>
      </c>
      <c r="F26" s="448"/>
      <c r="G26" s="447" t="s">
        <v>3106</v>
      </c>
      <c r="H26" s="448"/>
      <c r="I26" s="447" t="s">
        <v>3106</v>
      </c>
      <c r="J26" s="448"/>
      <c r="K26" s="672"/>
      <c r="L26" s="1143"/>
      <c r="M26" s="1134"/>
      <c r="N26" s="1134"/>
      <c r="O26" s="1142"/>
      <c r="P26" s="3157"/>
      <c r="Q26" s="1812"/>
      <c r="R26" s="774"/>
      <c r="S26" s="775"/>
      <c r="T26" s="774"/>
      <c r="U26" s="775"/>
      <c r="V26" s="774"/>
      <c r="W26" s="775"/>
      <c r="X26" s="1815"/>
      <c r="Y26" s="3157"/>
      <c r="Z26" s="1816"/>
      <c r="AA26" s="1813">
        <v>1</v>
      </c>
      <c r="AB26" s="1813">
        <v>1</v>
      </c>
      <c r="AC26" s="1813">
        <v>1</v>
      </c>
    </row>
    <row r="27" spans="1:29" s="117" customFormat="1" ht="15">
      <c r="A27" s="649"/>
      <c r="B27" s="1387" t="s">
        <v>2646</v>
      </c>
      <c r="C27" s="2613">
        <f>估价对象房地状况!C21</f>
        <v>0</v>
      </c>
      <c r="D27" s="450">
        <v>100</v>
      </c>
      <c r="E27" s="452"/>
      <c r="F27" s="450">
        <f>SUMIF(100:100,E28,101:101)-SUMIF(100:100,C28,101:101)+100</f>
        <v>94</v>
      </c>
      <c r="G27" s="452"/>
      <c r="H27" s="450">
        <f>SUMIF(100:100,G28,101:101)-SUMIF(100:100,C28,101:101)+100</f>
        <v>94</v>
      </c>
      <c r="I27" s="454"/>
      <c r="J27" s="450">
        <f>SUMIF(100:100,I28,101:101)-SUMIF(100:100,C28,101:101)+100</f>
        <v>94</v>
      </c>
      <c r="K27" s="673">
        <v>3</v>
      </c>
      <c r="L27" s="1135"/>
      <c r="M27" s="1136"/>
      <c r="N27" s="1136"/>
      <c r="O27" s="1137"/>
      <c r="P27" s="3157"/>
      <c r="Q27" s="1797" t="str">
        <f t="shared" si="8"/>
        <v>公共配套设施</v>
      </c>
      <c r="R27" s="770" t="s">
        <v>17</v>
      </c>
      <c r="S27" s="771">
        <f>F27</f>
        <v>94</v>
      </c>
      <c r="T27" s="770" t="s">
        <v>17</v>
      </c>
      <c r="U27" s="771">
        <f>H27</f>
        <v>94</v>
      </c>
      <c r="V27" s="770" t="s">
        <v>17</v>
      </c>
      <c r="W27" s="771">
        <f>J27</f>
        <v>94</v>
      </c>
      <c r="X27" s="772"/>
      <c r="Y27" s="3157"/>
      <c r="Z27" s="55" t="str">
        <f>Q27</f>
        <v>公共配套设施</v>
      </c>
      <c r="AA27" s="1813">
        <f>D27/F27</f>
        <v>1.0638297872340425</v>
      </c>
      <c r="AB27" s="1813">
        <f>D27/H27</f>
        <v>1.0638297872340425</v>
      </c>
      <c r="AC27" s="1813">
        <f>D27/J27</f>
        <v>1.0638297872340425</v>
      </c>
    </row>
    <row r="28" spans="1:29" s="117" customFormat="1" ht="15">
      <c r="A28" s="649"/>
      <c r="B28" s="456"/>
      <c r="C28" s="2706" t="s">
        <v>3102</v>
      </c>
      <c r="D28" s="448"/>
      <c r="E28" s="2617" t="s">
        <v>3103</v>
      </c>
      <c r="F28" s="448"/>
      <c r="G28" s="2617" t="s">
        <v>3103</v>
      </c>
      <c r="H28" s="448"/>
      <c r="I28" s="2617" t="s">
        <v>3103</v>
      </c>
      <c r="J28" s="448"/>
      <c r="K28" s="672"/>
      <c r="L28" s="1135"/>
      <c r="M28" s="1136"/>
      <c r="N28" s="1136"/>
      <c r="O28" s="1137"/>
      <c r="P28" s="3157"/>
      <c r="Q28" s="1797"/>
      <c r="R28" s="770"/>
      <c r="S28" s="771"/>
      <c r="T28" s="770"/>
      <c r="U28" s="771"/>
      <c r="V28" s="770"/>
      <c r="W28" s="771"/>
      <c r="X28" s="772"/>
      <c r="Y28" s="3157"/>
      <c r="Z28" s="55"/>
      <c r="AA28" s="1813">
        <v>1</v>
      </c>
      <c r="AB28" s="1813">
        <v>1</v>
      </c>
      <c r="AC28" s="1813">
        <v>1</v>
      </c>
    </row>
    <row r="29" spans="1:29" s="117" customFormat="1" ht="15">
      <c r="A29" s="649"/>
      <c r="B29" s="1387" t="s">
        <v>2647</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57"/>
      <c r="Q29" s="1797"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3">
        <f>D29/F29</f>
        <v>1</v>
      </c>
      <c r="AB29" s="1813">
        <f>D29/H29</f>
        <v>1</v>
      </c>
      <c r="AC29" s="1813">
        <f>D29/J29</f>
        <v>1</v>
      </c>
    </row>
    <row r="30" spans="1:29" s="117" customFormat="1" ht="15.75" thickBot="1">
      <c r="A30" s="649"/>
      <c r="B30" s="456"/>
      <c r="C30" s="2706" t="s">
        <v>3107</v>
      </c>
      <c r="D30" s="448"/>
      <c r="E30" s="2706" t="s">
        <v>3107</v>
      </c>
      <c r="F30" s="448"/>
      <c r="G30" s="2706" t="s">
        <v>3107</v>
      </c>
      <c r="H30" s="448"/>
      <c r="I30" s="2706" t="s">
        <v>3107</v>
      </c>
      <c r="J30" s="448"/>
      <c r="K30" s="672"/>
      <c r="L30" s="1135"/>
      <c r="M30" s="1136"/>
      <c r="N30" s="1136"/>
      <c r="O30" s="1137"/>
      <c r="P30" s="3157"/>
      <c r="Q30" s="1797"/>
      <c r="R30" s="770"/>
      <c r="S30" s="771"/>
      <c r="T30" s="770"/>
      <c r="U30" s="771"/>
      <c r="V30" s="770"/>
      <c r="W30" s="771"/>
      <c r="X30" s="772"/>
      <c r="Y30" s="3157"/>
      <c r="Z30" s="55"/>
      <c r="AA30" s="1813">
        <v>1</v>
      </c>
      <c r="AB30" s="1813">
        <v>1</v>
      </c>
      <c r="AC30" s="1813">
        <v>1</v>
      </c>
    </row>
    <row r="31" spans="1:29" ht="15" hidden="1">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57"/>
      <c r="Z31" s="1816" t="str">
        <f t="shared" ref="Z31:Z45" si="13">Q31</f>
        <v>临街状况</v>
      </c>
      <c r="AA31" s="1813">
        <f t="shared" si="3"/>
        <v>1</v>
      </c>
      <c r="AB31" s="1813">
        <f t="shared" si="4"/>
        <v>1</v>
      </c>
      <c r="AC31" s="1813">
        <f t="shared" si="5"/>
        <v>1</v>
      </c>
    </row>
    <row r="32" spans="1:29" ht="27" hidden="1">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2" t="str">
        <f t="shared" si="8"/>
        <v>毗邻道路的类型与等级</v>
      </c>
      <c r="R32" s="774" t="s">
        <v>17</v>
      </c>
      <c r="S32" s="775">
        <f t="shared" si="10"/>
        <v>100</v>
      </c>
      <c r="T32" s="774" t="s">
        <v>17</v>
      </c>
      <c r="U32" s="775">
        <f t="shared" si="11"/>
        <v>100</v>
      </c>
      <c r="V32" s="774" t="s">
        <v>17</v>
      </c>
      <c r="W32" s="775">
        <f t="shared" si="12"/>
        <v>100</v>
      </c>
      <c r="X32" s="1815"/>
      <c r="Y32" s="3157"/>
      <c r="Z32" s="1816" t="str">
        <f t="shared" si="13"/>
        <v>毗邻道路的类型与等级</v>
      </c>
      <c r="AA32" s="1813">
        <f t="shared" si="3"/>
        <v>1</v>
      </c>
      <c r="AB32" s="1813">
        <f t="shared" si="4"/>
        <v>1</v>
      </c>
      <c r="AC32" s="1813">
        <f t="shared" si="5"/>
        <v>1</v>
      </c>
    </row>
    <row r="33" spans="1:29" ht="15" hidden="1">
      <c r="A33" s="428"/>
      <c r="B33" s="456"/>
      <c r="C33" s="447"/>
      <c r="D33" s="448"/>
      <c r="E33" s="2617"/>
      <c r="F33" s="448"/>
      <c r="G33" s="2617"/>
      <c r="H33" s="448"/>
      <c r="I33" s="447"/>
      <c r="J33" s="448"/>
      <c r="K33" s="613"/>
      <c r="L33" s="1143"/>
      <c r="M33" s="1134"/>
      <c r="N33" s="1134"/>
      <c r="O33" s="1142"/>
      <c r="P33" s="3157"/>
      <c r="Q33" s="1812"/>
      <c r="R33" s="774"/>
      <c r="S33" s="775"/>
      <c r="T33" s="774"/>
      <c r="U33" s="775"/>
      <c r="V33" s="774"/>
      <c r="W33" s="775"/>
      <c r="X33" s="1815"/>
      <c r="Y33" s="3157"/>
      <c r="Z33" s="1816"/>
      <c r="AA33" s="1813">
        <v>1</v>
      </c>
      <c r="AB33" s="1813">
        <v>1</v>
      </c>
      <c r="AC33" s="1813">
        <v>1</v>
      </c>
    </row>
    <row r="34" spans="1:29" ht="15.75" hidden="1"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2" t="str">
        <f t="shared" si="8"/>
        <v>土地级别</v>
      </c>
      <c r="R34" s="774" t="s">
        <v>17</v>
      </c>
      <c r="S34" s="775">
        <f t="shared" si="10"/>
        <v>100</v>
      </c>
      <c r="T34" s="774" t="s">
        <v>17</v>
      </c>
      <c r="U34" s="775">
        <f t="shared" si="11"/>
        <v>100</v>
      </c>
      <c r="V34" s="774" t="s">
        <v>17</v>
      </c>
      <c r="W34" s="775">
        <f t="shared" si="12"/>
        <v>100</v>
      </c>
      <c r="X34" s="1815"/>
      <c r="Y34" s="3157"/>
      <c r="Z34" s="1816" t="str">
        <f t="shared" si="13"/>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2">
        <f t="shared" si="8"/>
        <v>0</v>
      </c>
      <c r="R35" s="774" t="s">
        <v>17</v>
      </c>
      <c r="S35" s="775">
        <f t="shared" si="10"/>
        <v>100</v>
      </c>
      <c r="T35" s="774" t="s">
        <v>17</v>
      </c>
      <c r="U35" s="775">
        <f t="shared" si="11"/>
        <v>100</v>
      </c>
      <c r="V35" s="774" t="s">
        <v>17</v>
      </c>
      <c r="W35" s="775">
        <f t="shared" si="12"/>
        <v>100</v>
      </c>
      <c r="X35" s="1815"/>
      <c r="Y35" s="3157"/>
      <c r="Z35" s="1816">
        <f t="shared" si="13"/>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8" t="s">
        <v>2557</v>
      </c>
      <c r="Q36" s="1812">
        <f t="shared" si="8"/>
        <v>0</v>
      </c>
      <c r="R36" s="774" t="s">
        <v>17</v>
      </c>
      <c r="S36" s="775">
        <f t="shared" si="10"/>
        <v>100</v>
      </c>
      <c r="T36" s="774" t="s">
        <v>17</v>
      </c>
      <c r="U36" s="775">
        <f t="shared" si="11"/>
        <v>100</v>
      </c>
      <c r="V36" s="774" t="s">
        <v>17</v>
      </c>
      <c r="W36" s="775">
        <f t="shared" si="12"/>
        <v>100</v>
      </c>
      <c r="X36" s="1815"/>
      <c r="Y36" s="3159" t="s">
        <v>2557</v>
      </c>
      <c r="Z36" s="1816">
        <f t="shared" si="13"/>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9"/>
      <c r="Q37" s="1812">
        <f t="shared" si="8"/>
        <v>0</v>
      </c>
      <c r="R37" s="777" t="s">
        <v>17</v>
      </c>
      <c r="S37" s="778">
        <f t="shared" si="10"/>
        <v>100</v>
      </c>
      <c r="T37" s="777" t="s">
        <v>17</v>
      </c>
      <c r="U37" s="778">
        <f t="shared" si="11"/>
        <v>100</v>
      </c>
      <c r="V37" s="777" t="s">
        <v>17</v>
      </c>
      <c r="W37" s="778">
        <f t="shared" si="12"/>
        <v>100</v>
      </c>
      <c r="X37" s="779"/>
      <c r="Y37" s="3159"/>
      <c r="Z37" s="780">
        <f t="shared" si="13"/>
        <v>0</v>
      </c>
      <c r="AA37" s="1813">
        <f t="shared" si="3"/>
        <v>1</v>
      </c>
      <c r="AB37" s="1813">
        <f t="shared" si="4"/>
        <v>1</v>
      </c>
      <c r="AC37" s="1813">
        <f t="shared" si="5"/>
        <v>1</v>
      </c>
    </row>
    <row r="38" spans="1:29" ht="15">
      <c r="A38" s="472" t="s">
        <v>2555</v>
      </c>
      <c r="B38" s="456" t="s">
        <v>2742</v>
      </c>
      <c r="C38" s="679">
        <f>'数据-基础表'!A3</f>
        <v>10665.64</v>
      </c>
      <c r="D38" s="467">
        <v>100</v>
      </c>
      <c r="E38" s="679">
        <f>土地案例!D2</f>
        <v>10217</v>
      </c>
      <c r="F38" s="467">
        <f>LOOKUP(E38,117:117,118:118)-LOOKUP(C38,117:117,118:118)+100</f>
        <v>100</v>
      </c>
      <c r="G38" s="679">
        <f>土地案例!D3</f>
        <v>2884.12</v>
      </c>
      <c r="H38" s="467">
        <f>LOOKUP(G38,117:117,118:118)-LOOKUP(C38,117:117,118:118)+100</f>
        <v>100</v>
      </c>
      <c r="I38" s="530">
        <f>土地案例!D4</f>
        <v>4636.0600000000004</v>
      </c>
      <c r="J38" s="467">
        <f>LOOKUP(I38,117:117,118:118)-LOOKUP(C38,117:117,118:118)+100</f>
        <v>100</v>
      </c>
      <c r="K38" s="613"/>
      <c r="L38" s="1143"/>
      <c r="M38" s="1134"/>
      <c r="N38" s="1134"/>
      <c r="O38" s="1142"/>
      <c r="P38" s="3159"/>
      <c r="Q38" s="1812" t="str">
        <f>B38</f>
        <v>宗地面积</v>
      </c>
      <c r="R38" s="774" t="s">
        <v>17</v>
      </c>
      <c r="S38" s="775">
        <f t="shared" si="10"/>
        <v>100</v>
      </c>
      <c r="T38" s="774" t="s">
        <v>17</v>
      </c>
      <c r="U38" s="775">
        <f t="shared" si="11"/>
        <v>100</v>
      </c>
      <c r="V38" s="774" t="s">
        <v>17</v>
      </c>
      <c r="W38" s="775">
        <f t="shared" si="12"/>
        <v>100</v>
      </c>
      <c r="X38" s="1815"/>
      <c r="Y38" s="3159"/>
      <c r="Z38" s="1816" t="str">
        <f t="shared" si="13"/>
        <v>宗地面积</v>
      </c>
      <c r="AA38" s="1813">
        <f t="shared" si="3"/>
        <v>1</v>
      </c>
      <c r="AB38" s="1813">
        <f t="shared" si="4"/>
        <v>1</v>
      </c>
      <c r="AC38" s="1813">
        <f t="shared" si="5"/>
        <v>1</v>
      </c>
    </row>
    <row r="39" spans="1:29" ht="15">
      <c r="A39" s="472"/>
      <c r="B39" s="422" t="s">
        <v>2743</v>
      </c>
      <c r="C39" s="2619" t="s">
        <v>3108</v>
      </c>
      <c r="D39" s="435">
        <v>100</v>
      </c>
      <c r="E39" s="2619" t="s">
        <v>3108</v>
      </c>
      <c r="F39" s="435">
        <f>SUMIF(119:119,E39,120:120)-SUMIF(119:119,C39,120:120)+100</f>
        <v>100</v>
      </c>
      <c r="G39" s="2619" t="s">
        <v>3108</v>
      </c>
      <c r="H39" s="435">
        <f>SUMIF(119:119,G39,120:120)-SUMIF(119:119,C39,120:120)+100</f>
        <v>100</v>
      </c>
      <c r="I39" s="2619" t="s">
        <v>3108</v>
      </c>
      <c r="J39" s="435">
        <f>SUMIF(119:119,I39,120:120)-SUMIF(119:119,C39,120:120)+100</f>
        <v>100</v>
      </c>
      <c r="K39" s="612">
        <v>1</v>
      </c>
      <c r="L39" s="1143"/>
      <c r="M39" s="1134"/>
      <c r="N39" s="1134"/>
      <c r="O39" s="1142"/>
      <c r="P39" s="3159"/>
      <c r="Q39" s="1812" t="str">
        <f t="shared" ref="Q39:Q45" si="14">B39</f>
        <v>宗地形状</v>
      </c>
      <c r="R39" s="774" t="s">
        <v>17</v>
      </c>
      <c r="S39" s="775">
        <f t="shared" si="10"/>
        <v>100</v>
      </c>
      <c r="T39" s="774" t="s">
        <v>17</v>
      </c>
      <c r="U39" s="775">
        <f t="shared" si="11"/>
        <v>100</v>
      </c>
      <c r="V39" s="774" t="s">
        <v>17</v>
      </c>
      <c r="W39" s="775">
        <f t="shared" si="12"/>
        <v>100</v>
      </c>
      <c r="X39" s="1815"/>
      <c r="Y39" s="3159"/>
      <c r="Z39" s="1816" t="str">
        <f t="shared" si="13"/>
        <v>宗地形状</v>
      </c>
      <c r="AA39" s="1813">
        <f t="shared" si="3"/>
        <v>1</v>
      </c>
      <c r="AB39" s="1813">
        <f t="shared" si="4"/>
        <v>1</v>
      </c>
      <c r="AC39" s="1813">
        <f t="shared" si="5"/>
        <v>1</v>
      </c>
    </row>
    <row r="40" spans="1:29" ht="15">
      <c r="A40" s="472"/>
      <c r="B40" s="422" t="s">
        <v>2744</v>
      </c>
      <c r="C40" s="2619" t="s">
        <v>3109</v>
      </c>
      <c r="D40" s="435">
        <v>100</v>
      </c>
      <c r="E40" s="2619" t="s">
        <v>3109</v>
      </c>
      <c r="F40" s="435">
        <f>SUMIF(121:121,E40,122:122)-SUMIF(121:121,C40,122:122)+100</f>
        <v>100</v>
      </c>
      <c r="G40" s="2619" t="s">
        <v>3109</v>
      </c>
      <c r="H40" s="435">
        <f>SUMIF(121:121,G40,122:122)-SUMIF(121:121,C40,122:122)+100</f>
        <v>100</v>
      </c>
      <c r="I40" s="2619" t="s">
        <v>3109</v>
      </c>
      <c r="J40" s="435">
        <f>SUMIF(121:121,I40,122:122)-SUMIF(121:121,C40,122:122)+100</f>
        <v>100</v>
      </c>
      <c r="K40" s="612">
        <v>1</v>
      </c>
      <c r="L40" s="1143"/>
      <c r="M40" s="1134"/>
      <c r="N40" s="1134"/>
      <c r="O40" s="1142"/>
      <c r="P40" s="3159"/>
      <c r="Q40" s="1812" t="str">
        <f t="shared" si="14"/>
        <v>临街宽度及深度</v>
      </c>
      <c r="R40" s="774" t="s">
        <v>17</v>
      </c>
      <c r="S40" s="775">
        <f t="shared" si="10"/>
        <v>100</v>
      </c>
      <c r="T40" s="774" t="s">
        <v>17</v>
      </c>
      <c r="U40" s="775">
        <f t="shared" si="11"/>
        <v>100</v>
      </c>
      <c r="V40" s="774" t="s">
        <v>17</v>
      </c>
      <c r="W40" s="775">
        <f t="shared" si="12"/>
        <v>100</v>
      </c>
      <c r="X40" s="1815"/>
      <c r="Y40" s="3159"/>
      <c r="Z40" s="1816" t="str">
        <f t="shared" si="13"/>
        <v>临街宽度及深度</v>
      </c>
      <c r="AA40" s="1813">
        <f t="shared" si="3"/>
        <v>1</v>
      </c>
      <c r="AB40" s="1813">
        <f t="shared" si="4"/>
        <v>1</v>
      </c>
      <c r="AC40" s="1813">
        <f t="shared" si="5"/>
        <v>1</v>
      </c>
    </row>
    <row r="41" spans="1:29" s="117" customFormat="1" ht="15">
      <c r="A41" s="473"/>
      <c r="B41" s="422" t="s">
        <v>2745</v>
      </c>
      <c r="C41" s="2708" t="s">
        <v>3107</v>
      </c>
      <c r="D41" s="136">
        <v>100</v>
      </c>
      <c r="E41" s="2708" t="s">
        <v>3107</v>
      </c>
      <c r="F41" s="435">
        <f>SUMIF(123:123,E41,124:124)-SUMIF(123:123,C41,124:124)+100</f>
        <v>100</v>
      </c>
      <c r="G41" s="2708" t="s">
        <v>3107</v>
      </c>
      <c r="H41" s="435">
        <f>SUMIF(123:123,G41,124:124)-SUMIF(123:123,C41,124:124)+100</f>
        <v>100</v>
      </c>
      <c r="I41" s="2708" t="s">
        <v>3107</v>
      </c>
      <c r="J41" s="435">
        <f>SUMIF(123:123,I41,124:124)-SUMIF(123:123,C41,124:124)+100</f>
        <v>100</v>
      </c>
      <c r="K41" s="612">
        <v>1</v>
      </c>
      <c r="L41" s="1135"/>
      <c r="M41" s="1136"/>
      <c r="N41" s="1136"/>
      <c r="O41" s="1137"/>
      <c r="P41" s="3159"/>
      <c r="Q41" s="1812" t="str">
        <f t="shared" si="14"/>
        <v>宗地开发程度</v>
      </c>
      <c r="R41" s="770" t="s">
        <v>17</v>
      </c>
      <c r="S41" s="771">
        <f t="shared" si="10"/>
        <v>100</v>
      </c>
      <c r="T41" s="770" t="s">
        <v>17</v>
      </c>
      <c r="U41" s="771">
        <f t="shared" si="11"/>
        <v>100</v>
      </c>
      <c r="V41" s="770" t="s">
        <v>17</v>
      </c>
      <c r="W41" s="771">
        <f t="shared" si="12"/>
        <v>100</v>
      </c>
      <c r="X41" s="772"/>
      <c r="Y41" s="3159"/>
      <c r="Z41" s="55" t="str">
        <f t="shared" si="13"/>
        <v>宗地开发程度</v>
      </c>
      <c r="AA41" s="773">
        <f t="shared" si="3"/>
        <v>1</v>
      </c>
      <c r="AB41" s="773">
        <f t="shared" si="4"/>
        <v>1</v>
      </c>
      <c r="AC41" s="773">
        <f t="shared" si="5"/>
        <v>1</v>
      </c>
    </row>
    <row r="42" spans="1:29" ht="15.75" thickBot="1">
      <c r="A42" s="472"/>
      <c r="B42" s="422" t="s">
        <v>2746</v>
      </c>
      <c r="C42" s="2619" t="s">
        <v>3102</v>
      </c>
      <c r="D42" s="435">
        <v>100</v>
      </c>
      <c r="E42" s="2619" t="s">
        <v>3102</v>
      </c>
      <c r="F42" s="435">
        <f>SUMIF(125:125,E42,126:126)-SUMIF(125:125,C42,126:126)+100</f>
        <v>100</v>
      </c>
      <c r="G42" s="2619" t="s">
        <v>3102</v>
      </c>
      <c r="H42" s="435">
        <f>SUMIF(125:125,G42,126:126)-SUMIF(125:125,C42,126:126)+100</f>
        <v>100</v>
      </c>
      <c r="I42" s="2619" t="s">
        <v>3102</v>
      </c>
      <c r="J42" s="435">
        <f>SUMIF(125:125,I42,126:126)-SUMIF(125:125,C42,126:126)+100</f>
        <v>100</v>
      </c>
      <c r="K42" s="612">
        <v>1</v>
      </c>
      <c r="L42" s="1143"/>
      <c r="M42" s="1134"/>
      <c r="N42" s="1134"/>
      <c r="O42" s="1142"/>
      <c r="P42" s="3159" t="s">
        <v>2557</v>
      </c>
      <c r="Q42" s="1812" t="str">
        <f t="shared" si="14"/>
        <v>工程地质条件</v>
      </c>
      <c r="R42" s="774" t="s">
        <v>17</v>
      </c>
      <c r="S42" s="775">
        <f t="shared" si="10"/>
        <v>100</v>
      </c>
      <c r="T42" s="774" t="s">
        <v>17</v>
      </c>
      <c r="U42" s="775">
        <f t="shared" si="11"/>
        <v>100</v>
      </c>
      <c r="V42" s="774" t="s">
        <v>17</v>
      </c>
      <c r="W42" s="775">
        <f t="shared" si="12"/>
        <v>100</v>
      </c>
      <c r="X42" s="1815"/>
      <c r="Y42" s="3159" t="s">
        <v>2557</v>
      </c>
      <c r="Z42" s="1816" t="str">
        <f t="shared" si="13"/>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9"/>
      <c r="Q43" s="1812">
        <f t="shared" si="14"/>
        <v>0</v>
      </c>
      <c r="R43" s="774" t="s">
        <v>17</v>
      </c>
      <c r="S43" s="775">
        <f t="shared" si="10"/>
        <v>100</v>
      </c>
      <c r="T43" s="774" t="s">
        <v>17</v>
      </c>
      <c r="U43" s="775">
        <f t="shared" si="11"/>
        <v>100</v>
      </c>
      <c r="V43" s="774" t="s">
        <v>17</v>
      </c>
      <c r="W43" s="775">
        <f t="shared" si="12"/>
        <v>100</v>
      </c>
      <c r="X43" s="1815"/>
      <c r="Y43" s="3159"/>
      <c r="Z43" s="1816">
        <f t="shared" si="13"/>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9"/>
      <c r="Q44" s="1812">
        <f t="shared" si="14"/>
        <v>0</v>
      </c>
      <c r="R44" s="774" t="s">
        <v>17</v>
      </c>
      <c r="S44" s="775">
        <f t="shared" si="10"/>
        <v>100</v>
      </c>
      <c r="T44" s="774" t="s">
        <v>17</v>
      </c>
      <c r="U44" s="775">
        <f t="shared" si="11"/>
        <v>100</v>
      </c>
      <c r="V44" s="774" t="s">
        <v>17</v>
      </c>
      <c r="W44" s="775">
        <f t="shared" si="12"/>
        <v>100</v>
      </c>
      <c r="X44" s="1815"/>
      <c r="Y44" s="3159"/>
      <c r="Z44" s="1816">
        <f t="shared" si="13"/>
        <v>0</v>
      </c>
      <c r="AA44" s="1813">
        <f t="shared" si="3"/>
        <v>1</v>
      </c>
      <c r="AB44" s="1813">
        <f t="shared" si="4"/>
        <v>1</v>
      </c>
      <c r="AC44" s="1813">
        <f t="shared" si="5"/>
        <v>1</v>
      </c>
    </row>
    <row r="45" spans="1:29" s="471" customFormat="1" ht="15.75" hidden="1"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9"/>
      <c r="Q45" s="1812">
        <f t="shared" si="14"/>
        <v>0</v>
      </c>
      <c r="R45" s="777" t="s">
        <v>17</v>
      </c>
      <c r="S45" s="778">
        <f t="shared" si="10"/>
        <v>100</v>
      </c>
      <c r="T45" s="777" t="s">
        <v>17</v>
      </c>
      <c r="U45" s="778">
        <f t="shared" si="11"/>
        <v>100</v>
      </c>
      <c r="V45" s="777" t="s">
        <v>17</v>
      </c>
      <c r="W45" s="778">
        <f t="shared" si="12"/>
        <v>100</v>
      </c>
      <c r="X45" s="779"/>
      <c r="Y45" s="3159"/>
      <c r="Z45" s="780">
        <f t="shared" si="13"/>
        <v>0</v>
      </c>
      <c r="AA45" s="1813">
        <f t="shared" si="3"/>
        <v>1</v>
      </c>
      <c r="AB45" s="1813">
        <f t="shared" si="4"/>
        <v>1</v>
      </c>
      <c r="AC45" s="1813">
        <f t="shared" si="5"/>
        <v>1</v>
      </c>
    </row>
    <row r="46" spans="1:29" ht="15">
      <c r="A46" s="479" t="s">
        <v>2712</v>
      </c>
      <c r="B46" s="2710" t="s">
        <v>3110</v>
      </c>
      <c r="C46" s="682" t="s">
        <v>1</v>
      </c>
      <c r="D46" s="481"/>
      <c r="E46" s="482">
        <f>土地案例!K2</f>
        <v>3751.59</v>
      </c>
      <c r="F46" s="483"/>
      <c r="G46" s="484">
        <f>土地案例!K3</f>
        <v>4503.97</v>
      </c>
      <c r="H46" s="485"/>
      <c r="I46" s="482">
        <f>土地案例!K4</f>
        <v>3748.86</v>
      </c>
      <c r="J46" s="485"/>
      <c r="K46" s="783"/>
      <c r="L46" s="1146"/>
      <c r="M46" s="1147"/>
      <c r="N46" s="1134"/>
      <c r="O46" s="1147"/>
      <c r="P46" s="3154" t="str">
        <f>A46</f>
        <v>成交单价</v>
      </c>
      <c r="Q46" s="3154"/>
      <c r="R46" s="3160">
        <f>E46</f>
        <v>3751.59</v>
      </c>
      <c r="S46" s="3160"/>
      <c r="T46" s="3160">
        <f>G46</f>
        <v>4503.97</v>
      </c>
      <c r="U46" s="3160"/>
      <c r="V46" s="3160">
        <f>I46</f>
        <v>3748.86</v>
      </c>
      <c r="W46" s="3160"/>
      <c r="X46" s="759"/>
      <c r="Y46" s="781"/>
      <c r="Z46" s="759"/>
      <c r="AA46" s="759"/>
      <c r="AB46" s="759"/>
      <c r="AC46" s="759"/>
    </row>
    <row r="47" spans="1:29" ht="15.75" thickBot="1">
      <c r="A47" s="486" t="s">
        <v>2661</v>
      </c>
      <c r="B47" s="683"/>
      <c r="C47" s="490">
        <f>R48</f>
        <v>4480</v>
      </c>
      <c r="D47" s="489"/>
      <c r="E47" s="490">
        <f>R47</f>
        <v>4200</v>
      </c>
      <c r="F47" s="491"/>
      <c r="G47" s="488">
        <f>T47</f>
        <v>5042</v>
      </c>
      <c r="H47" s="489"/>
      <c r="I47" s="490">
        <f>V47</f>
        <v>4197</v>
      </c>
      <c r="J47" s="489"/>
      <c r="K47" s="784"/>
      <c r="L47" s="1146"/>
      <c r="M47" s="1147"/>
      <c r="N47" s="1147"/>
      <c r="O47" s="1147"/>
      <c r="P47" s="3154" t="str">
        <f>A47</f>
        <v>比较价值（元/平方米）</v>
      </c>
      <c r="Q47" s="3154"/>
      <c r="R47" s="3147">
        <f>ROUND(PRODUCT(R46,AA7:AA45),0)</f>
        <v>4200</v>
      </c>
      <c r="S47" s="3147"/>
      <c r="T47" s="3147">
        <f>ROUND(PRODUCT(T46,AB7:AB45),0)</f>
        <v>5042</v>
      </c>
      <c r="U47" s="3147"/>
      <c r="V47" s="3147">
        <f>ROUND(PRODUCT(V46,AC7:AC45),0)</f>
        <v>4197</v>
      </c>
      <c r="W47" s="3147"/>
      <c r="X47" s="759"/>
      <c r="Y47" s="759"/>
      <c r="Z47" s="759"/>
      <c r="AA47" s="759"/>
      <c r="AB47" s="759"/>
      <c r="AC47" s="759"/>
    </row>
    <row r="48" spans="1:29" ht="15.75" thickBot="1">
      <c r="A48" s="492" t="s">
        <v>2747</v>
      </c>
      <c r="B48" s="493"/>
      <c r="C48" s="494">
        <f>R48</f>
        <v>4480</v>
      </c>
      <c r="D48" s="494"/>
      <c r="E48" s="494"/>
      <c r="F48" s="494"/>
      <c r="G48" s="494"/>
      <c r="H48" s="494"/>
      <c r="I48" s="494"/>
      <c r="J48" s="494"/>
      <c r="K48" s="785"/>
      <c r="L48" s="1146"/>
      <c r="M48" s="1147"/>
      <c r="N48" s="1147"/>
      <c r="O48" s="1147"/>
      <c r="P48" s="3148" t="str">
        <f>A48</f>
        <v>估价对象XX用房的比较价值（楼面单价，元/平方米）</v>
      </c>
      <c r="Q48" s="3149"/>
      <c r="R48" s="3150">
        <f>ROUND(AVERAGE(R47:V47),0)</f>
        <v>4480</v>
      </c>
      <c r="S48" s="3150"/>
      <c r="T48" s="3150"/>
      <c r="U48" s="3150"/>
      <c r="V48" s="3150"/>
      <c r="W48" s="31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0.11952532126378412</v>
      </c>
      <c r="F51" s="500" t="str">
        <f>IF(OR(E51&gt;=0.3,E51&lt;=-0.3),"超过30%","")</f>
        <v/>
      </c>
      <c r="G51" s="499">
        <f>IF(G46&lt;G47,G47/G46-1,G46/G47-1)</f>
        <v>0.11945683474801116</v>
      </c>
      <c r="H51" s="500" t="str">
        <f>IF(OR(G51&gt;=0.3,G51&lt;=-0.3),"超过30%","")</f>
        <v/>
      </c>
      <c r="I51" s="499">
        <f>IF(I46&lt;I47,I47/I46-1,I46/I47-1)</f>
        <v>0.11954034026344007</v>
      </c>
      <c r="J51" s="500" t="str">
        <f>IF(OR(I51&gt;=0.3,I51&lt;=-0.3),"超过30%","")</f>
        <v/>
      </c>
      <c r="K51" s="1108"/>
      <c r="L51" s="1109"/>
      <c r="M51" s="1147"/>
      <c r="N51" s="1147"/>
      <c r="O51" s="1147"/>
    </row>
    <row r="52" spans="1:15" ht="13.5" customHeight="1">
      <c r="A52" s="1147"/>
      <c r="B52" s="1147"/>
      <c r="C52" s="497" t="s">
        <v>2664</v>
      </c>
      <c r="D52" s="501"/>
      <c r="E52" s="499">
        <f>IF(E47&lt;G47,G47/E47-1,E47/G47-1)</f>
        <v>0.20047619047619047</v>
      </c>
      <c r="F52" s="500" t="str">
        <f>IF(OR(E52&gt;=0.2,E52&lt;=-0.2),"超过20%","")</f>
        <v>超过20%</v>
      </c>
      <c r="G52" s="499">
        <f>IF(G47&lt;I47,I47/G47-1,G47/I47-1)</f>
        <v>0.20133428639504403</v>
      </c>
      <c r="H52" s="500" t="str">
        <f>IF(OR(G52&gt;=0.2,G52&lt;=-0.2),"超过20%","")</f>
        <v>超过20%</v>
      </c>
      <c r="I52" s="499">
        <f>IF(I47&lt;E47,E47/I47-1,I47/E47-1)</f>
        <v>7.1479628305937126E-4</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0.20054963362201095</v>
      </c>
      <c r="F53" s="500" t="str">
        <f>IF(OR(E53&gt;=0.3,E53&lt;=-0.3),"超过30%","")</f>
        <v/>
      </c>
      <c r="G53" s="499">
        <f>IF(G46&lt;I46,I46/G46-1,G46/I46-1)</f>
        <v>0.20142389953212447</v>
      </c>
      <c r="H53" s="500" t="str">
        <f>IF(OR(G53&gt;=0.3,G53&lt;=-0.3),"超过30%","")</f>
        <v/>
      </c>
      <c r="I53" s="499">
        <f>IF(I46&lt;E46,E46/I46-1,I46/E46-1)</f>
        <v>7.2822137929939856E-4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51" t="s">
        <v>2754</v>
      </c>
      <c r="H55" s="3152"/>
      <c r="I55" s="144" t="s">
        <v>2755</v>
      </c>
      <c r="J55" s="2713">
        <f>项目基本情况!F35</f>
        <v>0</v>
      </c>
      <c r="K55" s="2714" t="s">
        <v>2756</v>
      </c>
      <c r="L55" s="1109"/>
      <c r="M55" s="1147"/>
      <c r="N55" s="1147"/>
      <c r="O55" s="1147"/>
    </row>
    <row r="56" spans="1:15" s="692" customFormat="1">
      <c r="A56" s="688" t="s">
        <v>2757</v>
      </c>
      <c r="B56" s="689">
        <f>C48</f>
        <v>4480</v>
      </c>
      <c r="C56" s="690">
        <v>1</v>
      </c>
      <c r="D56" s="1166">
        <v>1</v>
      </c>
      <c r="E56" s="690">
        <f>'数据-汇总表'!E8+'数据-汇总表'!E9</f>
        <v>7302.06</v>
      </c>
      <c r="F56" s="1106">
        <f t="shared" ref="F56:F65" si="15">ROUND(B56*E56/10000,0)</f>
        <v>3271</v>
      </c>
      <c r="G56" s="3153"/>
      <c r="H56" s="3154"/>
      <c r="I56" s="1111">
        <v>1</v>
      </c>
      <c r="J56" s="1114">
        <v>1</v>
      </c>
      <c r="K56" s="1148"/>
      <c r="L56" s="944"/>
      <c r="M56" s="944"/>
      <c r="N56" s="944"/>
      <c r="O56" s="944"/>
    </row>
    <row r="57" spans="1:15" s="692" customFormat="1">
      <c r="A57" s="693" t="s">
        <v>2758</v>
      </c>
      <c r="B57" s="262">
        <f>ROUND($C$48*C57*D57,0)</f>
        <v>0</v>
      </c>
      <c r="C57" s="200">
        <f t="shared" ref="C57:C65" si="16">IF($C$55="北京市系数",I57,J57)</f>
        <v>0</v>
      </c>
      <c r="D57" s="1167">
        <v>0.25</v>
      </c>
      <c r="E57" s="694"/>
      <c r="F57" s="1106">
        <f t="shared" si="15"/>
        <v>0</v>
      </c>
      <c r="G57" s="3155" t="s">
        <v>2759</v>
      </c>
      <c r="H57" s="1107">
        <f>项目基本情况!B37</f>
        <v>0</v>
      </c>
      <c r="I57" s="1111">
        <f>SUMIF(修正!A45:A56,H57,修正!B45:B56)</f>
        <v>0</v>
      </c>
      <c r="J57" s="1115"/>
      <c r="K57" s="1147"/>
      <c r="L57" s="944"/>
      <c r="M57" s="944"/>
      <c r="N57" s="944"/>
      <c r="O57" s="944"/>
    </row>
    <row r="58" spans="1:15" s="692" customFormat="1">
      <c r="A58" s="693" t="s">
        <v>2760</v>
      </c>
      <c r="B58" s="262">
        <f t="shared" ref="B58:B65" si="17">ROUND($C$48*C58*D58,0)</f>
        <v>0</v>
      </c>
      <c r="C58" s="200">
        <f t="shared" si="16"/>
        <v>0</v>
      </c>
      <c r="D58" s="1167">
        <v>0.25</v>
      </c>
      <c r="E58" s="694"/>
      <c r="F58" s="1106">
        <f t="shared" si="15"/>
        <v>0</v>
      </c>
      <c r="G58" s="3155"/>
      <c r="H58" s="1107">
        <f>项目基本情况!B37</f>
        <v>0</v>
      </c>
      <c r="I58" s="1111">
        <f>SUMIF(修正!A45:A56,H58,修正!C45:C56)</f>
        <v>0</v>
      </c>
      <c r="J58" s="1115"/>
      <c r="K58" s="1148"/>
      <c r="L58" s="944"/>
      <c r="M58" s="944"/>
      <c r="N58" s="944"/>
      <c r="O58" s="944"/>
    </row>
    <row r="59" spans="1:15" s="692" customFormat="1">
      <c r="A59" s="693" t="s">
        <v>2761</v>
      </c>
      <c r="B59" s="262">
        <f t="shared" si="17"/>
        <v>0</v>
      </c>
      <c r="C59" s="200">
        <f t="shared" si="16"/>
        <v>0</v>
      </c>
      <c r="D59" s="1167">
        <v>0.25</v>
      </c>
      <c r="E59" s="694"/>
      <c r="F59" s="1106">
        <f t="shared" si="15"/>
        <v>0</v>
      </c>
      <c r="G59" s="3155"/>
      <c r="H59" s="1107">
        <f>项目基本情况!B37</f>
        <v>0</v>
      </c>
      <c r="I59" s="1111">
        <f>SUMIF(修正!A45:A56,H59,修正!D45:D56)</f>
        <v>0</v>
      </c>
      <c r="J59" s="1115"/>
      <c r="K59" s="1147"/>
      <c r="L59" s="944"/>
      <c r="M59" s="944"/>
      <c r="N59" s="944"/>
      <c r="O59" s="944"/>
    </row>
    <row r="60" spans="1:15" s="692" customFormat="1">
      <c r="A60" s="693" t="s">
        <v>2762</v>
      </c>
      <c r="B60" s="262">
        <f t="shared" si="17"/>
        <v>0</v>
      </c>
      <c r="C60" s="200">
        <f t="shared" si="16"/>
        <v>0</v>
      </c>
      <c r="D60" s="1167">
        <v>0.25</v>
      </c>
      <c r="E60" s="694"/>
      <c r="F60" s="1106">
        <f t="shared" si="15"/>
        <v>0</v>
      </c>
      <c r="G60" s="3155"/>
      <c r="H60" s="1107">
        <f>项目基本情况!B37</f>
        <v>0</v>
      </c>
      <c r="I60" s="1111">
        <f>SUMIF(修正!A45:A56,H60,修正!E45:E56)</f>
        <v>0</v>
      </c>
      <c r="J60" s="1115"/>
      <c r="K60" s="1148"/>
      <c r="L60" s="944"/>
      <c r="M60" s="944"/>
      <c r="N60" s="944"/>
      <c r="O60" s="944"/>
    </row>
    <row r="61" spans="1:15" s="692" customFormat="1">
      <c r="A61" s="693" t="s">
        <v>2763</v>
      </c>
      <c r="B61" s="262">
        <f t="shared" si="17"/>
        <v>0</v>
      </c>
      <c r="C61" s="200">
        <f t="shared" si="16"/>
        <v>0</v>
      </c>
      <c r="D61" s="1167">
        <v>0.25</v>
      </c>
      <c r="E61" s="261">
        <f>'数据-汇总表'!E11</f>
        <v>0</v>
      </c>
      <c r="F61" s="1106">
        <f t="shared" si="15"/>
        <v>0</v>
      </c>
      <c r="G61" s="2715" t="s">
        <v>2764</v>
      </c>
      <c r="H61" s="1107">
        <f>项目基本情况!C37</f>
        <v>0</v>
      </c>
      <c r="I61" s="1111">
        <f>SUMIF(修正!A45:A56,H61,修正!F45:F56)</f>
        <v>0</v>
      </c>
      <c r="J61" s="1115"/>
      <c r="K61" s="1147"/>
      <c r="L61" s="944"/>
      <c r="M61" s="944"/>
      <c r="N61" s="944"/>
      <c r="O61" s="944"/>
    </row>
    <row r="62" spans="1:15" s="692" customFormat="1">
      <c r="A62" s="693" t="s">
        <v>2765</v>
      </c>
      <c r="B62" s="262">
        <f t="shared" si="17"/>
        <v>0</v>
      </c>
      <c r="C62" s="200">
        <f t="shared" si="16"/>
        <v>0</v>
      </c>
      <c r="D62" s="1167">
        <v>0.25</v>
      </c>
      <c r="E62" s="261">
        <f>'数据-汇总表'!E12</f>
        <v>0</v>
      </c>
      <c r="F62" s="1106">
        <f t="shared" si="15"/>
        <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f t="shared" si="17"/>
        <v>0</v>
      </c>
      <c r="C63" s="200">
        <f t="shared" si="16"/>
        <v>0</v>
      </c>
      <c r="D63" s="1167">
        <v>0.25</v>
      </c>
      <c r="E63" s="261">
        <f>'数据-汇总表'!E13</f>
        <v>0</v>
      </c>
      <c r="F63" s="1106">
        <f t="shared" si="15"/>
        <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f t="shared" si="17"/>
        <v>0</v>
      </c>
      <c r="C64" s="200">
        <f t="shared" si="16"/>
        <v>0</v>
      </c>
      <c r="D64" s="1167">
        <v>0.25</v>
      </c>
      <c r="E64" s="261">
        <f>'数据-汇总表'!E14</f>
        <v>0</v>
      </c>
      <c r="F64" s="1106">
        <f t="shared" si="15"/>
        <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f t="shared" si="17"/>
        <v>0</v>
      </c>
      <c r="C65" s="200">
        <f t="shared" si="16"/>
        <v>0</v>
      </c>
      <c r="D65" s="1167">
        <v>0.25</v>
      </c>
      <c r="E65" s="261">
        <f>'数据-汇总表'!E15</f>
        <v>0</v>
      </c>
      <c r="F65" s="1106">
        <f t="shared" si="15"/>
        <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10665.64</v>
      </c>
      <c r="F66" s="697">
        <f>IF(B46="楼面地价",SUM(F56:F65),ROUND(C48*E66/10000,0))</f>
        <v>4778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2773</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54" t="s">
        <v>3093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2955" t="s">
        <v>3094</v>
      </c>
      <c r="D106" s="2955" t="s">
        <v>3095</v>
      </c>
      <c r="E106" s="2955" t="s">
        <v>3096</v>
      </c>
      <c r="F106" s="2955" t="s">
        <v>3097</v>
      </c>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2782</v>
      </c>
      <c r="C119" s="2956" t="s">
        <v>3098</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2783</v>
      </c>
      <c r="C121" s="2955" t="s">
        <v>3099</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2784</v>
      </c>
      <c r="C123" s="2955" t="s">
        <v>3100</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2785</v>
      </c>
      <c r="C125" s="2955" t="s">
        <v>3101</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5" zoomScaleNormal="85"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3056</v>
      </c>
      <c r="D1" s="1822" t="s">
        <v>70</v>
      </c>
      <c r="E1" s="1823" t="s">
        <v>1383</v>
      </c>
      <c r="F1" s="1286">
        <f ca="1">J53</f>
        <v>30.33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2799</v>
      </c>
      <c r="C2" s="1847" t="s">
        <v>1512</v>
      </c>
      <c r="D2" s="1847"/>
      <c r="E2" s="1848"/>
      <c r="F2" s="1849"/>
      <c r="G2" s="1850"/>
      <c r="H2" s="1842"/>
      <c r="I2" s="1842"/>
      <c r="J2" s="1842"/>
      <c r="K2" s="1843"/>
      <c r="L2" s="1842"/>
      <c r="M2" s="1842"/>
    </row>
    <row r="3" spans="1:37" ht="18" customHeight="1" thickBot="1">
      <c r="A3" s="1851" t="s">
        <v>1513</v>
      </c>
      <c r="B3" s="1852">
        <f ca="1">IF(ISERROR(B2*10000/F43),0,ROUND(B2*10000/F43,0))</f>
        <v>3833</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240</v>
      </c>
      <c r="D5" s="1824" t="s">
        <v>1398</v>
      </c>
      <c r="E5" s="1296"/>
      <c r="F5" s="1297"/>
      <c r="G5" s="1853"/>
      <c r="H5" s="344">
        <v>1</v>
      </c>
      <c r="I5" s="345" t="s">
        <v>1397</v>
      </c>
      <c r="J5" s="1295">
        <f ca="1">J6+J10+J12</f>
        <v>0</v>
      </c>
      <c r="K5" s="1824" t="s">
        <v>1398</v>
      </c>
      <c r="L5" s="1296"/>
      <c r="M5" s="1297"/>
    </row>
    <row r="6" spans="1:37" ht="18" customHeight="1">
      <c r="A6" s="1294" t="s">
        <v>1032</v>
      </c>
      <c r="B6" s="3192" t="s">
        <v>1399</v>
      </c>
      <c r="C6" s="1299">
        <f ca="1">ROUND(F6*F8*F7*(1-F9)/10000,0)</f>
        <v>240</v>
      </c>
      <c r="D6" s="164" t="s">
        <v>3024</v>
      </c>
      <c r="E6" s="347" t="s">
        <v>1401</v>
      </c>
      <c r="F6" s="348">
        <f ca="1">INDIRECT("'数据-取费表'!u"&amp;$G$1)</f>
        <v>1</v>
      </c>
      <c r="G6" s="1853"/>
      <c r="H6" s="1294" t="s">
        <v>1032</v>
      </c>
      <c r="I6" s="3192" t="s">
        <v>1399</v>
      </c>
      <c r="J6" s="346">
        <f ca="1">ROUND(M6*M8*M7*(1-M9)/10000,0)</f>
        <v>0</v>
      </c>
      <c r="K6" s="164" t="s">
        <v>3023</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7302.06</v>
      </c>
      <c r="G7" s="1853"/>
      <c r="H7" s="349"/>
      <c r="I7" s="3193"/>
      <c r="J7" s="351"/>
      <c r="K7" s="352"/>
      <c r="L7" s="347" t="s">
        <v>1402</v>
      </c>
      <c r="M7" s="348">
        <f ca="1">F7</f>
        <v>7302.06</v>
      </c>
    </row>
    <row r="8" spans="1:37" ht="18" customHeight="1">
      <c r="A8" s="349"/>
      <c r="B8" s="3193"/>
      <c r="C8" s="351"/>
      <c r="D8" s="352"/>
      <c r="E8" s="347" t="s">
        <v>1403</v>
      </c>
      <c r="F8" s="348">
        <f ca="1">INDIRECT("'数据-取费表'!ai"&amp;$G$1)</f>
        <v>365</v>
      </c>
      <c r="G8" s="1853"/>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3033</v>
      </c>
      <c r="E10" s="358" t="s">
        <v>1406</v>
      </c>
      <c r="F10" s="1369" t="s">
        <v>3054</v>
      </c>
      <c r="G10" s="1853"/>
      <c r="H10" s="1294" t="s">
        <v>1036</v>
      </c>
      <c r="I10" s="1825" t="s">
        <v>1405</v>
      </c>
      <c r="J10" s="346">
        <f ca="1">ROUND(IF(M10="押一",J6/12*M11,IF(M10="押二",J6/12*2*M11,IF(M10="押三",J6/12*3*M11,J11*M11))),0)</f>
        <v>0</v>
      </c>
      <c r="K10" s="1826" t="s">
        <v>3032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3075</v>
      </c>
      <c r="D13" s="1334" t="s">
        <v>1411</v>
      </c>
      <c r="E13" s="1334" t="s">
        <v>1412</v>
      </c>
      <c r="F13" s="1335">
        <f ca="1">INDIRECT("'数据-取费表'!y"&amp;$G$1)</f>
        <v>0.8</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2556</v>
      </c>
      <c r="D14" s="1802" t="s">
        <v>1414</v>
      </c>
      <c r="E14" s="1796"/>
      <c r="F14" s="364"/>
      <c r="G14" s="1853"/>
      <c r="H14" s="1204" t="s">
        <v>1032</v>
      </c>
      <c r="I14" s="347" t="s">
        <v>1415</v>
      </c>
      <c r="J14" s="24">
        <f ca="1">C29</f>
        <v>3844</v>
      </c>
      <c r="K14" s="15"/>
      <c r="L14" s="982"/>
      <c r="M14" s="983"/>
    </row>
    <row r="15" spans="1:37" s="1860" customFormat="1" ht="18" customHeight="1" thickBot="1">
      <c r="A15" s="1204" t="s">
        <v>1033</v>
      </c>
      <c r="B15" s="347" t="s">
        <v>1416</v>
      </c>
      <c r="C15" s="24">
        <f ca="1">ROUND(C14*F15,0)</f>
        <v>128</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102</v>
      </c>
      <c r="K16" s="1340" t="s">
        <v>1421</v>
      </c>
      <c r="L16" s="1341"/>
      <c r="M16" s="1297"/>
    </row>
    <row r="17" spans="1:37" s="1860" customFormat="1" ht="18" customHeight="1">
      <c r="A17" s="1204" t="s">
        <v>1386</v>
      </c>
      <c r="B17" s="347" t="s">
        <v>1422</v>
      </c>
      <c r="C17" s="24">
        <f ca="1">ROUND(F17*(F43+INDIRECT("'数据-取费表'!S"&amp;$G$1))/10000,0)</f>
        <v>146</v>
      </c>
      <c r="D17" s="347" t="s">
        <v>1423</v>
      </c>
      <c r="E17" s="347" t="s">
        <v>1424</v>
      </c>
      <c r="F17" s="26">
        <f>'数据-取费表'!B35</f>
        <v>200</v>
      </c>
      <c r="G17" s="1856"/>
      <c r="H17" s="1204" t="s">
        <v>1032</v>
      </c>
      <c r="I17" s="347" t="s">
        <v>1425</v>
      </c>
      <c r="J17" s="24">
        <f ca="1">ROUND(IF(项目基本情况!B11="自然人",J5*M17,J18+J19+J20),1)</f>
        <v>44</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38</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2868</v>
      </c>
      <c r="D19" s="140" t="s">
        <v>1432</v>
      </c>
      <c r="E19" s="1820"/>
      <c r="F19" s="26"/>
      <c r="G19" s="1853"/>
      <c r="H19" s="1204" t="s">
        <v>1033</v>
      </c>
      <c r="I19" s="347" t="s">
        <v>1433</v>
      </c>
      <c r="J19" s="24">
        <f ca="1">IF(K19="按租金收入计税",ROUND(J5*M19,2),ROUND(C29*M19*0.7,2))</f>
        <v>32.29</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86</v>
      </c>
      <c r="D20" s="369" t="s">
        <v>1436</v>
      </c>
      <c r="E20" s="347" t="s">
        <v>1418</v>
      </c>
      <c r="F20" s="367">
        <f>'数据-取费表'!B37</f>
        <v>0.03</v>
      </c>
      <c r="G20" s="1856"/>
      <c r="H20" s="1204" t="s">
        <v>1385</v>
      </c>
      <c r="I20" s="164" t="s">
        <v>1437</v>
      </c>
      <c r="J20" s="25">
        <f ca="1">ROUND(M20*M21/10000,2)</f>
        <v>11.73</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10665.64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57.7</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-102</v>
      </c>
      <c r="K25" s="1348" t="s">
        <v>1460</v>
      </c>
      <c r="L25" s="1349"/>
      <c r="M25" s="1350"/>
    </row>
    <row r="26" spans="1:37">
      <c r="A26" s="1204" t="s">
        <v>1031</v>
      </c>
      <c r="B26" s="347" t="s">
        <v>1461</v>
      </c>
      <c r="C26" s="24">
        <f ca="1">ROUND((C19+C20)*F26,0)</f>
        <v>443</v>
      </c>
      <c r="D26" s="369" t="s">
        <v>1462</v>
      </c>
      <c r="E26" s="358" t="s">
        <v>1463</v>
      </c>
      <c r="F26" s="357">
        <f ca="1">INDIRECT("'数据-取费表'!q"&amp;$G$1)</f>
        <v>0.15</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4.4999999999999997E-3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3844</v>
      </c>
      <c r="D29" s="1345"/>
      <c r="E29" s="1343"/>
      <c r="F29" s="1346"/>
      <c r="G29" s="1856"/>
      <c r="H29" s="380" t="s">
        <v>1030</v>
      </c>
      <c r="I29" s="381" t="s">
        <v>1475</v>
      </c>
      <c r="J29" s="382">
        <f ca="1">ROUND(J26/(1+F40)^F41,0)</f>
        <v>0</v>
      </c>
      <c r="K29" s="383" t="s">
        <v>1476</v>
      </c>
      <c r="L29" s="384"/>
      <c r="M29" s="385">
        <f ca="1">INDIRECT("'数据-取费表'!k"&amp;$G$1)</f>
        <v>7302.06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118</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53.3</v>
      </c>
      <c r="D31" s="1802" t="s">
        <v>1426</v>
      </c>
      <c r="E31" s="1800" t="s">
        <v>1477</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1031</v>
      </c>
      <c r="B32" s="347" t="s">
        <v>1429</v>
      </c>
      <c r="C32" s="24">
        <f ca="1">IF(项目基本情况!B11="自然人","——",ROUND(C5*F32/(1+'数据-取费表'!C42),2))</f>
        <v>12.8</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28.8</v>
      </c>
      <c r="D33" s="1830" t="s">
        <v>3055</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11.73</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10665.64</v>
      </c>
      <c r="G35" s="1853"/>
      <c r="H35" s="745"/>
      <c r="I35" s="1862"/>
      <c r="J35" s="1863"/>
      <c r="K35" s="1864"/>
      <c r="L35" s="1861"/>
      <c r="M35" s="1861"/>
    </row>
    <row r="36" spans="1:18" ht="18" customHeight="1">
      <c r="A36" s="1355" t="s">
        <v>1036</v>
      </c>
      <c r="B36" s="347" t="s">
        <v>1445</v>
      </c>
      <c r="C36" s="24">
        <f ca="1">ROUND(C29*F36,1)</f>
        <v>57.7</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4.5999999999999996</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2.4</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122</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2686</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30.33</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ROUND(C40*10000/F43,0)</f>
        <v>3678</v>
      </c>
      <c r="D43" s="383" t="s">
        <v>1484</v>
      </c>
      <c r="E43" s="384" t="s">
        <v>1485</v>
      </c>
      <c r="F43" s="385">
        <f ca="1">INDIRECT("'数据-取费表'!k"&amp;$G$1)</f>
        <v>7302.06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-8481</v>
      </c>
      <c r="D46" s="1874" t="str">
        <f>C2</f>
        <v>万元</v>
      </c>
      <c r="E46" s="1868"/>
      <c r="F46" s="1868"/>
      <c r="I46" s="1875" t="s">
        <v>1517</v>
      </c>
      <c r="J46" s="1876"/>
      <c r="K46" s="1877"/>
      <c r="L46" s="1878">
        <f ca="1">IF(M47="住宅",0,IF(L48&gt;J51,L60,J60))</f>
        <v>113</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3051</v>
      </c>
      <c r="K47" s="1884" t="s">
        <v>1523</v>
      </c>
      <c r="L47" s="1885">
        <f ca="1">INDIRECT("'数据-取费表'!d"&amp;$G$1)</f>
        <v>40</v>
      </c>
      <c r="M47" s="1840" t="str">
        <f>IF(ISNUMBER(FIND("住宅",C1)),"住宅","非住宅")</f>
        <v>非住宅</v>
      </c>
      <c r="O47" s="1886" t="s">
        <v>1037</v>
      </c>
      <c r="P47" s="1887" t="s">
        <v>1524</v>
      </c>
      <c r="Q47" s="1888">
        <f ca="1">C40+J29</f>
        <v>2686</v>
      </c>
      <c r="R47" s="1888" t="s">
        <v>1525</v>
      </c>
    </row>
    <row r="48" spans="1:18" s="1844" customFormat="1" ht="28.5" thickBot="1">
      <c r="A48" s="1363" t="s">
        <v>1132</v>
      </c>
      <c r="B48" s="345" t="s">
        <v>1397</v>
      </c>
      <c r="C48" s="1819">
        <f ca="1">C49+C53+C55</f>
        <v>0</v>
      </c>
      <c r="D48" s="1365"/>
      <c r="E48" s="1366"/>
      <c r="F48" s="1184"/>
      <c r="G48" s="792"/>
      <c r="H48" s="793"/>
      <c r="I48" s="1889" t="s">
        <v>1526</v>
      </c>
      <c r="J48" s="1890" t="s">
        <v>3052</v>
      </c>
      <c r="K48" s="1891" t="s">
        <v>1527</v>
      </c>
      <c r="L48" s="1892">
        <f ca="1">INDIRECT("'数据-取费表'!f"&amp;$G$1)</f>
        <v>30.33</v>
      </c>
      <c r="O48" s="1886" t="s">
        <v>1038</v>
      </c>
      <c r="P48" s="1887" t="s">
        <v>1528</v>
      </c>
      <c r="Q48" s="1888">
        <f ca="1">J60</f>
        <v>113</v>
      </c>
      <c r="R48" s="1888" t="s">
        <v>1529</v>
      </c>
    </row>
    <row r="49" spans="1:18" s="1844" customFormat="1" ht="13.5" thickBot="1">
      <c r="A49" s="1197" t="s">
        <v>1133</v>
      </c>
      <c r="B49" s="1831" t="s">
        <v>1486</v>
      </c>
      <c r="C49" s="1367">
        <f ca="1">ROUND(F49*F51*F50*(1-F52)/10000,0)</f>
        <v>0</v>
      </c>
      <c r="D49" s="1279" t="s">
        <v>3025</v>
      </c>
      <c r="E49" s="1832" t="s">
        <v>1487</v>
      </c>
      <c r="F49" s="1284"/>
      <c r="G49" s="1893"/>
      <c r="H49" s="793"/>
      <c r="I49" s="1889" t="s">
        <v>1530</v>
      </c>
      <c r="J49" s="1894">
        <v>2000</v>
      </c>
      <c r="K49" s="1891" t="s">
        <v>1531</v>
      </c>
      <c r="L49" s="1895"/>
      <c r="O49" s="1896" t="s">
        <v>1039</v>
      </c>
      <c r="P49" s="1887" t="s">
        <v>1532</v>
      </c>
      <c r="Q49" s="1888">
        <f ca="1">C29</f>
        <v>3844</v>
      </c>
      <c r="R49" s="1888" t="s">
        <v>1525</v>
      </c>
    </row>
    <row r="50" spans="1:18" s="1844" customFormat="1" ht="13.5" thickBot="1">
      <c r="A50" s="1198"/>
      <c r="B50" s="1201"/>
      <c r="C50" s="1371"/>
      <c r="D50" s="1175"/>
      <c r="E50" s="1280" t="s">
        <v>1402</v>
      </c>
      <c r="F50" s="1281">
        <f ca="1">F7</f>
        <v>7302.06</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9"/>
      <c r="B51" s="1201"/>
      <c r="C51" s="1202"/>
      <c r="D51" s="1175"/>
      <c r="E51" s="1203" t="s">
        <v>1403</v>
      </c>
      <c r="F51" s="348">
        <f ca="1">F8</f>
        <v>365</v>
      </c>
      <c r="I51" s="1900" t="s">
        <v>1536</v>
      </c>
      <c r="J51" s="1901">
        <f>IF(J49="",J50,J49+J50-YEAR('数据-取费表'!B2))</f>
        <v>42</v>
      </c>
      <c r="K51" s="1902" t="s">
        <v>1537</v>
      </c>
      <c r="L51" s="1903">
        <f ca="1">ROUND(-PV(INDIRECT("'数据-取费表'!h"&amp;$G$1),L48,(C39-C13*C76),0),0)</f>
        <v>-2282</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30.33</v>
      </c>
      <c r="R52" s="1888" t="s">
        <v>1542</v>
      </c>
    </row>
    <row r="53" spans="1:18" s="1844" customFormat="1" ht="24.75" thickBot="1">
      <c r="A53" s="1408" t="s">
        <v>1134</v>
      </c>
      <c r="B53" s="1833" t="s">
        <v>1405</v>
      </c>
      <c r="C53" s="361">
        <f ca="1">ROUND(IF(F53="押一",C49/12*F11,IF(F53="押二",C49/12*2*F11,IF(F53="押三",C49/12*3*F11,C54*F11))),0)</f>
        <v>0</v>
      </c>
      <c r="D53" s="1826" t="s">
        <v>3032</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30.33</v>
      </c>
      <c r="K53" s="3190" t="s">
        <v>1544</v>
      </c>
      <c r="L53" s="3191"/>
      <c r="O53" s="1886" t="s">
        <v>1043</v>
      </c>
      <c r="P53" s="1887" t="s">
        <v>1545</v>
      </c>
      <c r="Q53" s="1888">
        <f ca="1">Q47+Q48</f>
        <v>2799</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f ca="1">ROUND(IF(J47="钢混",J57/J50,1-(1-2%)*(J50-J57)/J50),3)</f>
        <v>0.19500000000000001</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3075</v>
      </c>
      <c r="D56" s="1916"/>
      <c r="E56" s="1917"/>
      <c r="F56" s="1909"/>
      <c r="I56" s="1918" t="s">
        <v>1550</v>
      </c>
      <c r="J56" s="1919" t="s">
        <v>70</v>
      </c>
      <c r="K56" s="1889" t="s">
        <v>1551</v>
      </c>
      <c r="L56" s="1892" t="str">
        <f ca="1">IF(L48&lt;J51,"——",L48-J53)</f>
        <v>——</v>
      </c>
      <c r="O56" s="1886" t="s">
        <v>1037</v>
      </c>
      <c r="P56" s="1887" t="s">
        <v>1524</v>
      </c>
      <c r="Q56" s="1888">
        <f ca="1">C40+J29</f>
        <v>2686</v>
      </c>
      <c r="R56" s="1888" t="s">
        <v>1525</v>
      </c>
    </row>
    <row r="57" spans="1:18" s="1844" customFormat="1" ht="24.75" thickBot="1">
      <c r="A57" s="1920"/>
      <c r="B57" s="1172" t="s">
        <v>1474</v>
      </c>
      <c r="C57" s="282">
        <f ca="1">C29</f>
        <v>3844</v>
      </c>
      <c r="D57" s="1921"/>
      <c r="E57" s="1922"/>
      <c r="F57" s="1923"/>
      <c r="I57" s="1924" t="s">
        <v>1552</v>
      </c>
      <c r="J57" s="1925">
        <f ca="1">IF(OR(M47="住宅",J51&lt;L48,J56="是"),"——",J51-L48)</f>
        <v>11.670000000000002</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397</v>
      </c>
      <c r="D58" s="1182" t="s">
        <v>1421</v>
      </c>
      <c r="E58" s="1183"/>
      <c r="F58" s="1184"/>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334.6</v>
      </c>
      <c r="D59" s="1185" t="s">
        <v>1426</v>
      </c>
      <c r="E59" s="1186" t="s">
        <v>1427</v>
      </c>
      <c r="F59" s="368">
        <f ca="1">IF(项目基本情况!B11="企业","",IF(INDIRECT("'数据-取费表'!c"&amp;$G$1)="住宅",5%,IF(F49*F50*F51/12/(1+'数据-取费表'!C42)&gt;20000,12%,7%)))</f>
        <v>7.0000000000000007E-2</v>
      </c>
      <c r="I59" s="1924" t="s">
        <v>1559</v>
      </c>
      <c r="J59" s="1925">
        <f ca="1">IF(OR(M47="住宅",J51&lt;L48,J56="是"),"——",ROUND(C29*J58,0))</f>
        <v>1538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f ca="1">IF(OR(M47="住宅",J51&lt;L48,J56="是"),"0",ROUND(J59/(1+J52)^J53,0))</f>
        <v>113</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322.89999999999998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11.73</v>
      </c>
      <c r="D62" s="1187" t="s">
        <v>1493</v>
      </c>
      <c r="E62" s="1172" t="s">
        <v>1494</v>
      </c>
      <c r="F62" s="371">
        <f t="shared" si="0"/>
        <v>11</v>
      </c>
      <c r="I62" s="1931" t="s">
        <v>1566</v>
      </c>
      <c r="J62" s="1932" t="s">
        <v>1567</v>
      </c>
      <c r="K62" s="1932" t="s">
        <v>1568</v>
      </c>
      <c r="L62" s="1932" t="s">
        <v>1569</v>
      </c>
      <c r="M62" s="1933" t="s">
        <v>1570</v>
      </c>
      <c r="O62" s="1886" t="s">
        <v>1043</v>
      </c>
      <c r="P62" s="1887" t="s">
        <v>1571</v>
      </c>
      <c r="Q62" s="1888">
        <f ca="1">Q56+Q57</f>
        <v>2686</v>
      </c>
      <c r="R62" s="1888" t="s">
        <v>1044</v>
      </c>
    </row>
    <row r="63" spans="1:18" s="1844" customFormat="1" ht="13.5" thickBot="1">
      <c r="A63" s="372"/>
      <c r="B63" s="1178"/>
      <c r="C63" s="29"/>
      <c r="D63" s="1188"/>
      <c r="E63" s="1172" t="s">
        <v>1495</v>
      </c>
      <c r="F63" s="348">
        <f t="shared" ca="1" si="0"/>
        <v>10665.64</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57.7</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4.5999999999999996</v>
      </c>
      <c r="D65" s="1186" t="s">
        <v>1450</v>
      </c>
      <c r="E65" s="1172" t="s">
        <v>1451</v>
      </c>
      <c r="F65" s="376">
        <f t="shared" ca="1" si="0"/>
        <v>1.5E-3</v>
      </c>
      <c r="I65" s="1931" t="s">
        <v>1575</v>
      </c>
      <c r="J65" s="1932">
        <v>40</v>
      </c>
      <c r="K65" s="1932">
        <v>30</v>
      </c>
      <c r="L65" s="1932">
        <v>50</v>
      </c>
      <c r="M65" s="1934">
        <v>0.02</v>
      </c>
      <c r="O65" s="1886" t="s">
        <v>1037</v>
      </c>
      <c r="P65" s="1887" t="s">
        <v>1576</v>
      </c>
      <c r="Q65" s="1888">
        <f ca="1">C40+J29</f>
        <v>2686</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-397</v>
      </c>
      <c r="D67" s="1185" t="s">
        <v>1460</v>
      </c>
      <c r="E67" s="1190"/>
      <c r="F67" s="1191"/>
      <c r="O67" s="1896" t="s">
        <v>1039</v>
      </c>
      <c r="P67" s="1887" t="s">
        <v>1558</v>
      </c>
      <c r="Q67" s="1935">
        <f ca="1">L51</f>
        <v>-2282</v>
      </c>
      <c r="R67" s="1888" t="s">
        <v>1578</v>
      </c>
    </row>
    <row r="68" spans="1:18" s="1844" customFormat="1" ht="16.5" thickBot="1">
      <c r="A68" s="1169" t="s">
        <v>1029</v>
      </c>
      <c r="B68" s="1170" t="s">
        <v>1481</v>
      </c>
      <c r="C68" s="346">
        <f ca="1">ROUND(C67*(1-((1+F70)/(1+F68))^F69)/(F68-F70),0)</f>
        <v>-5795</v>
      </c>
      <c r="D68" s="1187" t="s">
        <v>1465</v>
      </c>
      <c r="E68" s="1172" t="s">
        <v>1466</v>
      </c>
      <c r="F68" s="357">
        <f ca="1">F40</f>
        <v>5.5E-2</v>
      </c>
      <c r="O68" s="1896" t="s">
        <v>1040</v>
      </c>
      <c r="P68" s="1936" t="s">
        <v>1579</v>
      </c>
      <c r="Q68" s="1888">
        <f ca="1">ROUND(Q69-Q70*Q71,0)</f>
        <v>-139</v>
      </c>
      <c r="R68" s="1888" t="s">
        <v>1048</v>
      </c>
    </row>
    <row r="69" spans="1:18" s="1844" customFormat="1" ht="13.5" thickBot="1">
      <c r="A69" s="1173"/>
      <c r="B69" s="1174"/>
      <c r="C69" s="351"/>
      <c r="D69" s="1192" t="s">
        <v>1469</v>
      </c>
      <c r="E69" s="1172" t="s">
        <v>1470</v>
      </c>
      <c r="F69" s="379">
        <f ca="1">F41</f>
        <v>30.33</v>
      </c>
      <c r="O69" s="1896" t="s">
        <v>1045</v>
      </c>
      <c r="P69" s="1936" t="s">
        <v>1580</v>
      </c>
      <c r="Q69" s="1888">
        <f ca="1">C39</f>
        <v>122</v>
      </c>
      <c r="R69" s="1888" t="s">
        <v>1525</v>
      </c>
    </row>
    <row r="70" spans="1:18" s="1844" customFormat="1" ht="13.5" thickBot="1">
      <c r="A70" s="1176"/>
      <c r="B70" s="1177"/>
      <c r="C70" s="355"/>
      <c r="D70" s="1188"/>
      <c r="E70" s="1172" t="s">
        <v>1473</v>
      </c>
      <c r="F70" s="1278"/>
      <c r="O70" s="1896" t="s">
        <v>1046</v>
      </c>
      <c r="P70" s="1936" t="s">
        <v>1581</v>
      </c>
      <c r="Q70" s="1888">
        <f ca="1">C13</f>
        <v>3075</v>
      </c>
      <c r="R70" s="1888" t="s">
        <v>1525</v>
      </c>
    </row>
    <row r="71" spans="1:18" s="1844" customFormat="1" ht="13.5" thickBot="1">
      <c r="A71" s="1193" t="s">
        <v>1030</v>
      </c>
      <c r="B71" s="1194" t="s">
        <v>1483</v>
      </c>
      <c r="C71" s="382">
        <f ca="1">ROUND(C68*10000/F71,0)</f>
        <v>-7936</v>
      </c>
      <c r="D71" s="1195" t="s">
        <v>1484</v>
      </c>
      <c r="E71" s="1196" t="s">
        <v>1485</v>
      </c>
      <c r="F71" s="385">
        <f ca="1">F43</f>
        <v>7302.06</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261</v>
      </c>
      <c r="D75" s="1844"/>
      <c r="E75" s="1844"/>
      <c r="F75" s="1844"/>
      <c r="K75" s="1870"/>
      <c r="L75" s="1844"/>
      <c r="O75" s="1886" t="s">
        <v>1043</v>
      </c>
      <c r="P75" s="1887" t="s">
        <v>1545</v>
      </c>
      <c r="Q75" s="1888">
        <f ca="1">Q65+Q66</f>
        <v>2686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-1.1389999999999998</v>
      </c>
    </row>
    <row r="80" spans="1:18">
      <c r="B80" s="386" t="s">
        <v>1507</v>
      </c>
      <c r="C80" s="318">
        <f ca="1">ROUND(C75/C39,3)</f>
        <v>2.1389999999999998</v>
      </c>
    </row>
    <row r="81" spans="2:3">
      <c r="B81" s="314" t="s">
        <v>1508</v>
      </c>
      <c r="C81" s="282"/>
    </row>
    <row r="82" spans="2:3">
      <c r="B82" s="317" t="s">
        <v>1509</v>
      </c>
      <c r="C82" s="319">
        <f ca="1">1-C83</f>
        <v>-0.14500000000000002</v>
      </c>
    </row>
    <row r="83" spans="2:3">
      <c r="B83" s="317" t="s">
        <v>1510</v>
      </c>
      <c r="C83" s="318">
        <f ca="1">ROUND(C13/C40,3)</f>
        <v>1.145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92" t="s">
        <v>1399</v>
      </c>
      <c r="C6" s="1299">
        <f ca="1">ROUND(F6*F8*F7*(1-F9),0)</f>
        <v>0</v>
      </c>
      <c r="D6" s="164" t="s">
        <v>3021</v>
      </c>
      <c r="E6" s="347" t="s">
        <v>1401</v>
      </c>
      <c r="F6" s="348">
        <f ca="1">INDIRECT("'数据-取费表'!u"&amp;$G$1)</f>
        <v>0</v>
      </c>
      <c r="G6" s="1853"/>
      <c r="H6" s="1294" t="s">
        <v>1032</v>
      </c>
      <c r="I6" s="3192" t="s">
        <v>1399</v>
      </c>
      <c r="J6" s="346">
        <f ca="1">ROUND(M6*M8*M7*(1-M9),0)</f>
        <v>0</v>
      </c>
      <c r="K6" s="1836" t="s">
        <v>3022</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0</v>
      </c>
      <c r="G7" s="1853"/>
      <c r="H7" s="349"/>
      <c r="I7" s="3193"/>
      <c r="J7" s="351"/>
      <c r="K7" s="352"/>
      <c r="L7" s="347" t="s">
        <v>1402</v>
      </c>
      <c r="M7" s="348">
        <f ca="1">F7</f>
        <v>0</v>
      </c>
    </row>
    <row r="8" spans="1:37" ht="18" customHeight="1">
      <c r="A8" s="349"/>
      <c r="B8" s="3193"/>
      <c r="C8" s="351"/>
      <c r="D8" s="352"/>
      <c r="E8" s="347" t="s">
        <v>1403</v>
      </c>
      <c r="F8" s="348">
        <f ca="1">INDIRECT("'数据-取费表'!ai"&amp;$G$1)</f>
        <v>0</v>
      </c>
      <c r="G8" s="1853"/>
      <c r="H8" s="349"/>
      <c r="I8" s="3193"/>
      <c r="J8" s="351"/>
      <c r="K8" s="352"/>
      <c r="L8" s="347" t="s">
        <v>1403</v>
      </c>
      <c r="M8" s="348">
        <f ca="1">INDIRECT("'数据-取费表'!ai"&amp;$G$1)</f>
        <v>0</v>
      </c>
    </row>
    <row r="9" spans="1:37" ht="18" customHeight="1">
      <c r="A9" s="349"/>
      <c r="B9" s="3194"/>
      <c r="C9" s="351"/>
      <c r="D9" s="352"/>
      <c r="E9" s="347" t="s">
        <v>1404</v>
      </c>
      <c r="F9" s="357">
        <f ca="1">INDIRECT("'数据-取费表'!w"&amp;$G$1)</f>
        <v>0</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3032</v>
      </c>
      <c r="E10" s="358" t="s">
        <v>1406</v>
      </c>
      <c r="F10" s="1369"/>
      <c r="G10" s="1853"/>
      <c r="H10" s="1294" t="s">
        <v>1036</v>
      </c>
      <c r="I10" s="1825" t="s">
        <v>1405</v>
      </c>
      <c r="J10" s="346">
        <f ca="1">ROUND(IF(M10="押一",J6/12*M11,IF(M10="押二",J6/12*2*M11,IF(M10="押三",J6/12*3*M11,J11*M11))),0)</f>
        <v>0</v>
      </c>
      <c r="K10" s="1837" t="s">
        <v>3034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0" t="s">
        <v>1544</v>
      </c>
      <c r="L53" s="319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11</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2518</v>
      </c>
      <c r="B1" s="2568"/>
      <c r="C1" s="2568"/>
      <c r="D1" s="2568"/>
      <c r="E1" s="2569"/>
    </row>
    <row r="2" spans="1:6" ht="15.75">
      <c r="A2" s="2570" t="s">
        <v>2319</v>
      </c>
      <c r="B2" s="2571">
        <f ca="1">SUMIF(B6:B13,"&lt;&gt;#ref!",B6:B13)</f>
        <v>2799</v>
      </c>
      <c r="C2" s="2572" t="s">
        <v>2511</v>
      </c>
      <c r="D2" s="2573" t="s">
        <v>2512</v>
      </c>
      <c r="E2" s="2574">
        <f>SUM(E6:E13)</f>
        <v>7302.06</v>
      </c>
    </row>
    <row r="3" spans="1:6" ht="15.75">
      <c r="A3" s="2570" t="s">
        <v>1391</v>
      </c>
      <c r="B3" s="2571">
        <f ca="1">ROUND(B2*10000/E2,0)</f>
        <v>3833</v>
      </c>
      <c r="C3" s="2572" t="s">
        <v>2519</v>
      </c>
      <c r="D3" s="2575"/>
      <c r="E3" s="2576"/>
    </row>
    <row r="4" spans="1:6" ht="15.75">
      <c r="A4" s="2577"/>
      <c r="B4" s="2575"/>
      <c r="C4" s="2575"/>
      <c r="D4" s="2575"/>
      <c r="E4" s="2576"/>
    </row>
    <row r="5" spans="1:6" ht="15">
      <c r="A5" s="2578" t="s">
        <v>2513</v>
      </c>
      <c r="B5" s="3195" t="s">
        <v>2514</v>
      </c>
      <c r="C5" s="3195"/>
      <c r="D5" s="2579"/>
      <c r="E5" s="2580" t="s">
        <v>2515</v>
      </c>
      <c r="F5" s="2581" t="s">
        <v>2516</v>
      </c>
    </row>
    <row r="6" spans="1:6">
      <c r="A6" s="2582" t="str">
        <f>'数据-取费表'!AN6</f>
        <v>收益法</v>
      </c>
      <c r="B6" s="2581">
        <f ca="1">IF(F6="是",'数据-取费表'!AO6,0)</f>
        <v>2799</v>
      </c>
      <c r="C6" s="2572" t="s">
        <v>2511</v>
      </c>
      <c r="D6" s="2575"/>
      <c r="E6" s="2583">
        <f>IF(OR(A6=0,F6="否"),0,'数据-取费表'!K6+'数据-取费表'!S6)</f>
        <v>7302.06</v>
      </c>
      <c r="F6" s="2584" t="s">
        <v>2517</v>
      </c>
    </row>
    <row r="7" spans="1:6">
      <c r="A7" s="2582">
        <f>'数据-取费表'!AN7</f>
        <v>0</v>
      </c>
      <c r="B7" s="2581" t="e">
        <f ca="1">IF(F7="是",'数据-取费表'!AO7,0)</f>
        <v>#REF!</v>
      </c>
      <c r="C7" s="2572" t="s">
        <v>2511</v>
      </c>
      <c r="D7" s="2575"/>
      <c r="E7" s="2583">
        <f>IF(OR(A7=0,F7="否"),0,'数据-取费表'!K7+'数据-取费表'!S7)</f>
        <v>0</v>
      </c>
      <c r="F7" s="2584" t="s">
        <v>2517</v>
      </c>
    </row>
    <row r="8" spans="1:6">
      <c r="A8" s="2582">
        <f>'数据-取费表'!AN8</f>
        <v>0</v>
      </c>
      <c r="B8" s="2581" t="e">
        <f ca="1">IF(F8="是",'数据-取费表'!AO8,0)</f>
        <v>#REF!</v>
      </c>
      <c r="C8" s="2572" t="s">
        <v>2511</v>
      </c>
      <c r="D8" s="2575"/>
      <c r="E8" s="2583">
        <f>IF(OR(A8=0,F8="否"),0,'数据-取费表'!K8+'数据-取费表'!S8)</f>
        <v>0</v>
      </c>
      <c r="F8" s="2584" t="s">
        <v>2517</v>
      </c>
    </row>
    <row r="9" spans="1:6">
      <c r="A9" s="2582">
        <f>'数据-取费表'!AN9</f>
        <v>0</v>
      </c>
      <c r="B9" s="2581" t="e">
        <f ca="1">IF(F9="是",'数据-取费表'!AO9,0)</f>
        <v>#REF!</v>
      </c>
      <c r="C9" s="2572" t="s">
        <v>2511</v>
      </c>
      <c r="D9" s="2575"/>
      <c r="E9" s="2583">
        <f>IF(OR(A9=0,F9="否"),0,'数据-取费表'!K9+'数据-取费表'!S9)</f>
        <v>0</v>
      </c>
      <c r="F9" s="2584" t="s">
        <v>2517</v>
      </c>
    </row>
    <row r="10" spans="1:6">
      <c r="A10" s="2582">
        <f>'数据-取费表'!AN10</f>
        <v>0</v>
      </c>
      <c r="B10" s="2581" t="e">
        <f ca="1">IF(F10="是",'数据-取费表'!AO10,0)</f>
        <v>#REF!</v>
      </c>
      <c r="C10" s="2572" t="s">
        <v>2511</v>
      </c>
      <c r="D10" s="2575"/>
      <c r="E10" s="2583">
        <f>IF(OR(A10=0,F10="否"),0,'数据-取费表'!K10+'数据-取费表'!S10)</f>
        <v>0</v>
      </c>
      <c r="F10" s="2584" t="s">
        <v>2517</v>
      </c>
    </row>
    <row r="11" spans="1:6">
      <c r="A11" s="2582">
        <f>'数据-取费表'!AN11</f>
        <v>0</v>
      </c>
      <c r="B11" s="2581" t="e">
        <f ca="1">IF(F11="是",'数据-取费表'!AO11,0)</f>
        <v>#REF!</v>
      </c>
      <c r="C11" s="2572" t="s">
        <v>2511</v>
      </c>
      <c r="D11" s="2575"/>
      <c r="E11" s="2583">
        <f>IF(OR(A11=0,F11="否"),0,'数据-取费表'!K11+'数据-取费表'!S11)</f>
        <v>0</v>
      </c>
      <c r="F11" s="2584" t="s">
        <v>2517</v>
      </c>
    </row>
    <row r="12" spans="1:6">
      <c r="A12" s="2582">
        <f>'数据-取费表'!AN12</f>
        <v>0</v>
      </c>
      <c r="B12" s="2581" t="e">
        <f ca="1">IF(F12="是",'数据-取费表'!AO12,0)</f>
        <v>#REF!</v>
      </c>
      <c r="C12" s="2572" t="s">
        <v>2511</v>
      </c>
      <c r="D12" s="2575"/>
      <c r="E12" s="2583">
        <f>IF(OR(A12=0,F12="否"),0,'数据-取费表'!K12+'数据-取费表'!S12)</f>
        <v>0</v>
      </c>
      <c r="F12" s="2584" t="s">
        <v>2517</v>
      </c>
    </row>
    <row r="13" spans="1:6" ht="15" thickBot="1">
      <c r="A13" s="2585">
        <f>'数据-取费表'!AN13</f>
        <v>0</v>
      </c>
      <c r="B13" s="2581" t="e">
        <f ca="1">IF(F13="是",'数据-取费表'!AO13,0)</f>
        <v>#REF!</v>
      </c>
      <c r="C13" s="2586" t="s">
        <v>2511</v>
      </c>
      <c r="D13" s="2587"/>
      <c r="E13" s="2583">
        <f>IF(OR(A13=0,F13="否"),0,'数据-取费表'!K13+'数据-取费表'!S13)</f>
        <v>0</v>
      </c>
      <c r="F13" s="258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1073</v>
      </c>
      <c r="B1" s="3213"/>
      <c r="C1" s="3214"/>
      <c r="D1" s="3215">
        <f>SUM(I10,I15,I20,I21,I23)</f>
        <v>0</v>
      </c>
      <c r="E1" s="3215"/>
      <c r="F1" s="3215"/>
      <c r="G1" s="3215"/>
      <c r="H1" s="3215"/>
      <c r="I1" s="3216"/>
    </row>
    <row r="2" spans="1:9">
      <c r="A2" s="3202" t="s">
        <v>1074</v>
      </c>
      <c r="B2" s="3203" t="s">
        <v>1075</v>
      </c>
      <c r="C2" s="3203"/>
      <c r="D2" s="1304" t="s">
        <v>1076</v>
      </c>
      <c r="E2" s="1304" t="s">
        <v>1077</v>
      </c>
      <c r="F2" s="1304" t="s">
        <v>1078</v>
      </c>
      <c r="G2" s="1304" t="s">
        <v>1079</v>
      </c>
      <c r="H2" s="1304" t="s">
        <v>1080</v>
      </c>
      <c r="I2" s="1305" t="s">
        <v>1081</v>
      </c>
    </row>
    <row r="3" spans="1:9">
      <c r="A3" s="3202"/>
      <c r="B3" s="3203" t="s">
        <v>1082</v>
      </c>
      <c r="C3" s="3203"/>
      <c r="D3" s="1306"/>
      <c r="E3" s="1304"/>
      <c r="F3" s="1307"/>
      <c r="G3" s="1307"/>
      <c r="H3" s="1308"/>
      <c r="I3" s="1309">
        <f>ROUND(D3*E3*F3*G3*H3/10000,0)</f>
        <v>0</v>
      </c>
    </row>
    <row r="4" spans="1:9">
      <c r="A4" s="3202"/>
      <c r="B4" s="3203" t="s">
        <v>1083</v>
      </c>
      <c r="C4" s="3203"/>
      <c r="D4" s="1306"/>
      <c r="E4" s="1304"/>
      <c r="F4" s="1307"/>
      <c r="G4" s="1307"/>
      <c r="H4" s="1308"/>
      <c r="I4" s="1309">
        <f t="shared" ref="I4:I9" si="0">ROUND(D4*E4*F4*G4*H4/10000,0)</f>
        <v>0</v>
      </c>
    </row>
    <row r="5" spans="1:9">
      <c r="A5" s="3202"/>
      <c r="B5" s="3203" t="s">
        <v>1084</v>
      </c>
      <c r="C5" s="3203"/>
      <c r="D5" s="1306"/>
      <c r="E5" s="1304"/>
      <c r="F5" s="1307"/>
      <c r="G5" s="1307"/>
      <c r="H5" s="1308"/>
      <c r="I5" s="1309">
        <f t="shared" si="0"/>
        <v>0</v>
      </c>
    </row>
    <row r="6" spans="1:9">
      <c r="A6" s="3202"/>
      <c r="B6" s="3203" t="s">
        <v>1085</v>
      </c>
      <c r="C6" s="3203"/>
      <c r="D6" s="1306"/>
      <c r="E6" s="1304"/>
      <c r="F6" s="1307"/>
      <c r="G6" s="1307"/>
      <c r="H6" s="1308"/>
      <c r="I6" s="1309">
        <f t="shared" si="0"/>
        <v>0</v>
      </c>
    </row>
    <row r="7" spans="1:9">
      <c r="A7" s="3202"/>
      <c r="B7" s="3203" t="s">
        <v>1086</v>
      </c>
      <c r="C7" s="3203"/>
      <c r="D7" s="1306"/>
      <c r="E7" s="1304"/>
      <c r="F7" s="1307"/>
      <c r="G7" s="1307"/>
      <c r="H7" s="1308"/>
      <c r="I7" s="1309">
        <f t="shared" si="0"/>
        <v>0</v>
      </c>
    </row>
    <row r="8" spans="1:9">
      <c r="A8" s="3202"/>
      <c r="B8" s="3203" t="s">
        <v>1087</v>
      </c>
      <c r="C8" s="3203"/>
      <c r="D8" s="1306"/>
      <c r="E8" s="1304"/>
      <c r="F8" s="1307"/>
      <c r="G8" s="1307"/>
      <c r="H8" s="1308"/>
      <c r="I8" s="1309">
        <f t="shared" si="0"/>
        <v>0</v>
      </c>
    </row>
    <row r="9" spans="1:9">
      <c r="A9" s="3202"/>
      <c r="B9" s="3203" t="s">
        <v>1088</v>
      </c>
      <c r="C9" s="3203"/>
      <c r="D9" s="1306"/>
      <c r="E9" s="1304"/>
      <c r="F9" s="1307"/>
      <c r="G9" s="1307"/>
      <c r="H9" s="1308"/>
      <c r="I9" s="1309">
        <f t="shared" si="0"/>
        <v>0</v>
      </c>
    </row>
    <row r="10" spans="1:9">
      <c r="A10" s="3202"/>
      <c r="B10" s="3204" t="s">
        <v>1089</v>
      </c>
      <c r="C10" s="3204"/>
      <c r="D10" s="1310"/>
      <c r="E10" s="1310" t="e">
        <f>ROUND(D1*10000/D10/H9,0)</f>
        <v>#DIV/0!</v>
      </c>
      <c r="F10" s="1311"/>
      <c r="G10" s="1311"/>
      <c r="H10" s="1312"/>
      <c r="I10" s="1313">
        <f>SUM(I3:I9)</f>
        <v>0</v>
      </c>
    </row>
    <row r="11" spans="1:9" ht="14.25">
      <c r="A11" s="3202" t="s">
        <v>1090</v>
      </c>
      <c r="B11" s="3203" t="s">
        <v>1091</v>
      </c>
      <c r="C11" s="3203"/>
      <c r="D11" s="1306" t="s">
        <v>1092</v>
      </c>
      <c r="E11" s="1306" t="s">
        <v>1093</v>
      </c>
      <c r="F11" s="1307" t="s">
        <v>1094</v>
      </c>
      <c r="G11" s="1307" t="s">
        <v>1080</v>
      </c>
      <c r="H11" s="1314" t="s">
        <v>1095</v>
      </c>
      <c r="I11" s="1305" t="s">
        <v>1081</v>
      </c>
    </row>
    <row r="12" spans="1:9">
      <c r="A12" s="3202"/>
      <c r="B12" s="3203" t="s">
        <v>1096</v>
      </c>
      <c r="C12" s="3203"/>
      <c r="D12" s="1306"/>
      <c r="E12" s="1306"/>
      <c r="F12" s="1307"/>
      <c r="G12" s="1308"/>
      <c r="H12" s="1315"/>
      <c r="I12" s="1305">
        <f>ROUND(D12*E12*F12*G12/10000,0)</f>
        <v>0</v>
      </c>
    </row>
    <row r="13" spans="1:9">
      <c r="A13" s="3202"/>
      <c r="B13" s="3203" t="s">
        <v>1097</v>
      </c>
      <c r="C13" s="3203"/>
      <c r="D13" s="1306"/>
      <c r="E13" s="1306"/>
      <c r="F13" s="1307"/>
      <c r="G13" s="1308"/>
      <c r="H13" s="1315"/>
      <c r="I13" s="1305">
        <f>ROUND(D13*E13*F13*G13/10000,0)</f>
        <v>0</v>
      </c>
    </row>
    <row r="14" spans="1:9">
      <c r="A14" s="3202"/>
      <c r="B14" s="3203" t="s">
        <v>1098</v>
      </c>
      <c r="C14" s="3203"/>
      <c r="D14" s="1306"/>
      <c r="E14" s="1306"/>
      <c r="F14" s="1307"/>
      <c r="G14" s="1308"/>
      <c r="H14" s="1315"/>
      <c r="I14" s="1305">
        <f>ROUND(D14*E14*F14*G14/10000,0)</f>
        <v>0</v>
      </c>
    </row>
    <row r="15" spans="1:9">
      <c r="A15" s="3202"/>
      <c r="B15" s="3204" t="s">
        <v>1089</v>
      </c>
      <c r="C15" s="3204"/>
      <c r="D15" s="1310"/>
      <c r="E15" s="1310">
        <f>SUM(E12:E14)</f>
        <v>0</v>
      </c>
      <c r="F15" s="1311"/>
      <c r="G15" s="1308"/>
      <c r="H15" s="1315"/>
      <c r="I15" s="1316">
        <f>SUM(I12:I14)</f>
        <v>0</v>
      </c>
    </row>
    <row r="16" spans="1:9" ht="24">
      <c r="A16" s="3202" t="s">
        <v>1099</v>
      </c>
      <c r="B16" s="3203" t="s">
        <v>1100</v>
      </c>
      <c r="C16" s="3203"/>
      <c r="D16" s="1306" t="s">
        <v>1076</v>
      </c>
      <c r="E16" s="1317" t="s">
        <v>1101</v>
      </c>
      <c r="F16" s="1307" t="s">
        <v>1102</v>
      </c>
      <c r="G16" s="1308" t="s">
        <v>1080</v>
      </c>
      <c r="H16" s="1314" t="s">
        <v>1095</v>
      </c>
      <c r="I16" s="1305" t="s">
        <v>1081</v>
      </c>
    </row>
    <row r="17" spans="1:9" ht="14.25">
      <c r="A17" s="3202"/>
      <c r="B17" s="3203" t="s">
        <v>1103</v>
      </c>
      <c r="C17" s="3203"/>
      <c r="D17" s="1306"/>
      <c r="E17" s="1306"/>
      <c r="F17" s="1307"/>
      <c r="G17" s="1308"/>
      <c r="H17" s="1318"/>
      <c r="I17" s="1319">
        <f>ROUND(D17*E17*F17*G17/10000,0)</f>
        <v>0</v>
      </c>
    </row>
    <row r="18" spans="1:9" ht="14.25">
      <c r="A18" s="3202"/>
      <c r="B18" s="3203" t="s">
        <v>1104</v>
      </c>
      <c r="C18" s="3203"/>
      <c r="D18" s="1306"/>
      <c r="E18" s="1306"/>
      <c r="F18" s="1307"/>
      <c r="G18" s="1308"/>
      <c r="H18" s="1318"/>
      <c r="I18" s="1319">
        <f>ROUND(D18*E18*F18*G18/10000,0)</f>
        <v>0</v>
      </c>
    </row>
    <row r="19" spans="1:9" ht="14.25">
      <c r="A19" s="3202"/>
      <c r="B19" s="3203" t="s">
        <v>1105</v>
      </c>
      <c r="C19" s="3203"/>
      <c r="D19" s="1306"/>
      <c r="E19" s="1306"/>
      <c r="F19" s="1307"/>
      <c r="G19" s="1308"/>
      <c r="H19" s="1318"/>
      <c r="I19" s="1319">
        <f>ROUND(D19*E19*F19*G19/10000,0)</f>
        <v>0</v>
      </c>
    </row>
    <row r="20" spans="1:9">
      <c r="A20" s="3202"/>
      <c r="B20" s="3204" t="s">
        <v>1089</v>
      </c>
      <c r="C20" s="3204"/>
      <c r="D20" s="1310">
        <f>SUM(D17:D19)</f>
        <v>0</v>
      </c>
      <c r="E20" s="1310"/>
      <c r="F20" s="1311"/>
      <c r="G20" s="1308"/>
      <c r="H20" s="1315"/>
      <c r="I20" s="1316">
        <f>SUM(I17:I19)</f>
        <v>0</v>
      </c>
    </row>
    <row r="21" spans="1:9">
      <c r="A21" s="3202" t="s">
        <v>1106</v>
      </c>
      <c r="B21" s="3205"/>
      <c r="C21" s="3205"/>
      <c r="D21" s="3205"/>
      <c r="E21" s="3205"/>
      <c r="F21" s="3205"/>
      <c r="G21" s="3205"/>
      <c r="H21" s="1767">
        <v>0.1</v>
      </c>
      <c r="I21" s="1313">
        <f>ROUND(I10*H21,0)</f>
        <v>0</v>
      </c>
    </row>
    <row r="22" spans="1:9" ht="14.25">
      <c r="A22" s="3206" t="s">
        <v>1107</v>
      </c>
      <c r="B22" s="3207"/>
      <c r="C22" s="3208"/>
      <c r="D22" s="1320" t="s">
        <v>1108</v>
      </c>
      <c r="E22" s="1320" t="s">
        <v>1109</v>
      </c>
      <c r="F22" s="1321" t="s">
        <v>1110</v>
      </c>
      <c r="G22" s="1321" t="s">
        <v>1111</v>
      </c>
      <c r="H22" s="1314" t="s">
        <v>1112</v>
      </c>
      <c r="I22" s="1305" t="s">
        <v>1113</v>
      </c>
    </row>
    <row r="23" spans="1:9" ht="14.25" thickBot="1">
      <c r="A23" s="3209"/>
      <c r="B23" s="3210"/>
      <c r="C23" s="3211"/>
      <c r="D23" s="1322"/>
      <c r="E23" s="1322"/>
      <c r="F23" s="1322"/>
      <c r="G23" s="1323"/>
      <c r="H23" s="1324"/>
      <c r="I23" s="1325">
        <f>ROUND(E23*D23*F23*(1-G23)/10000,0)</f>
        <v>0</v>
      </c>
    </row>
    <row r="26" spans="1:9">
      <c r="A26" s="1326" t="s">
        <v>1114</v>
      </c>
      <c r="B26" s="1326"/>
      <c r="C26" s="1326"/>
      <c r="D26" s="1326"/>
      <c r="E26" s="3199">
        <f>C27-C30-C31-C32</f>
        <v>0</v>
      </c>
      <c r="F26" s="3199"/>
      <c r="G26" s="3199"/>
      <c r="H26" s="1739" t="s">
        <v>1336</v>
      </c>
    </row>
    <row r="27" spans="1:9">
      <c r="A27" s="1327">
        <v>1</v>
      </c>
      <c r="B27" s="1328" t="s">
        <v>1115</v>
      </c>
      <c r="C27" s="1328">
        <f>C28+C29</f>
        <v>0</v>
      </c>
      <c r="D27" s="1328"/>
      <c r="E27" s="3200"/>
      <c r="F27" s="3200"/>
      <c r="G27" s="3200"/>
    </row>
    <row r="28" spans="1:9">
      <c r="A28" s="1329" t="s">
        <v>1116</v>
      </c>
      <c r="B28" s="1328" t="s">
        <v>1117</v>
      </c>
      <c r="C28" s="1328"/>
      <c r="D28" s="1328"/>
      <c r="E28" s="3200"/>
      <c r="F28" s="3200"/>
      <c r="G28" s="320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1"/>
      <c r="F32" s="3201"/>
      <c r="G32" s="3201"/>
    </row>
    <row r="33" spans="1:7" hidden="1">
      <c r="A33" s="3196" t="s">
        <v>1126</v>
      </c>
      <c r="B33" s="3197"/>
      <c r="C33" s="3197"/>
      <c r="D33" s="3198"/>
      <c r="E33" s="3199"/>
      <c r="F33" s="3199"/>
      <c r="G33" s="3199"/>
    </row>
    <row r="34" spans="1:7" hidden="1">
      <c r="A34" s="1331">
        <v>1</v>
      </c>
      <c r="B34" s="1328" t="s">
        <v>1127</v>
      </c>
      <c r="C34" s="1328"/>
      <c r="D34" s="1328"/>
      <c r="E34" s="3200"/>
      <c r="F34" s="3200"/>
      <c r="G34" s="3200"/>
    </row>
    <row r="35" spans="1:7" hidden="1">
      <c r="A35" s="1331">
        <v>2</v>
      </c>
      <c r="B35" s="1328" t="s">
        <v>1128</v>
      </c>
      <c r="C35" s="1328"/>
      <c r="D35" s="1328"/>
      <c r="E35" s="3200"/>
      <c r="F35" s="3200"/>
      <c r="G35" s="3200"/>
    </row>
    <row r="36" spans="1:7" hidden="1">
      <c r="A36" s="1331">
        <v>3</v>
      </c>
      <c r="B36" s="1328" t="s">
        <v>1129</v>
      </c>
      <c r="C36" s="1328"/>
      <c r="D36" s="1328"/>
      <c r="E36" s="3200"/>
      <c r="F36" s="3200"/>
      <c r="G36" s="3200"/>
    </row>
    <row r="37" spans="1:7" hidden="1">
      <c r="A37" s="1331">
        <v>4</v>
      </c>
      <c r="B37" s="1328" t="s">
        <v>1130</v>
      </c>
      <c r="C37" s="1328"/>
      <c r="D37" s="1328"/>
      <c r="E37" s="3200"/>
      <c r="F37" s="3200"/>
      <c r="G37" s="3200"/>
    </row>
    <row r="38" spans="1:7" hidden="1">
      <c r="A38" s="3196" t="s">
        <v>1131</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2521</v>
      </c>
      <c r="C1" s="1636" t="s">
        <v>2522</v>
      </c>
      <c r="D1" s="1623"/>
      <c r="E1" s="2589"/>
      <c r="F1" s="2590" t="s">
        <v>2523</v>
      </c>
      <c r="G1" s="1633" t="s">
        <v>2524</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92"/>
      <c r="D2" s="1368" t="e">
        <f ca="1">SUMIF(INDIRECT("'"&amp;F2&amp;"'"&amp;"!A:A"),"承租人权益价值",INDIRECT("'"&amp;F2&amp;"'"&amp;"!c:c"))</f>
        <v>#REF!</v>
      </c>
      <c r="E2" s="2593" t="s">
        <v>2525</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2526</v>
      </c>
      <c r="D3" s="399">
        <f>IF(D1="",'数据-汇总表'!E3,SUMIF('数据-汇总表'!$C19:$C33,D1,'数据-汇总表'!$E19:$E33))</f>
        <v>7302.06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2527</v>
      </c>
      <c r="B4" s="402"/>
      <c r="C4" s="3151" t="s">
        <v>2528</v>
      </c>
      <c r="D4" s="3164"/>
      <c r="E4" s="3165" t="s">
        <v>2529</v>
      </c>
      <c r="F4" s="3166"/>
      <c r="G4" s="3151" t="s">
        <v>2530</v>
      </c>
      <c r="H4" s="3164"/>
      <c r="I4" s="3151" t="s">
        <v>2531</v>
      </c>
      <c r="J4" s="3164"/>
      <c r="K4" s="2602" t="s">
        <v>2532</v>
      </c>
      <c r="L4" s="1133"/>
      <c r="M4" s="1134"/>
      <c r="N4" s="1134"/>
      <c r="O4" s="1134"/>
      <c r="P4" s="3167" t="s">
        <v>2533</v>
      </c>
      <c r="Q4" s="3168"/>
      <c r="R4" s="3173" t="s">
        <v>2529</v>
      </c>
      <c r="S4" s="3174"/>
      <c r="T4" s="3173" t="s">
        <v>2530</v>
      </c>
      <c r="U4" s="3174"/>
      <c r="V4" s="3160" t="s">
        <v>2531</v>
      </c>
      <c r="W4" s="3160"/>
      <c r="X4" s="1815"/>
      <c r="Y4" s="3173" t="s">
        <v>2533</v>
      </c>
      <c r="Z4" s="3174"/>
      <c r="AA4" s="3161" t="s">
        <v>2529</v>
      </c>
      <c r="AB4" s="3161" t="s">
        <v>2530</v>
      </c>
      <c r="AC4" s="3161" t="s">
        <v>2531</v>
      </c>
    </row>
    <row r="5" spans="1:29" ht="15">
      <c r="A5" s="404"/>
      <c r="B5" s="405"/>
      <c r="C5" s="3181" t="s">
        <v>2534</v>
      </c>
      <c r="D5" s="3182"/>
      <c r="E5" s="3188" t="s">
        <v>2535</v>
      </c>
      <c r="F5" s="3189"/>
      <c r="G5" s="3181" t="s">
        <v>2536</v>
      </c>
      <c r="H5" s="3182"/>
      <c r="I5" s="3181" t="s">
        <v>2537</v>
      </c>
      <c r="J5" s="3182"/>
      <c r="K5" s="2603"/>
      <c r="L5" s="1133"/>
      <c r="M5" s="1134"/>
      <c r="N5" s="1134"/>
      <c r="O5" s="1134"/>
      <c r="P5" s="3169"/>
      <c r="Q5" s="3170"/>
      <c r="R5" s="3175"/>
      <c r="S5" s="3176"/>
      <c r="T5" s="3175"/>
      <c r="U5" s="3176"/>
      <c r="V5" s="3160"/>
      <c r="W5" s="3160"/>
      <c r="X5" s="1815"/>
      <c r="Y5" s="3175"/>
      <c r="Z5" s="3176"/>
      <c r="AA5" s="3162"/>
      <c r="AB5" s="3162"/>
      <c r="AC5" s="3162"/>
    </row>
    <row r="6" spans="1:29" ht="15.75" thickBot="1">
      <c r="A6" s="406"/>
      <c r="B6" s="407"/>
      <c r="C6" s="3179" t="s">
        <v>2538</v>
      </c>
      <c r="D6" s="3180"/>
      <c r="E6" s="3186" t="s">
        <v>2538</v>
      </c>
      <c r="F6" s="3187"/>
      <c r="G6" s="3179" t="s">
        <v>2538</v>
      </c>
      <c r="H6" s="3180"/>
      <c r="I6" s="3179" t="s">
        <v>2538</v>
      </c>
      <c r="J6" s="3180"/>
      <c r="K6" s="2603" t="s">
        <v>2539</v>
      </c>
      <c r="L6" s="1133"/>
      <c r="M6" s="1134"/>
      <c r="N6" s="1134"/>
      <c r="O6" s="1134"/>
      <c r="P6" s="3171"/>
      <c r="Q6" s="3172"/>
      <c r="R6" s="3175"/>
      <c r="S6" s="3176"/>
      <c r="T6" s="3177"/>
      <c r="U6" s="3178"/>
      <c r="V6" s="3160"/>
      <c r="W6" s="3160"/>
      <c r="X6" s="1815"/>
      <c r="Y6" s="3177"/>
      <c r="Z6" s="3178"/>
      <c r="AA6" s="3163"/>
      <c r="AB6" s="3163"/>
      <c r="AC6" s="3163"/>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3" t="s">
        <v>2541</v>
      </c>
      <c r="Q7" s="3185"/>
      <c r="R7" s="770" t="s">
        <v>23</v>
      </c>
      <c r="S7" s="771">
        <f t="shared" ref="S7:S15" si="0">F7</f>
        <v>0</v>
      </c>
      <c r="T7" s="770" t="s">
        <v>23</v>
      </c>
      <c r="U7" s="771">
        <f t="shared" ref="U7:U15" si="1">H7</f>
        <v>0</v>
      </c>
      <c r="V7" s="770" t="s">
        <v>23</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3" t="s">
        <v>2544</v>
      </c>
      <c r="Q8" s="3184"/>
      <c r="R8" s="770" t="s">
        <v>23</v>
      </c>
      <c r="S8" s="771">
        <f t="shared" si="0"/>
        <v>0</v>
      </c>
      <c r="T8" s="770" t="s">
        <v>23</v>
      </c>
      <c r="U8" s="771">
        <f t="shared" si="1"/>
        <v>0</v>
      </c>
      <c r="V8" s="770" t="s">
        <v>23</v>
      </c>
      <c r="W8" s="771">
        <f t="shared" si="2"/>
        <v>0</v>
      </c>
      <c r="X8" s="772"/>
      <c r="Y8" s="3183" t="s">
        <v>2544</v>
      </c>
      <c r="Z8" s="318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53"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3"/>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3"/>
      <c r="Q11" s="1797"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53"/>
      <c r="Q12" s="1797">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53"/>
      <c r="Q13" s="1797">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53"/>
      <c r="Q14" s="1797">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15">
      <c r="A15" s="440" t="s">
        <v>2551</v>
      </c>
      <c r="B15" s="69" t="s">
        <v>2085</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2552</v>
      </c>
      <c r="Q15" s="1812" t="str">
        <f t="shared" si="6"/>
        <v>居住社区成熟度</v>
      </c>
      <c r="R15" s="774" t="s">
        <v>21</v>
      </c>
      <c r="S15" s="775">
        <f t="shared" si="0"/>
        <v>100</v>
      </c>
      <c r="T15" s="774" t="s">
        <v>21</v>
      </c>
      <c r="U15" s="775">
        <f t="shared" si="1"/>
        <v>100</v>
      </c>
      <c r="V15" s="774" t="s">
        <v>21</v>
      </c>
      <c r="W15" s="775">
        <f t="shared" si="2"/>
        <v>100</v>
      </c>
      <c r="X15" s="1815"/>
      <c r="Y15" s="3156" t="s">
        <v>2552</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4"/>
      <c r="Q16" s="1812"/>
      <c r="R16" s="774"/>
      <c r="S16" s="775"/>
      <c r="T16" s="774"/>
      <c r="U16" s="775"/>
      <c r="V16" s="774"/>
      <c r="W16" s="775"/>
      <c r="X16" s="1815"/>
      <c r="Y16" s="3157"/>
      <c r="Z16" s="1816"/>
      <c r="AA16" s="1813">
        <v>1</v>
      </c>
      <c r="AB16" s="1813">
        <v>1</v>
      </c>
      <c r="AC16" s="1813">
        <v>1</v>
      </c>
    </row>
    <row r="17" spans="1:29" ht="15">
      <c r="A17" s="428"/>
      <c r="B17" s="451" t="s">
        <v>2091</v>
      </c>
      <c r="C17" s="261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2" t="str">
        <f>B17</f>
        <v>交通便捷度</v>
      </c>
      <c r="R17" s="774" t="s">
        <v>21</v>
      </c>
      <c r="S17" s="775">
        <f>F17</f>
        <v>100</v>
      </c>
      <c r="T17" s="774" t="s">
        <v>21</v>
      </c>
      <c r="U17" s="775">
        <f>H17</f>
        <v>100</v>
      </c>
      <c r="V17" s="774" t="s">
        <v>21</v>
      </c>
      <c r="W17" s="775">
        <f>J17</f>
        <v>100</v>
      </c>
      <c r="X17" s="1815"/>
      <c r="Y17" s="3157"/>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4"/>
      <c r="Q18" s="1812"/>
      <c r="R18" s="774"/>
      <c r="S18" s="775"/>
      <c r="T18" s="774"/>
      <c r="U18" s="775"/>
      <c r="V18" s="774"/>
      <c r="W18" s="775"/>
      <c r="X18" s="1815"/>
      <c r="Y18" s="3157"/>
      <c r="Z18" s="1816"/>
      <c r="AA18" s="1813">
        <v>1</v>
      </c>
      <c r="AB18" s="1813">
        <v>1</v>
      </c>
      <c r="AC18" s="1813">
        <v>1</v>
      </c>
    </row>
    <row r="19" spans="1:29" ht="15">
      <c r="A19" s="428"/>
      <c r="B19" s="451" t="s">
        <v>2090</v>
      </c>
      <c r="C19" s="261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2" t="str">
        <f>B19</f>
        <v>公共配套设施</v>
      </c>
      <c r="R19" s="774" t="s">
        <v>21</v>
      </c>
      <c r="S19" s="775">
        <f>F19</f>
        <v>100</v>
      </c>
      <c r="T19" s="774" t="s">
        <v>21</v>
      </c>
      <c r="U19" s="775">
        <f>H19</f>
        <v>100</v>
      </c>
      <c r="V19" s="774" t="s">
        <v>21</v>
      </c>
      <c r="W19" s="775">
        <f>J19</f>
        <v>100</v>
      </c>
      <c r="X19" s="1815"/>
      <c r="Y19" s="3157"/>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4"/>
      <c r="Q20" s="1812"/>
      <c r="R20" s="774"/>
      <c r="S20" s="775"/>
      <c r="T20" s="774"/>
      <c r="U20" s="775"/>
      <c r="V20" s="774"/>
      <c r="W20" s="775"/>
      <c r="X20" s="1815"/>
      <c r="Y20" s="3157"/>
      <c r="Z20" s="1816"/>
      <c r="AA20" s="1813">
        <v>1</v>
      </c>
      <c r="AB20" s="1813">
        <v>1</v>
      </c>
      <c r="AC20" s="1813">
        <v>1</v>
      </c>
    </row>
    <row r="21" spans="1:29" ht="15">
      <c r="A21" s="428"/>
      <c r="B21" s="1387" t="s">
        <v>2092</v>
      </c>
      <c r="C21" s="261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7"/>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24"/>
      <c r="Q22" s="1812"/>
      <c r="R22" s="774"/>
      <c r="S22" s="775"/>
      <c r="T22" s="774"/>
      <c r="U22" s="775"/>
      <c r="V22" s="774"/>
      <c r="W22" s="775"/>
      <c r="X22" s="1815"/>
      <c r="Y22" s="3157"/>
      <c r="Z22" s="1816"/>
      <c r="AA22" s="1813">
        <v>1</v>
      </c>
      <c r="AB22" s="1813">
        <v>1</v>
      </c>
      <c r="AC22" s="1813">
        <v>1</v>
      </c>
    </row>
    <row r="23" spans="1:29" ht="15">
      <c r="A23" s="428"/>
      <c r="B23" s="451" t="s">
        <v>2094</v>
      </c>
      <c r="C23" s="261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2" t="str">
        <f>B23</f>
        <v>自然及人文环境</v>
      </c>
      <c r="R23" s="774" t="s">
        <v>21</v>
      </c>
      <c r="S23" s="775">
        <f>F23</f>
        <v>100</v>
      </c>
      <c r="T23" s="774" t="s">
        <v>21</v>
      </c>
      <c r="U23" s="775">
        <f>H23</f>
        <v>100</v>
      </c>
      <c r="V23" s="774" t="s">
        <v>21</v>
      </c>
      <c r="W23" s="775">
        <f>J23</f>
        <v>100</v>
      </c>
      <c r="X23" s="1815"/>
      <c r="Y23" s="3157"/>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4"/>
      <c r="Q24" s="1812"/>
      <c r="R24" s="774"/>
      <c r="S24" s="775"/>
      <c r="T24" s="774"/>
      <c r="U24" s="775"/>
      <c r="V24" s="774"/>
      <c r="W24" s="775"/>
      <c r="X24" s="1815"/>
      <c r="Y24" s="3157"/>
      <c r="Z24" s="1816"/>
      <c r="AA24" s="1813">
        <v>1</v>
      </c>
      <c r="AB24" s="1813">
        <v>1</v>
      </c>
      <c r="AC24" s="1813">
        <v>1</v>
      </c>
    </row>
    <row r="25" spans="1:29" ht="15">
      <c r="A25" s="428"/>
      <c r="B25" s="422" t="s">
        <v>2553</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57"/>
      <c r="Z25" s="1816" t="str">
        <f>Q25</f>
        <v>楼层-1</v>
      </c>
      <c r="AA25" s="1813">
        <f t="shared" ref="AA25:AA46" si="15">D25/F25</f>
        <v>1</v>
      </c>
      <c r="AB25" s="1813">
        <f t="shared" ref="AB25:AB46" si="16">D25/H25</f>
        <v>1</v>
      </c>
      <c r="AC25" s="1813">
        <f t="shared" ref="AC25:AC46" si="17">D25/J25</f>
        <v>1</v>
      </c>
    </row>
    <row r="26" spans="1:29" ht="15">
      <c r="A26" s="428"/>
      <c r="B26" s="422" t="s">
        <v>2554</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4"/>
      <c r="Q26" s="1812" t="str">
        <f t="shared" si="11"/>
        <v>朝向</v>
      </c>
      <c r="R26" s="774" t="s">
        <v>21</v>
      </c>
      <c r="S26" s="775">
        <f t="shared" si="12"/>
        <v>100</v>
      </c>
      <c r="T26" s="774" t="s">
        <v>21</v>
      </c>
      <c r="U26" s="775">
        <f t="shared" si="13"/>
        <v>100</v>
      </c>
      <c r="V26" s="774" t="s">
        <v>21</v>
      </c>
      <c r="W26" s="775">
        <f t="shared" si="14"/>
        <v>100</v>
      </c>
      <c r="X26" s="1815"/>
      <c r="Y26" s="3157"/>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4"/>
      <c r="Q27" s="1797">
        <f t="shared" si="11"/>
        <v>111</v>
      </c>
      <c r="R27" s="770" t="s">
        <v>21</v>
      </c>
      <c r="S27" s="771">
        <f t="shared" si="12"/>
        <v>100</v>
      </c>
      <c r="T27" s="770" t="s">
        <v>21</v>
      </c>
      <c r="U27" s="771">
        <f t="shared" si="13"/>
        <v>100</v>
      </c>
      <c r="V27" s="770" t="s">
        <v>21</v>
      </c>
      <c r="W27" s="771">
        <f t="shared" si="14"/>
        <v>100</v>
      </c>
      <c r="X27" s="772"/>
      <c r="Y27" s="3157"/>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4"/>
      <c r="Q28" s="1812">
        <f t="shared" si="11"/>
        <v>111</v>
      </c>
      <c r="R28" s="774" t="s">
        <v>21</v>
      </c>
      <c r="S28" s="775">
        <f t="shared" si="12"/>
        <v>100</v>
      </c>
      <c r="T28" s="774" t="s">
        <v>21</v>
      </c>
      <c r="U28" s="775">
        <f t="shared" si="13"/>
        <v>100</v>
      </c>
      <c r="V28" s="774" t="s">
        <v>21</v>
      </c>
      <c r="W28" s="775">
        <f t="shared" si="14"/>
        <v>100</v>
      </c>
      <c r="X28" s="1815"/>
      <c r="Y28" s="3157"/>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4"/>
      <c r="Q29" s="1812">
        <f t="shared" si="11"/>
        <v>111</v>
      </c>
      <c r="R29" s="774" t="s">
        <v>21</v>
      </c>
      <c r="S29" s="775">
        <f t="shared" si="12"/>
        <v>100</v>
      </c>
      <c r="T29" s="774" t="s">
        <v>21</v>
      </c>
      <c r="U29" s="775">
        <f t="shared" si="13"/>
        <v>100</v>
      </c>
      <c r="V29" s="774" t="s">
        <v>21</v>
      </c>
      <c r="W29" s="775">
        <f t="shared" si="14"/>
        <v>100</v>
      </c>
      <c r="X29" s="1815"/>
      <c r="Y29" s="3157"/>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4"/>
      <c r="Q30" s="1812">
        <f t="shared" si="11"/>
        <v>111</v>
      </c>
      <c r="R30" s="774" t="s">
        <v>21</v>
      </c>
      <c r="S30" s="775">
        <f t="shared" si="12"/>
        <v>100</v>
      </c>
      <c r="T30" s="774" t="s">
        <v>21</v>
      </c>
      <c r="U30" s="775">
        <f t="shared" si="13"/>
        <v>100</v>
      </c>
      <c r="V30" s="774" t="s">
        <v>21</v>
      </c>
      <c r="W30" s="775">
        <f t="shared" si="14"/>
        <v>100</v>
      </c>
      <c r="X30" s="1815"/>
      <c r="Y30" s="3157"/>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4"/>
      <c r="Q31" s="1812">
        <f t="shared" si="11"/>
        <v>111</v>
      </c>
      <c r="R31" s="774" t="s">
        <v>21</v>
      </c>
      <c r="S31" s="775">
        <f t="shared" si="12"/>
        <v>100</v>
      </c>
      <c r="T31" s="774" t="s">
        <v>21</v>
      </c>
      <c r="U31" s="775">
        <f t="shared" si="13"/>
        <v>100</v>
      </c>
      <c r="V31" s="774" t="s">
        <v>21</v>
      </c>
      <c r="W31" s="775">
        <f t="shared" si="14"/>
        <v>100</v>
      </c>
      <c r="X31" s="1815"/>
      <c r="Y31" s="3157"/>
      <c r="Z31" s="1816">
        <f t="shared" si="18"/>
        <v>111</v>
      </c>
      <c r="AA31" s="1813">
        <f t="shared" si="15"/>
        <v>1</v>
      </c>
      <c r="AB31" s="1813">
        <f t="shared" si="16"/>
        <v>1</v>
      </c>
      <c r="AC31" s="1813">
        <f t="shared" si="17"/>
        <v>1</v>
      </c>
    </row>
    <row r="32" spans="1:29" ht="15">
      <c r="A32" s="440" t="s">
        <v>2555</v>
      </c>
      <c r="B32" s="71" t="s">
        <v>2556</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9" t="s">
        <v>2557</v>
      </c>
      <c r="Q32" s="1812" t="str">
        <f t="shared" si="11"/>
        <v>建筑类型</v>
      </c>
      <c r="R32" s="774" t="s">
        <v>21</v>
      </c>
      <c r="S32" s="775">
        <f t="shared" si="12"/>
        <v>100</v>
      </c>
      <c r="T32" s="774" t="s">
        <v>21</v>
      </c>
      <c r="U32" s="775">
        <f t="shared" si="13"/>
        <v>100</v>
      </c>
      <c r="V32" s="774" t="s">
        <v>21</v>
      </c>
      <c r="W32" s="775">
        <f t="shared" si="14"/>
        <v>100</v>
      </c>
      <c r="X32" s="1815"/>
      <c r="Y32" s="3159" t="s">
        <v>2557</v>
      </c>
      <c r="Z32" s="1816" t="str">
        <f t="shared" si="18"/>
        <v>建筑类型</v>
      </c>
      <c r="AA32" s="1813">
        <f t="shared" si="15"/>
        <v>1</v>
      </c>
      <c r="AB32" s="1813">
        <f t="shared" si="16"/>
        <v>1</v>
      </c>
      <c r="AC32" s="181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159"/>
      <c r="Z33" s="780" t="str">
        <f t="shared" si="18"/>
        <v>项目建筑规模</v>
      </c>
      <c r="AA33" s="1813" t="e">
        <f t="shared" si="15"/>
        <v>#N/A</v>
      </c>
      <c r="AB33" s="1813" t="e">
        <f t="shared" si="16"/>
        <v>#N/A</v>
      </c>
      <c r="AC33" s="1813" t="e">
        <f t="shared" si="17"/>
        <v>#N/A</v>
      </c>
    </row>
    <row r="34" spans="1:29" ht="15">
      <c r="A34" s="472"/>
      <c r="B34" s="422" t="s">
        <v>2559</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0"/>
      <c r="Q34" s="1812" t="str">
        <f t="shared" si="11"/>
        <v>建筑结构</v>
      </c>
      <c r="R34" s="774" t="s">
        <v>21</v>
      </c>
      <c r="S34" s="775">
        <f t="shared" si="12"/>
        <v>100</v>
      </c>
      <c r="T34" s="774" t="s">
        <v>21</v>
      </c>
      <c r="U34" s="775">
        <f t="shared" si="13"/>
        <v>100</v>
      </c>
      <c r="V34" s="774" t="s">
        <v>21</v>
      </c>
      <c r="W34" s="775">
        <f t="shared" si="14"/>
        <v>100</v>
      </c>
      <c r="X34" s="1815"/>
      <c r="Y34" s="3159"/>
      <c r="Z34" s="1816" t="str">
        <f t="shared" si="18"/>
        <v>建筑结构</v>
      </c>
      <c r="AA34" s="1813">
        <f t="shared" si="15"/>
        <v>1</v>
      </c>
      <c r="AB34" s="1813">
        <f t="shared" si="16"/>
        <v>1</v>
      </c>
      <c r="AC34" s="1813">
        <f t="shared" si="17"/>
        <v>1</v>
      </c>
    </row>
    <row r="35" spans="1:29" ht="15">
      <c r="A35" s="472"/>
      <c r="B35" s="422" t="s">
        <v>2560</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0"/>
      <c r="Q35" s="1812" t="str">
        <f t="shared" si="11"/>
        <v>建筑品质</v>
      </c>
      <c r="R35" s="774" t="s">
        <v>21</v>
      </c>
      <c r="S35" s="775">
        <f t="shared" si="12"/>
        <v>100</v>
      </c>
      <c r="T35" s="774" t="s">
        <v>21</v>
      </c>
      <c r="U35" s="775">
        <f t="shared" si="13"/>
        <v>100</v>
      </c>
      <c r="V35" s="774" t="s">
        <v>21</v>
      </c>
      <c r="W35" s="775">
        <f t="shared" si="14"/>
        <v>100</v>
      </c>
      <c r="X35" s="1815"/>
      <c r="Y35" s="3159"/>
      <c r="Z35" s="1816" t="str">
        <f t="shared" si="18"/>
        <v>建筑品质</v>
      </c>
      <c r="AA35" s="1813">
        <f t="shared" si="15"/>
        <v>1</v>
      </c>
      <c r="AB35" s="1813">
        <f t="shared" si="16"/>
        <v>1</v>
      </c>
      <c r="AC35" s="1813">
        <f t="shared" si="17"/>
        <v>1</v>
      </c>
    </row>
    <row r="36" spans="1:29" ht="15">
      <c r="A36" s="472"/>
      <c r="B36" s="422" t="s">
        <v>2561</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0"/>
      <c r="Q36" s="1812" t="str">
        <f t="shared" si="11"/>
        <v>公共部分装修</v>
      </c>
      <c r="R36" s="774" t="s">
        <v>21</v>
      </c>
      <c r="S36" s="775">
        <f t="shared" si="12"/>
        <v>100</v>
      </c>
      <c r="T36" s="774" t="s">
        <v>21</v>
      </c>
      <c r="U36" s="775">
        <f t="shared" si="13"/>
        <v>100</v>
      </c>
      <c r="V36" s="774" t="s">
        <v>21</v>
      </c>
      <c r="W36" s="775">
        <f t="shared" si="14"/>
        <v>100</v>
      </c>
      <c r="X36" s="1815"/>
      <c r="Y36" s="3159"/>
      <c r="Z36" s="1816" t="str">
        <f t="shared" si="18"/>
        <v>公共部分装修</v>
      </c>
      <c r="AA36" s="1813">
        <f t="shared" si="15"/>
        <v>1</v>
      </c>
      <c r="AB36" s="1813">
        <f t="shared" si="16"/>
        <v>1</v>
      </c>
      <c r="AC36" s="181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7" t="str">
        <f t="shared" si="11"/>
        <v>成新度</v>
      </c>
      <c r="R37" s="770" t="s">
        <v>21</v>
      </c>
      <c r="S37" s="771" t="e">
        <f t="shared" si="12"/>
        <v>#N/A</v>
      </c>
      <c r="T37" s="770" t="s">
        <v>21</v>
      </c>
      <c r="U37" s="771" t="e">
        <f t="shared" si="13"/>
        <v>#N/A</v>
      </c>
      <c r="V37" s="770" t="s">
        <v>21</v>
      </c>
      <c r="W37" s="771" t="e">
        <f t="shared" si="14"/>
        <v>#N/A</v>
      </c>
      <c r="X37" s="772"/>
      <c r="Y37" s="3159"/>
      <c r="Z37" s="55" t="str">
        <f t="shared" si="18"/>
        <v>成新度</v>
      </c>
      <c r="AA37" s="773" t="e">
        <f t="shared" si="15"/>
        <v>#N/A</v>
      </c>
      <c r="AB37" s="773" t="e">
        <f t="shared" si="16"/>
        <v>#N/A</v>
      </c>
      <c r="AC37" s="773" t="e">
        <f t="shared" si="17"/>
        <v>#N/A</v>
      </c>
    </row>
    <row r="38" spans="1:29" ht="15">
      <c r="A38" s="472"/>
      <c r="B38" s="422" t="s">
        <v>2563</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0" t="s">
        <v>2557</v>
      </c>
      <c r="Q38" s="1812" t="str">
        <f t="shared" si="11"/>
        <v>物业管理</v>
      </c>
      <c r="R38" s="774" t="s">
        <v>21</v>
      </c>
      <c r="S38" s="775">
        <f t="shared" si="12"/>
        <v>100</v>
      </c>
      <c r="T38" s="774" t="s">
        <v>21</v>
      </c>
      <c r="U38" s="775">
        <f t="shared" si="13"/>
        <v>100</v>
      </c>
      <c r="V38" s="774" t="s">
        <v>21</v>
      </c>
      <c r="W38" s="775">
        <f t="shared" si="14"/>
        <v>100</v>
      </c>
      <c r="X38" s="1815"/>
      <c r="Y38" s="3159" t="s">
        <v>2557</v>
      </c>
      <c r="Z38" s="1816" t="str">
        <f t="shared" si="18"/>
        <v>物业管理</v>
      </c>
      <c r="AA38" s="1813">
        <f t="shared" si="15"/>
        <v>1</v>
      </c>
      <c r="AB38" s="1813">
        <f t="shared" si="16"/>
        <v>1</v>
      </c>
      <c r="AC38" s="1813">
        <f t="shared" si="17"/>
        <v>1</v>
      </c>
    </row>
    <row r="39" spans="1:29" ht="15">
      <c r="A39" s="472"/>
      <c r="B39" s="422" t="s">
        <v>2564</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0"/>
      <c r="Q39" s="1812" t="str">
        <f t="shared" si="11"/>
        <v>市政基础设施</v>
      </c>
      <c r="R39" s="774" t="s">
        <v>21</v>
      </c>
      <c r="S39" s="775">
        <f t="shared" si="12"/>
        <v>100</v>
      </c>
      <c r="T39" s="774" t="s">
        <v>21</v>
      </c>
      <c r="U39" s="775">
        <f t="shared" si="13"/>
        <v>100</v>
      </c>
      <c r="V39" s="774" t="s">
        <v>21</v>
      </c>
      <c r="W39" s="775">
        <f t="shared" si="14"/>
        <v>100</v>
      </c>
      <c r="X39" s="1815"/>
      <c r="Y39" s="3159"/>
      <c r="Z39" s="1816" t="str">
        <f t="shared" si="18"/>
        <v>市政基础设施</v>
      </c>
      <c r="AA39" s="1813">
        <f t="shared" si="15"/>
        <v>1</v>
      </c>
      <c r="AB39" s="1813">
        <f t="shared" si="16"/>
        <v>1</v>
      </c>
      <c r="AC39" s="1813">
        <f t="shared" si="17"/>
        <v>1</v>
      </c>
    </row>
    <row r="40" spans="1:29" ht="15">
      <c r="A40" s="472"/>
      <c r="B40" s="422" t="s">
        <v>2565</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0"/>
      <c r="Q40" s="1812" t="str">
        <f t="shared" si="11"/>
        <v>房型</v>
      </c>
      <c r="R40" s="774" t="s">
        <v>21</v>
      </c>
      <c r="S40" s="775">
        <f t="shared" si="12"/>
        <v>100</v>
      </c>
      <c r="T40" s="774" t="s">
        <v>21</v>
      </c>
      <c r="U40" s="775">
        <f t="shared" si="13"/>
        <v>100</v>
      </c>
      <c r="V40" s="774" t="s">
        <v>21</v>
      </c>
      <c r="W40" s="775">
        <f t="shared" si="14"/>
        <v>100</v>
      </c>
      <c r="X40" s="1815"/>
      <c r="Y40" s="3159"/>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159"/>
      <c r="Z41" s="780" t="str">
        <f t="shared" si="18"/>
        <v>单套/主力户型建筑面积</v>
      </c>
      <c r="AA41" s="1813">
        <f t="shared" si="15"/>
        <v>1</v>
      </c>
      <c r="AB41" s="1813">
        <f t="shared" si="16"/>
        <v>1</v>
      </c>
      <c r="AC41" s="1813">
        <f t="shared" si="17"/>
        <v>1</v>
      </c>
    </row>
    <row r="42" spans="1:29" ht="15">
      <c r="A42" s="472"/>
      <c r="B42" s="422" t="s">
        <v>2567</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0"/>
      <c r="Q42" s="1812" t="str">
        <f t="shared" si="11"/>
        <v>内部装修</v>
      </c>
      <c r="R42" s="774" t="s">
        <v>21</v>
      </c>
      <c r="S42" s="775">
        <f t="shared" si="12"/>
        <v>100</v>
      </c>
      <c r="T42" s="774" t="s">
        <v>21</v>
      </c>
      <c r="U42" s="775">
        <f t="shared" si="13"/>
        <v>100</v>
      </c>
      <c r="V42" s="774" t="s">
        <v>21</v>
      </c>
      <c r="W42" s="775">
        <f t="shared" si="14"/>
        <v>100</v>
      </c>
      <c r="X42" s="1815"/>
      <c r="Y42" s="3159"/>
      <c r="Z42" s="1816" t="str">
        <f t="shared" si="18"/>
        <v>内部装修</v>
      </c>
      <c r="AA42" s="1813">
        <f t="shared" si="15"/>
        <v>1</v>
      </c>
      <c r="AB42" s="1813">
        <f t="shared" si="16"/>
        <v>1</v>
      </c>
      <c r="AC42" s="1813">
        <f t="shared" si="17"/>
        <v>1</v>
      </c>
    </row>
    <row r="43" spans="1:29" ht="15">
      <c r="A43" s="472"/>
      <c r="B43" s="422" t="s">
        <v>2568</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0"/>
      <c r="Q43" s="1812" t="str">
        <f t="shared" si="11"/>
        <v>内部装修维护情况</v>
      </c>
      <c r="R43" s="774" t="s">
        <v>21</v>
      </c>
      <c r="S43" s="775">
        <f t="shared" si="12"/>
        <v>100</v>
      </c>
      <c r="T43" s="774" t="s">
        <v>21</v>
      </c>
      <c r="U43" s="775">
        <f t="shared" si="13"/>
        <v>100</v>
      </c>
      <c r="V43" s="774" t="s">
        <v>21</v>
      </c>
      <c r="W43" s="775">
        <f t="shared" si="14"/>
        <v>100</v>
      </c>
      <c r="X43" s="1815"/>
      <c r="Y43" s="315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0"/>
      <c r="Q44" s="1797">
        <f t="shared" si="11"/>
        <v>111</v>
      </c>
      <c r="R44" s="770" t="s">
        <v>21</v>
      </c>
      <c r="S44" s="771">
        <f t="shared" si="12"/>
        <v>100</v>
      </c>
      <c r="T44" s="770" t="s">
        <v>21</v>
      </c>
      <c r="U44" s="771">
        <f t="shared" si="13"/>
        <v>100</v>
      </c>
      <c r="V44" s="770" t="s">
        <v>21</v>
      </c>
      <c r="W44" s="771">
        <f t="shared" si="14"/>
        <v>100</v>
      </c>
      <c r="X44" s="772"/>
      <c r="Y44" s="315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0"/>
      <c r="Q45" s="1812">
        <f t="shared" si="11"/>
        <v>111</v>
      </c>
      <c r="R45" s="774" t="s">
        <v>21</v>
      </c>
      <c r="S45" s="775">
        <f t="shared" si="12"/>
        <v>100</v>
      </c>
      <c r="T45" s="774" t="s">
        <v>21</v>
      </c>
      <c r="U45" s="775">
        <f t="shared" si="13"/>
        <v>100</v>
      </c>
      <c r="V45" s="774" t="s">
        <v>21</v>
      </c>
      <c r="W45" s="775">
        <f t="shared" si="14"/>
        <v>100</v>
      </c>
      <c r="X45" s="1815"/>
      <c r="Y45" s="3159"/>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1"/>
      <c r="Q46" s="1812">
        <f t="shared" si="11"/>
        <v>111</v>
      </c>
      <c r="R46" s="774" t="s">
        <v>20</v>
      </c>
      <c r="S46" s="775">
        <f t="shared" si="12"/>
        <v>100</v>
      </c>
      <c r="T46" s="774" t="s">
        <v>20</v>
      </c>
      <c r="U46" s="775">
        <f t="shared" si="13"/>
        <v>100</v>
      </c>
      <c r="V46" s="774" t="s">
        <v>20</v>
      </c>
      <c r="W46" s="775">
        <f t="shared" si="14"/>
        <v>100</v>
      </c>
      <c r="X46" s="1815"/>
      <c r="Y46" s="3222"/>
      <c r="Z46" s="1816">
        <f t="shared" si="18"/>
        <v>111</v>
      </c>
      <c r="AA46" s="1813">
        <f t="shared" si="15"/>
        <v>1</v>
      </c>
      <c r="AB46" s="1813">
        <f t="shared" si="16"/>
        <v>1</v>
      </c>
      <c r="AC46" s="1813">
        <f t="shared" si="17"/>
        <v>1</v>
      </c>
    </row>
    <row r="47" spans="1:29" ht="15">
      <c r="A47" s="479" t="s">
        <v>2569</v>
      </c>
      <c r="B47" s="480"/>
      <c r="C47" s="1410" t="s">
        <v>19</v>
      </c>
      <c r="D47" s="1411"/>
      <c r="E47" s="1412"/>
      <c r="F47" s="1413"/>
      <c r="G47" s="1414"/>
      <c r="H47" s="1415"/>
      <c r="I47" s="1412"/>
      <c r="J47" s="1415"/>
      <c r="K47" s="2627"/>
      <c r="L47" s="1146"/>
      <c r="M47" s="1147"/>
      <c r="N47" s="1134"/>
      <c r="O47" s="1147"/>
      <c r="P47" s="3154" t="str">
        <f>A47</f>
        <v>成交单价（元/平方米）</v>
      </c>
      <c r="Q47" s="3154"/>
      <c r="R47" s="3218">
        <f>E47</f>
        <v>0</v>
      </c>
      <c r="S47" s="3218"/>
      <c r="T47" s="3218">
        <f>G47</f>
        <v>0</v>
      </c>
      <c r="U47" s="3218"/>
      <c r="V47" s="3218">
        <f>I47</f>
        <v>0</v>
      </c>
      <c r="W47" s="3218"/>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8"/>
      <c r="L48" s="1146"/>
      <c r="M48" s="1147"/>
      <c r="N48" s="1147"/>
      <c r="O48" s="1147"/>
      <c r="P48" s="3154" t="str">
        <f>A48</f>
        <v>比较价值（元/平方米）</v>
      </c>
      <c r="Q48" s="3154"/>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9"/>
      <c r="L49" s="1146"/>
      <c r="M49" s="1147"/>
      <c r="N49" s="1147"/>
      <c r="O49" s="1147"/>
      <c r="P49" s="3148" t="str">
        <f>A49</f>
        <v>估价对象XX用房的比较价值（楼面单价，元/平方米）</v>
      </c>
      <c r="Q49" s="3149"/>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2"/>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2578</v>
      </c>
      <c r="B61" s="510"/>
      <c r="C61" s="522" t="s">
        <v>2579</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2603</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2555</v>
      </c>
      <c r="B100" s="528" t="s">
        <v>2604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2607</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2608</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2609</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2610</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2611</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2614</v>
      </c>
    </row>
    <row r="137" spans="1:17" ht="15">
      <c r="B137" s="2644" t="s">
        <v>2615</v>
      </c>
      <c r="C137" s="2645"/>
      <c r="D137" s="2645"/>
      <c r="E137" s="2645"/>
      <c r="F137" s="2645"/>
      <c r="G137" s="2646"/>
      <c r="H137" s="2647"/>
      <c r="I137" s="2648" t="s">
        <v>2616</v>
      </c>
      <c r="J137" s="2645"/>
      <c r="K137" s="2649"/>
    </row>
    <row r="138" spans="1:17" ht="15">
      <c r="B138" s="2650"/>
      <c r="C138" s="146" t="s">
        <v>2617</v>
      </c>
      <c r="D138" s="146" t="s">
        <v>2618</v>
      </c>
      <c r="E138" s="2651" t="s">
        <v>2619</v>
      </c>
      <c r="F138" s="2652" t="s">
        <v>2620</v>
      </c>
      <c r="G138" s="146" t="s">
        <v>2618</v>
      </c>
      <c r="H138" s="147" t="s">
        <v>2619</v>
      </c>
      <c r="I138" s="2653"/>
      <c r="J138" s="146" t="s">
        <v>2621</v>
      </c>
      <c r="K138" s="147" t="s">
        <v>2622</v>
      </c>
    </row>
    <row r="139" spans="1:17" ht="15">
      <c r="B139" s="1087">
        <v>6</v>
      </c>
      <c r="C139" s="1088">
        <v>96</v>
      </c>
      <c r="D139" s="2654" t="s">
        <v>2623</v>
      </c>
      <c r="E139" s="1089">
        <v>100</v>
      </c>
      <c r="F139" s="1090">
        <v>102.5</v>
      </c>
      <c r="G139" s="2654" t="s">
        <v>2623</v>
      </c>
      <c r="H139" s="1091">
        <v>105</v>
      </c>
      <c r="I139" s="2655" t="s">
        <v>2624</v>
      </c>
      <c r="J139" s="1088">
        <v>20</v>
      </c>
      <c r="K139" s="1092">
        <f>C145/(J139-2)</f>
        <v>4.0555555555555553E-3</v>
      </c>
    </row>
    <row r="140" spans="1:17" ht="15">
      <c r="B140" s="1093">
        <v>5</v>
      </c>
      <c r="C140" s="1094">
        <v>100</v>
      </c>
      <c r="D140" s="1094"/>
      <c r="E140" s="1095"/>
      <c r="F140" s="1096">
        <v>102</v>
      </c>
      <c r="G140" s="1094"/>
      <c r="H140" s="1097"/>
      <c r="I140" s="2656" t="s">
        <v>2625</v>
      </c>
      <c r="J140" s="315">
        <f>ROUNDUP((J139-1)/2,0)</f>
        <v>10</v>
      </c>
      <c r="K140" s="1098">
        <v>100</v>
      </c>
    </row>
    <row r="141" spans="1:17" ht="15">
      <c r="B141" s="1093">
        <v>4</v>
      </c>
      <c r="C141" s="1094">
        <v>102</v>
      </c>
      <c r="D141" s="1094"/>
      <c r="E141" s="1095"/>
      <c r="F141" s="1096">
        <v>101.5</v>
      </c>
      <c r="G141" s="1094"/>
      <c r="H141" s="1097"/>
      <c r="I141" s="2656" t="s">
        <v>2626</v>
      </c>
      <c r="J141" s="315">
        <v>1</v>
      </c>
      <c r="K141" s="1099">
        <f>ROUND(100+(J141-J140)*K139*100,1)</f>
        <v>96.4</v>
      </c>
    </row>
    <row r="142" spans="1:17" ht="15">
      <c r="B142" s="1093">
        <v>3</v>
      </c>
      <c r="C142" s="1094">
        <v>103</v>
      </c>
      <c r="D142" s="1094"/>
      <c r="E142" s="1095"/>
      <c r="F142" s="1096">
        <v>101</v>
      </c>
      <c r="G142" s="1094"/>
      <c r="H142" s="1097"/>
      <c r="I142" s="2656" t="s">
        <v>2627</v>
      </c>
      <c r="J142" s="315">
        <f>J139</f>
        <v>20</v>
      </c>
      <c r="K142" s="1100">
        <v>95</v>
      </c>
    </row>
    <row r="143" spans="1:17" ht="15">
      <c r="B143" s="1093">
        <v>2</v>
      </c>
      <c r="C143" s="1094">
        <v>100</v>
      </c>
      <c r="D143" s="1094"/>
      <c r="E143" s="1095"/>
      <c r="F143" s="1096">
        <v>100.5</v>
      </c>
      <c r="G143" s="1094"/>
      <c r="H143" s="1097"/>
      <c r="I143" s="2656" t="s">
        <v>2628</v>
      </c>
      <c r="J143" s="1094">
        <v>15</v>
      </c>
      <c r="K143" s="1099">
        <f>ROUND(100+(J143-J140)*K139*100,1)</f>
        <v>102</v>
      </c>
    </row>
    <row r="144" spans="1:17" ht="15">
      <c r="B144" s="1093">
        <v>1</v>
      </c>
      <c r="C144" s="1094">
        <v>98</v>
      </c>
      <c r="D144" s="2657" t="s">
        <v>2629</v>
      </c>
      <c r="E144" s="1095">
        <v>102</v>
      </c>
      <c r="F144" s="1101">
        <v>100</v>
      </c>
      <c r="G144" s="2657" t="s">
        <v>2629</v>
      </c>
      <c r="H144" s="1097">
        <v>105</v>
      </c>
      <c r="I144" s="2656" t="s">
        <v>2628</v>
      </c>
      <c r="J144" s="1094">
        <v>18</v>
      </c>
      <c r="K144" s="1099">
        <f>ROUND(100+(J144-J140)*K139*100,1)</f>
        <v>103.2</v>
      </c>
    </row>
    <row r="145" spans="2:11" ht="15.75" thickBot="1">
      <c r="B145" s="2658" t="s">
        <v>2630</v>
      </c>
      <c r="C145" s="1102">
        <f>ROUND(MAX(C139:C144)/MIN(C139:C144)-1,3)</f>
        <v>7.2999999999999995E-2</v>
      </c>
      <c r="D145" s="1103"/>
      <c r="E145" s="1103"/>
      <c r="F145" s="2659" t="s">
        <v>2631</v>
      </c>
      <c r="G145" s="2660"/>
      <c r="H145" s="2661"/>
      <c r="I145" s="2662" t="s">
        <v>2628</v>
      </c>
      <c r="J145" s="1104">
        <v>8</v>
      </c>
      <c r="K145" s="1105">
        <f>ROUND(100+(J145-J140)*K139*100,1)</f>
        <v>99.2</v>
      </c>
    </row>
    <row r="147" spans="2:11">
      <c r="B147" s="2643" t="s">
        <v>2632</v>
      </c>
    </row>
    <row r="148" spans="2:11">
      <c r="B148" s="2643"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2634</v>
      </c>
      <c r="C1" s="1636" t="s">
        <v>2522</v>
      </c>
      <c r="D1" s="1623"/>
      <c r="E1" s="2663"/>
      <c r="F1" s="2590"/>
      <c r="G1" s="1633" t="s">
        <v>2635</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2319</v>
      </c>
      <c r="B2" s="1421" t="e">
        <f ca="1">IF(C2="——",ROUND(C49*D3/10000,0),ROUND(C49*D3/10000,0)-D2)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2321</v>
      </c>
      <c r="B3" s="609" t="e">
        <f ca="1">IF(C2="——",C49,ROUND(B2*10000/D3,0))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0" t="s">
        <v>2640</v>
      </c>
      <c r="AC4" s="3161" t="s">
        <v>2641</v>
      </c>
    </row>
    <row r="5" spans="1:29" ht="15">
      <c r="A5" s="404"/>
      <c r="B5" s="405"/>
      <c r="C5" s="3181" t="s">
        <v>2534</v>
      </c>
      <c r="D5" s="3182"/>
      <c r="E5" s="3188" t="s">
        <v>2535</v>
      </c>
      <c r="F5" s="3189"/>
      <c r="G5" s="3181" t="s">
        <v>2536</v>
      </c>
      <c r="H5" s="3182"/>
      <c r="I5" s="3181" t="s">
        <v>2537</v>
      </c>
      <c r="J5" s="3182"/>
      <c r="K5" s="610"/>
      <c r="L5" s="1133"/>
      <c r="M5" s="1134"/>
      <c r="N5" s="1134"/>
      <c r="O5" s="1134"/>
      <c r="P5" s="3169"/>
      <c r="Q5" s="3170"/>
      <c r="R5" s="3175"/>
      <c r="S5" s="3176"/>
      <c r="T5" s="3175"/>
      <c r="U5" s="3176"/>
      <c r="V5" s="3160"/>
      <c r="W5" s="3160"/>
      <c r="X5" s="1815"/>
      <c r="Y5" s="3175"/>
      <c r="Z5" s="3176"/>
      <c r="AA5" s="3162"/>
      <c r="AB5" s="3160"/>
      <c r="AC5" s="3162"/>
    </row>
    <row r="6" spans="1:29" ht="15.75" thickBot="1">
      <c r="A6" s="406"/>
      <c r="B6" s="407"/>
      <c r="C6" s="3179" t="s">
        <v>2538</v>
      </c>
      <c r="D6" s="3180"/>
      <c r="E6" s="3186" t="s">
        <v>2538</v>
      </c>
      <c r="F6" s="3187"/>
      <c r="G6" s="3179" t="s">
        <v>2538</v>
      </c>
      <c r="H6" s="3180"/>
      <c r="I6" s="3179" t="s">
        <v>2538</v>
      </c>
      <c r="J6" s="3180"/>
      <c r="K6" s="610" t="s">
        <v>2539</v>
      </c>
      <c r="L6" s="1133"/>
      <c r="M6" s="1134"/>
      <c r="N6" s="1134"/>
      <c r="O6" s="1134"/>
      <c r="P6" s="3171"/>
      <c r="Q6" s="3172"/>
      <c r="R6" s="3175"/>
      <c r="S6" s="3176"/>
      <c r="T6" s="3177"/>
      <c r="U6" s="3178"/>
      <c r="V6" s="3160"/>
      <c r="W6" s="3160"/>
      <c r="X6" s="1815"/>
      <c r="Y6" s="3177"/>
      <c r="Z6" s="3178"/>
      <c r="AA6" s="3163"/>
      <c r="AB6" s="3160"/>
      <c r="AC6" s="3163"/>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3" t="s">
        <v>2541</v>
      </c>
      <c r="Q7" s="3185"/>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3"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3"/>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3"/>
      <c r="Q11" s="1797"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3"/>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3"/>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3"/>
      <c r="Q14" s="1797">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2551</v>
      </c>
      <c r="B15" s="69" t="s">
        <v>2645</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2552</v>
      </c>
      <c r="Q15" s="1812" t="str">
        <f t="shared" si="6"/>
        <v>商业繁华度</v>
      </c>
      <c r="R15" s="774" t="s">
        <v>17</v>
      </c>
      <c r="S15" s="775">
        <f t="shared" si="0"/>
        <v>100</v>
      </c>
      <c r="T15" s="774" t="s">
        <v>17</v>
      </c>
      <c r="U15" s="775">
        <f t="shared" si="1"/>
        <v>100</v>
      </c>
      <c r="V15" s="774" t="s">
        <v>17</v>
      </c>
      <c r="W15" s="775">
        <f t="shared" si="2"/>
        <v>100</v>
      </c>
      <c r="X15" s="1815"/>
      <c r="Y15" s="3156"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4"/>
      <c r="Q16" s="1812"/>
      <c r="R16" s="774"/>
      <c r="S16" s="775"/>
      <c r="T16" s="774"/>
      <c r="U16" s="775"/>
      <c r="V16" s="774"/>
      <c r="W16" s="775"/>
      <c r="X16" s="1815"/>
      <c r="Y16" s="3157"/>
      <c r="Z16" s="1816"/>
      <c r="AA16" s="1813">
        <v>1</v>
      </c>
      <c r="AB16" s="1813">
        <v>1</v>
      </c>
      <c r="AC16" s="1813">
        <v>1</v>
      </c>
    </row>
    <row r="17" spans="1:29" ht="15">
      <c r="A17" s="428"/>
      <c r="B17" s="451" t="s">
        <v>2091</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57"/>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4"/>
      <c r="Q18" s="1812"/>
      <c r="R18" s="774"/>
      <c r="S18" s="775"/>
      <c r="T18" s="774"/>
      <c r="U18" s="775"/>
      <c r="V18" s="774"/>
      <c r="W18" s="775"/>
      <c r="X18" s="1815"/>
      <c r="Y18" s="3157"/>
      <c r="Z18" s="1816"/>
      <c r="AA18" s="1813">
        <v>1</v>
      </c>
      <c r="AB18" s="1813">
        <v>1</v>
      </c>
      <c r="AC18" s="1813">
        <v>1</v>
      </c>
    </row>
    <row r="19" spans="1:29" ht="15">
      <c r="A19" s="428"/>
      <c r="B19" s="451" t="s">
        <v>2646</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57"/>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4"/>
      <c r="Q20" s="1812"/>
      <c r="R20" s="774"/>
      <c r="S20" s="775"/>
      <c r="T20" s="774"/>
      <c r="U20" s="775"/>
      <c r="V20" s="774"/>
      <c r="W20" s="775"/>
      <c r="X20" s="1815"/>
      <c r="Y20" s="3157"/>
      <c r="Z20" s="1816"/>
      <c r="AA20" s="1813">
        <v>1</v>
      </c>
      <c r="AB20" s="1813">
        <v>1</v>
      </c>
      <c r="AC20" s="1813">
        <v>1</v>
      </c>
    </row>
    <row r="21" spans="1:29" ht="15">
      <c r="A21" s="428"/>
      <c r="B21" s="1387" t="s">
        <v>2647</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7"/>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4"/>
      <c r="Q22" s="1812"/>
      <c r="R22" s="774"/>
      <c r="S22" s="775"/>
      <c r="T22" s="774"/>
      <c r="U22" s="775"/>
      <c r="V22" s="774"/>
      <c r="W22" s="775"/>
      <c r="X22" s="1815"/>
      <c r="Y22" s="3157"/>
      <c r="Z22" s="1816"/>
      <c r="AA22" s="1813">
        <v>1</v>
      </c>
      <c r="AB22" s="1813">
        <v>1</v>
      </c>
      <c r="AC22" s="1813">
        <v>1</v>
      </c>
    </row>
    <row r="23" spans="1:29" ht="15">
      <c r="A23" s="428"/>
      <c r="B23" s="451" t="s">
        <v>2094</v>
      </c>
      <c r="C23" s="267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2" t="str">
        <f>B23</f>
        <v>自然及人文环境</v>
      </c>
      <c r="R23" s="774" t="s">
        <v>17</v>
      </c>
      <c r="S23" s="775">
        <f>F23</f>
        <v>100</v>
      </c>
      <c r="T23" s="774" t="s">
        <v>17</v>
      </c>
      <c r="U23" s="775">
        <f>H23</f>
        <v>100</v>
      </c>
      <c r="V23" s="774" t="s">
        <v>17</v>
      </c>
      <c r="W23" s="775">
        <f>J23</f>
        <v>100</v>
      </c>
      <c r="X23" s="1815"/>
      <c r="Y23" s="3157"/>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4"/>
      <c r="Q24" s="1812"/>
      <c r="R24" s="774"/>
      <c r="S24" s="775"/>
      <c r="T24" s="774"/>
      <c r="U24" s="775"/>
      <c r="V24" s="774"/>
      <c r="W24" s="775"/>
      <c r="X24" s="1815"/>
      <c r="Y24" s="3157"/>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2" t="str">
        <f t="shared" ref="Q25:Q46" si="11">B25</f>
        <v>临街状况</v>
      </c>
      <c r="R25" s="774" t="s">
        <v>17</v>
      </c>
      <c r="S25" s="775">
        <f>F25</f>
        <v>100</v>
      </c>
      <c r="T25" s="774" t="s">
        <v>17</v>
      </c>
      <c r="U25" s="775">
        <f>H25</f>
        <v>100</v>
      </c>
      <c r="V25" s="774" t="s">
        <v>17</v>
      </c>
      <c r="W25" s="775">
        <f>J25</f>
        <v>100</v>
      </c>
      <c r="X25" s="1815"/>
      <c r="Y25" s="3157"/>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2" t="str">
        <f t="shared" si="11"/>
        <v>平面位置/可视性</v>
      </c>
      <c r="R26" s="774" t="s">
        <v>17</v>
      </c>
      <c r="S26" s="775">
        <f>F26</f>
        <v>100</v>
      </c>
      <c r="T26" s="774" t="s">
        <v>17</v>
      </c>
      <c r="U26" s="775">
        <f>H26</f>
        <v>100</v>
      </c>
      <c r="V26" s="774" t="s">
        <v>17</v>
      </c>
      <c r="W26" s="775">
        <f>J26</f>
        <v>100</v>
      </c>
      <c r="X26" s="1815"/>
      <c r="Y26" s="3157"/>
      <c r="Z26" s="1816" t="str">
        <f>Q26</f>
        <v>平面位置/可视性</v>
      </c>
      <c r="AA26" s="1813">
        <f t="shared" si="3"/>
        <v>1</v>
      </c>
      <c r="AB26" s="1813">
        <f t="shared" si="4"/>
        <v>1</v>
      </c>
      <c r="AC26" s="1813">
        <f t="shared" si="5"/>
        <v>1</v>
      </c>
    </row>
    <row r="27" spans="1:29" s="117" customFormat="1" ht="15">
      <c r="A27" s="431"/>
      <c r="B27" s="451" t="s">
        <v>2650</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4"/>
      <c r="Q27" s="1797" t="str">
        <f t="shared" si="11"/>
        <v>人流量</v>
      </c>
      <c r="R27" s="770" t="s">
        <v>17</v>
      </c>
      <c r="S27" s="771">
        <f>F27</f>
        <v>100</v>
      </c>
      <c r="T27" s="770" t="s">
        <v>17</v>
      </c>
      <c r="U27" s="771">
        <f>H27</f>
        <v>100</v>
      </c>
      <c r="V27" s="770" t="s">
        <v>17</v>
      </c>
      <c r="W27" s="771">
        <f>J27</f>
        <v>100</v>
      </c>
      <c r="X27" s="772"/>
      <c r="Y27" s="3157"/>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57"/>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2">
        <f t="shared" si="11"/>
        <v>111</v>
      </c>
      <c r="R29" s="774" t="s">
        <v>17</v>
      </c>
      <c r="S29" s="775">
        <f t="shared" si="12"/>
        <v>100</v>
      </c>
      <c r="T29" s="774" t="s">
        <v>17</v>
      </c>
      <c r="U29" s="775">
        <f t="shared" si="13"/>
        <v>100</v>
      </c>
      <c r="V29" s="774" t="s">
        <v>17</v>
      </c>
      <c r="W29" s="775">
        <f t="shared" si="14"/>
        <v>100</v>
      </c>
      <c r="X29" s="1815"/>
      <c r="Y29" s="3157"/>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57"/>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57"/>
      <c r="Z31" s="1816">
        <f t="shared" si="15"/>
        <v>111</v>
      </c>
      <c r="AA31" s="1813">
        <f t="shared" si="3"/>
        <v>1</v>
      </c>
      <c r="AB31" s="1813">
        <f t="shared" si="4"/>
        <v>1</v>
      </c>
      <c r="AC31" s="1813">
        <f t="shared" si="5"/>
        <v>1</v>
      </c>
    </row>
    <row r="32" spans="1:29" ht="15">
      <c r="A32" s="440" t="s">
        <v>2555</v>
      </c>
      <c r="B32" s="71" t="s">
        <v>2652</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9" t="s">
        <v>2557</v>
      </c>
      <c r="Q32" s="1812" t="str">
        <f t="shared" si="11"/>
        <v>商业类型</v>
      </c>
      <c r="R32" s="774" t="s">
        <v>17</v>
      </c>
      <c r="S32" s="775">
        <f t="shared" si="12"/>
        <v>100</v>
      </c>
      <c r="T32" s="774" t="s">
        <v>17</v>
      </c>
      <c r="U32" s="775">
        <f t="shared" si="13"/>
        <v>100</v>
      </c>
      <c r="V32" s="774" t="s">
        <v>17</v>
      </c>
      <c r="W32" s="775">
        <f t="shared" si="14"/>
        <v>100</v>
      </c>
      <c r="X32" s="1815"/>
      <c r="Y32" s="3159"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159"/>
      <c r="Z33" s="780" t="str">
        <f t="shared" si="15"/>
        <v>项目建筑规模</v>
      </c>
      <c r="AA33" s="1813" t="e">
        <f t="shared" si="3"/>
        <v>#N/A</v>
      </c>
      <c r="AB33" s="1813" t="e">
        <f t="shared" si="4"/>
        <v>#N/A</v>
      </c>
      <c r="AC33" s="1813" t="e">
        <f t="shared" si="5"/>
        <v>#N/A</v>
      </c>
    </row>
    <row r="34" spans="1:29" ht="15">
      <c r="A34" s="472"/>
      <c r="B34" s="422" t="s">
        <v>2559</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0"/>
      <c r="Q34" s="1812" t="str">
        <f t="shared" si="11"/>
        <v>建筑结构</v>
      </c>
      <c r="R34" s="774" t="s">
        <v>17</v>
      </c>
      <c r="S34" s="775">
        <f t="shared" si="12"/>
        <v>100</v>
      </c>
      <c r="T34" s="774" t="s">
        <v>17</v>
      </c>
      <c r="U34" s="775">
        <f t="shared" si="13"/>
        <v>100</v>
      </c>
      <c r="V34" s="774" t="s">
        <v>17</v>
      </c>
      <c r="W34" s="775">
        <f t="shared" si="14"/>
        <v>100</v>
      </c>
      <c r="X34" s="1815"/>
      <c r="Y34" s="3159"/>
      <c r="Z34" s="1816" t="str">
        <f t="shared" si="15"/>
        <v>建筑结构</v>
      </c>
      <c r="AA34" s="1813">
        <f t="shared" si="3"/>
        <v>1</v>
      </c>
      <c r="AB34" s="1813">
        <f t="shared" si="4"/>
        <v>1</v>
      </c>
      <c r="AC34" s="1813">
        <f t="shared" si="5"/>
        <v>1</v>
      </c>
    </row>
    <row r="35" spans="1:29" ht="15">
      <c r="A35" s="472"/>
      <c r="B35" s="422" t="s">
        <v>2653</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0"/>
      <c r="Q35" s="1812" t="str">
        <f t="shared" si="11"/>
        <v>公共部分装修</v>
      </c>
      <c r="R35" s="774" t="s">
        <v>17</v>
      </c>
      <c r="S35" s="775">
        <f t="shared" si="12"/>
        <v>100</v>
      </c>
      <c r="T35" s="774" t="s">
        <v>17</v>
      </c>
      <c r="U35" s="775">
        <f t="shared" si="13"/>
        <v>100</v>
      </c>
      <c r="V35" s="774" t="s">
        <v>17</v>
      </c>
      <c r="W35" s="775">
        <f t="shared" si="14"/>
        <v>100</v>
      </c>
      <c r="X35" s="1815"/>
      <c r="Y35" s="3159"/>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2" t="str">
        <f t="shared" si="11"/>
        <v>成新度</v>
      </c>
      <c r="R36" s="774" t="s">
        <v>17</v>
      </c>
      <c r="S36" s="775" t="e">
        <f t="shared" si="12"/>
        <v>#N/A</v>
      </c>
      <c r="T36" s="774" t="s">
        <v>17</v>
      </c>
      <c r="U36" s="775" t="e">
        <f t="shared" si="13"/>
        <v>#N/A</v>
      </c>
      <c r="V36" s="774" t="s">
        <v>17</v>
      </c>
      <c r="W36" s="775" t="e">
        <f t="shared" si="14"/>
        <v>#N/A</v>
      </c>
      <c r="X36" s="1815"/>
      <c r="Y36" s="3159"/>
      <c r="Z36" s="1816" t="str">
        <f t="shared" si="15"/>
        <v>成新度</v>
      </c>
      <c r="AA36" s="1813" t="e">
        <f t="shared" si="3"/>
        <v>#N/A</v>
      </c>
      <c r="AB36" s="1813" t="e">
        <f t="shared" si="4"/>
        <v>#N/A</v>
      </c>
      <c r="AC36" s="1813" t="e">
        <f t="shared" si="5"/>
        <v>#N/A</v>
      </c>
    </row>
    <row r="37" spans="1:29" s="117" customFormat="1" ht="15">
      <c r="A37" s="473"/>
      <c r="B37" s="422" t="s">
        <v>2655</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0"/>
      <c r="Q37" s="1797" t="str">
        <f t="shared" si="11"/>
        <v>市政基础设施</v>
      </c>
      <c r="R37" s="770" t="s">
        <v>17</v>
      </c>
      <c r="S37" s="771">
        <f t="shared" si="12"/>
        <v>100</v>
      </c>
      <c r="T37" s="770" t="s">
        <v>17</v>
      </c>
      <c r="U37" s="771">
        <f t="shared" si="13"/>
        <v>100</v>
      </c>
      <c r="V37" s="770" t="s">
        <v>17</v>
      </c>
      <c r="W37" s="771">
        <f t="shared" si="14"/>
        <v>100</v>
      </c>
      <c r="X37" s="772"/>
      <c r="Y37" s="3159"/>
      <c r="Z37" s="55" t="str">
        <f t="shared" si="15"/>
        <v>市政基础设施</v>
      </c>
      <c r="AA37" s="773">
        <f t="shared" si="3"/>
        <v>1</v>
      </c>
      <c r="AB37" s="773">
        <f t="shared" si="4"/>
        <v>1</v>
      </c>
      <c r="AC37" s="773">
        <f t="shared" si="5"/>
        <v>1</v>
      </c>
    </row>
    <row r="38" spans="1:29" ht="15">
      <c r="A38" s="472"/>
      <c r="B38" s="422" t="s">
        <v>2656</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0" t="s">
        <v>2557</v>
      </c>
      <c r="Q38" s="1812" t="str">
        <f t="shared" si="11"/>
        <v>业态</v>
      </c>
      <c r="R38" s="774" t="s">
        <v>17</v>
      </c>
      <c r="S38" s="775">
        <f t="shared" si="12"/>
        <v>100</v>
      </c>
      <c r="T38" s="774" t="s">
        <v>17</v>
      </c>
      <c r="U38" s="775">
        <f t="shared" si="13"/>
        <v>100</v>
      </c>
      <c r="V38" s="774" t="s">
        <v>17</v>
      </c>
      <c r="W38" s="775">
        <f t="shared" si="14"/>
        <v>100</v>
      </c>
      <c r="X38" s="1815"/>
      <c r="Y38" s="3159" t="s">
        <v>2557</v>
      </c>
      <c r="Z38" s="1816" t="str">
        <f t="shared" si="15"/>
        <v>业态</v>
      </c>
      <c r="AA38" s="1813">
        <f t="shared" si="3"/>
        <v>1</v>
      </c>
      <c r="AB38" s="1813">
        <f t="shared" si="4"/>
        <v>1</v>
      </c>
      <c r="AC38" s="1813">
        <f t="shared" si="5"/>
        <v>1</v>
      </c>
    </row>
    <row r="39" spans="1:29" ht="15">
      <c r="A39" s="472"/>
      <c r="B39" s="422" t="s">
        <v>2657</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0"/>
      <c r="Q39" s="1812" t="str">
        <f t="shared" si="11"/>
        <v>层高</v>
      </c>
      <c r="R39" s="774" t="s">
        <v>17</v>
      </c>
      <c r="S39" s="775">
        <f t="shared" si="12"/>
        <v>100</v>
      </c>
      <c r="T39" s="774" t="s">
        <v>17</v>
      </c>
      <c r="U39" s="775">
        <f t="shared" si="13"/>
        <v>100</v>
      </c>
      <c r="V39" s="774" t="s">
        <v>17</v>
      </c>
      <c r="W39" s="775">
        <f t="shared" si="14"/>
        <v>100</v>
      </c>
      <c r="X39" s="1815"/>
      <c r="Y39" s="3159"/>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2" t="str">
        <f t="shared" si="11"/>
        <v>单套建筑面积</v>
      </c>
      <c r="R40" s="774" t="s">
        <v>17</v>
      </c>
      <c r="S40" s="775">
        <f t="shared" si="12"/>
        <v>100</v>
      </c>
      <c r="T40" s="774" t="s">
        <v>17</v>
      </c>
      <c r="U40" s="775">
        <f t="shared" si="13"/>
        <v>100</v>
      </c>
      <c r="V40" s="774" t="s">
        <v>17</v>
      </c>
      <c r="W40" s="775">
        <f t="shared" si="14"/>
        <v>100</v>
      </c>
      <c r="X40" s="1815"/>
      <c r="Y40" s="3159"/>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159"/>
      <c r="Z41" s="780" t="str">
        <f t="shared" si="15"/>
        <v>进深比</v>
      </c>
      <c r="AA41" s="1813">
        <f t="shared" si="3"/>
        <v>1</v>
      </c>
      <c r="AB41" s="1813">
        <f t="shared" si="4"/>
        <v>1</v>
      </c>
      <c r="AC41" s="1813">
        <f t="shared" si="5"/>
        <v>1</v>
      </c>
    </row>
    <row r="42" spans="1:29" ht="15">
      <c r="A42" s="472"/>
      <c r="B42" s="422" t="s">
        <v>2660</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0"/>
      <c r="Q42" s="1812" t="str">
        <f t="shared" si="11"/>
        <v>内部装修</v>
      </c>
      <c r="R42" s="774" t="s">
        <v>17</v>
      </c>
      <c r="S42" s="775">
        <f t="shared" si="12"/>
        <v>100</v>
      </c>
      <c r="T42" s="774" t="s">
        <v>17</v>
      </c>
      <c r="U42" s="775">
        <f t="shared" si="13"/>
        <v>100</v>
      </c>
      <c r="V42" s="774" t="s">
        <v>17</v>
      </c>
      <c r="W42" s="775">
        <f t="shared" si="14"/>
        <v>100</v>
      </c>
      <c r="X42" s="1815"/>
      <c r="Y42" s="3159"/>
      <c r="Z42" s="1816" t="str">
        <f t="shared" si="15"/>
        <v>内部装修</v>
      </c>
      <c r="AA42" s="1813">
        <f t="shared" si="3"/>
        <v>1</v>
      </c>
      <c r="AB42" s="1813">
        <f t="shared" si="4"/>
        <v>1</v>
      </c>
      <c r="AC42" s="1813">
        <f t="shared" si="5"/>
        <v>1</v>
      </c>
    </row>
    <row r="43" spans="1:29" ht="15">
      <c r="A43" s="472"/>
      <c r="B43" s="422" t="s">
        <v>2568</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0"/>
      <c r="Q43" s="1812" t="str">
        <f t="shared" si="11"/>
        <v>内部装修维护情况</v>
      </c>
      <c r="R43" s="774" t="s">
        <v>17</v>
      </c>
      <c r="S43" s="775">
        <f t="shared" si="12"/>
        <v>100</v>
      </c>
      <c r="T43" s="774" t="s">
        <v>17</v>
      </c>
      <c r="U43" s="775">
        <f t="shared" si="13"/>
        <v>100</v>
      </c>
      <c r="V43" s="774" t="s">
        <v>17</v>
      </c>
      <c r="W43" s="775">
        <f t="shared" si="14"/>
        <v>100</v>
      </c>
      <c r="X43" s="1815"/>
      <c r="Y43" s="315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7">
        <f t="shared" si="11"/>
        <v>111</v>
      </c>
      <c r="R44" s="770" t="s">
        <v>17</v>
      </c>
      <c r="S44" s="771">
        <f t="shared" si="12"/>
        <v>100</v>
      </c>
      <c r="T44" s="770" t="s">
        <v>17</v>
      </c>
      <c r="U44" s="771">
        <f t="shared" si="13"/>
        <v>100</v>
      </c>
      <c r="V44" s="770" t="s">
        <v>17</v>
      </c>
      <c r="W44" s="771">
        <f t="shared" si="14"/>
        <v>100</v>
      </c>
      <c r="X44" s="772"/>
      <c r="Y44" s="315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2">
        <f t="shared" si="11"/>
        <v>111</v>
      </c>
      <c r="R45" s="774" t="s">
        <v>17</v>
      </c>
      <c r="S45" s="775">
        <f t="shared" si="12"/>
        <v>100</v>
      </c>
      <c r="T45" s="774" t="s">
        <v>17</v>
      </c>
      <c r="U45" s="775">
        <f t="shared" si="13"/>
        <v>100</v>
      </c>
      <c r="V45" s="774" t="s">
        <v>17</v>
      </c>
      <c r="W45" s="775">
        <f t="shared" si="14"/>
        <v>100</v>
      </c>
      <c r="X45" s="1815"/>
      <c r="Y45" s="3159"/>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2">
        <f t="shared" si="11"/>
        <v>111</v>
      </c>
      <c r="R46" s="774" t="s">
        <v>17</v>
      </c>
      <c r="S46" s="775">
        <f t="shared" si="12"/>
        <v>100</v>
      </c>
      <c r="T46" s="774" t="s">
        <v>17</v>
      </c>
      <c r="U46" s="775">
        <f t="shared" si="13"/>
        <v>100</v>
      </c>
      <c r="V46" s="774" t="s">
        <v>17</v>
      </c>
      <c r="W46" s="775">
        <f t="shared" si="14"/>
        <v>100</v>
      </c>
      <c r="X46" s="1815"/>
      <c r="Y46" s="3222"/>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54" t="str">
        <f>A47</f>
        <v>成交单价（元/平方米）</v>
      </c>
      <c r="Q47" s="3154"/>
      <c r="R47" s="3160">
        <f>E47</f>
        <v>0</v>
      </c>
      <c r="S47" s="3160"/>
      <c r="T47" s="3160">
        <f>G47</f>
        <v>0</v>
      </c>
      <c r="U47" s="3160"/>
      <c r="V47" s="3160">
        <f>I47</f>
        <v>0</v>
      </c>
      <c r="W47" s="3160"/>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48" t="str">
        <f>A49</f>
        <v>估价对象XX用房的比较价值（楼面单价，元/平方米）</v>
      </c>
      <c r="Q49" s="3149"/>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2542</v>
      </c>
      <c r="B61" s="510"/>
      <c r="C61" s="522" t="s">
        <v>2644</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2555</v>
      </c>
      <c r="B100" s="528" t="s">
        <v>2673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2608</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2674</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2675</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2676</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估价对象为房地产，为所有。根据《国有土地使用证》[]，估价对象（分摊）出让国有建设用地使用权面积为10665.64平方米，建筑面积为7302.06平方米。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估价对象为房地产,为开发建设的，该项目尚在开发建设中。根据《国有土地使用证》[]，估价对象（分摊）出让国有建设用地使用权面积为10665.64平方米，规划建筑面积为7302.06平方米。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2018年12月28日（评估专业人员实地查勘之日）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2678</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IF(C2="——",ROUND(C50*D3/10000,0),ROUND(C50*D3/10000,0)-D2)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231" t="s">
        <v>2643</v>
      </c>
      <c r="Q4" s="3232"/>
      <c r="R4" s="3235" t="s">
        <v>2639</v>
      </c>
      <c r="S4" s="3236"/>
      <c r="T4" s="3235" t="s">
        <v>2640</v>
      </c>
      <c r="U4" s="3236"/>
      <c r="V4" s="3237" t="s">
        <v>2641</v>
      </c>
      <c r="W4" s="3237"/>
      <c r="X4" s="2676"/>
      <c r="Y4" s="3235" t="s">
        <v>2643</v>
      </c>
      <c r="Z4" s="3236"/>
      <c r="AA4" s="3239" t="s">
        <v>2639</v>
      </c>
      <c r="AB4" s="3239" t="s">
        <v>2640</v>
      </c>
      <c r="AC4" s="3228" t="s">
        <v>2641</v>
      </c>
    </row>
    <row r="5" spans="1:29" ht="15">
      <c r="A5" s="404"/>
      <c r="B5" s="405"/>
      <c r="C5" s="3181" t="s">
        <v>2534</v>
      </c>
      <c r="D5" s="3182"/>
      <c r="E5" s="3188" t="s">
        <v>2535</v>
      </c>
      <c r="F5" s="3189"/>
      <c r="G5" s="3181" t="s">
        <v>2536</v>
      </c>
      <c r="H5" s="3182"/>
      <c r="I5" s="3181" t="s">
        <v>2537</v>
      </c>
      <c r="J5" s="3182"/>
      <c r="K5" s="610"/>
      <c r="L5" s="1133"/>
      <c r="M5" s="1134"/>
      <c r="N5" s="1134"/>
      <c r="O5" s="1134"/>
      <c r="P5" s="3233"/>
      <c r="Q5" s="3170"/>
      <c r="R5" s="3175"/>
      <c r="S5" s="3176"/>
      <c r="T5" s="3175"/>
      <c r="U5" s="3176"/>
      <c r="V5" s="3160"/>
      <c r="W5" s="3160"/>
      <c r="X5" s="1815"/>
      <c r="Y5" s="3175"/>
      <c r="Z5" s="3176"/>
      <c r="AA5" s="3162"/>
      <c r="AB5" s="3162"/>
      <c r="AC5" s="3229"/>
    </row>
    <row r="6" spans="1:29" ht="15.75" thickBot="1">
      <c r="A6" s="406"/>
      <c r="B6" s="407"/>
      <c r="C6" s="3179" t="s">
        <v>2538</v>
      </c>
      <c r="D6" s="3180"/>
      <c r="E6" s="3186" t="s">
        <v>2538</v>
      </c>
      <c r="F6" s="3187"/>
      <c r="G6" s="3179" t="s">
        <v>2538</v>
      </c>
      <c r="H6" s="3180"/>
      <c r="I6" s="3179" t="s">
        <v>2538</v>
      </c>
      <c r="J6" s="3180"/>
      <c r="K6" s="610" t="s">
        <v>2539</v>
      </c>
      <c r="L6" s="1133"/>
      <c r="M6" s="1134"/>
      <c r="N6" s="1134"/>
      <c r="O6" s="1134"/>
      <c r="P6" s="3234"/>
      <c r="Q6" s="3172"/>
      <c r="R6" s="3175"/>
      <c r="S6" s="3176"/>
      <c r="T6" s="3177"/>
      <c r="U6" s="3178"/>
      <c r="V6" s="3160"/>
      <c r="W6" s="3160"/>
      <c r="X6" s="1815"/>
      <c r="Y6" s="3177"/>
      <c r="Z6" s="3178"/>
      <c r="AA6" s="3163"/>
      <c r="AB6" s="3163"/>
      <c r="AC6" s="3230"/>
    </row>
    <row r="7" spans="1:29" s="117" customFormat="1" ht="15.75" thickBot="1">
      <c r="A7" s="408" t="s">
        <v>2540</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2541</v>
      </c>
      <c r="Q7" s="3185"/>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267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2544</v>
      </c>
      <c r="Q8" s="3184"/>
      <c r="R8" s="770" t="s">
        <v>17</v>
      </c>
      <c r="S8" s="771">
        <f t="shared" si="0"/>
        <v>0</v>
      </c>
      <c r="T8" s="770" t="s">
        <v>17</v>
      </c>
      <c r="U8" s="771">
        <f t="shared" si="1"/>
        <v>0</v>
      </c>
      <c r="V8" s="770" t="s">
        <v>17</v>
      </c>
      <c r="W8" s="771">
        <f t="shared" si="2"/>
        <v>0</v>
      </c>
      <c r="X8" s="772"/>
      <c r="Y8" s="3183" t="s">
        <v>2544</v>
      </c>
      <c r="Z8" s="3184"/>
      <c r="AA8" s="773" t="e">
        <f t="shared" ref="AA8:AA47" si="3">D8/F8</f>
        <v>#DIV/0!</v>
      </c>
      <c r="AB8" s="773" t="e">
        <f t="shared" ref="AB8:AB47" si="4">D8/H8</f>
        <v>#DIV/0!</v>
      </c>
      <c r="AC8" s="267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3"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267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3"/>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3"/>
      <c r="Q11" s="1797"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53"/>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53"/>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53"/>
      <c r="Q14" s="1797">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7">
        <f t="shared" si="5"/>
        <v>1</v>
      </c>
    </row>
    <row r="15" spans="1:29" ht="15">
      <c r="A15" s="440" t="s">
        <v>2551</v>
      </c>
      <c r="B15" s="629" t="s">
        <v>2679</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3" t="s">
        <v>2552</v>
      </c>
      <c r="Q15" s="1812" t="str">
        <f t="shared" si="6"/>
        <v>办公集聚程度</v>
      </c>
      <c r="R15" s="774" t="s">
        <v>17</v>
      </c>
      <c r="S15" s="775">
        <f t="shared" si="0"/>
        <v>100</v>
      </c>
      <c r="T15" s="774" t="s">
        <v>17</v>
      </c>
      <c r="U15" s="775">
        <f t="shared" si="1"/>
        <v>100</v>
      </c>
      <c r="V15" s="774" t="s">
        <v>17</v>
      </c>
      <c r="W15" s="775">
        <f t="shared" si="2"/>
        <v>100</v>
      </c>
      <c r="X15" s="1815"/>
      <c r="Y15" s="3156" t="s">
        <v>2552</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4"/>
      <c r="Q16" s="1812"/>
      <c r="R16" s="774"/>
      <c r="S16" s="775"/>
      <c r="T16" s="774"/>
      <c r="U16" s="775"/>
      <c r="V16" s="774"/>
      <c r="W16" s="775"/>
      <c r="X16" s="1815"/>
      <c r="Y16" s="3157"/>
      <c r="Z16" s="1816"/>
      <c r="AA16" s="1813">
        <v>1</v>
      </c>
      <c r="AB16" s="1813">
        <v>1</v>
      </c>
      <c r="AC16" s="2680">
        <v>1</v>
      </c>
    </row>
    <row r="17" spans="1:29" ht="15">
      <c r="A17" s="428"/>
      <c r="B17" s="631" t="s">
        <v>2091</v>
      </c>
      <c r="C17" s="268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57"/>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4"/>
      <c r="Q18" s="1812"/>
      <c r="R18" s="774"/>
      <c r="S18" s="775"/>
      <c r="T18" s="774"/>
      <c r="U18" s="775"/>
      <c r="V18" s="774"/>
      <c r="W18" s="775"/>
      <c r="X18" s="1815"/>
      <c r="Y18" s="3157"/>
      <c r="Z18" s="1816"/>
      <c r="AA18" s="1813">
        <v>1</v>
      </c>
      <c r="AB18" s="1813">
        <v>1</v>
      </c>
      <c r="AC18" s="2680">
        <v>1</v>
      </c>
    </row>
    <row r="19" spans="1:29" ht="15">
      <c r="A19" s="428"/>
      <c r="B19" s="631" t="s">
        <v>2680</v>
      </c>
      <c r="C19" s="268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57"/>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4"/>
      <c r="Q20" s="1812"/>
      <c r="R20" s="774"/>
      <c r="S20" s="775"/>
      <c r="T20" s="774"/>
      <c r="U20" s="775"/>
      <c r="V20" s="774"/>
      <c r="W20" s="775"/>
      <c r="X20" s="1815"/>
      <c r="Y20" s="3157"/>
      <c r="Z20" s="1816"/>
      <c r="AA20" s="1813">
        <v>1</v>
      </c>
      <c r="AB20" s="1813">
        <v>1</v>
      </c>
      <c r="AC20" s="2680">
        <v>1</v>
      </c>
    </row>
    <row r="21" spans="1:29" ht="15">
      <c r="A21" s="428"/>
      <c r="B21" s="633" t="s">
        <v>2681</v>
      </c>
      <c r="C21" s="268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7"/>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4"/>
      <c r="Q22" s="1812"/>
      <c r="R22" s="774"/>
      <c r="S22" s="775"/>
      <c r="T22" s="774"/>
      <c r="U22" s="775"/>
      <c r="V22" s="774"/>
      <c r="W22" s="775"/>
      <c r="X22" s="1815"/>
      <c r="Y22" s="3157"/>
      <c r="Z22" s="1816"/>
      <c r="AA22" s="1813">
        <v>1</v>
      </c>
      <c r="AB22" s="1813">
        <v>1</v>
      </c>
      <c r="AC22" s="2680">
        <v>1</v>
      </c>
    </row>
    <row r="23" spans="1:29" ht="15">
      <c r="A23" s="428"/>
      <c r="B23" s="631" t="s">
        <v>2682</v>
      </c>
      <c r="C23" s="268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4"/>
      <c r="Q23" s="1812" t="str">
        <f>B23</f>
        <v>环境质量</v>
      </c>
      <c r="R23" s="774" t="s">
        <v>17</v>
      </c>
      <c r="S23" s="775">
        <f>F23</f>
        <v>100</v>
      </c>
      <c r="T23" s="774" t="s">
        <v>17</v>
      </c>
      <c r="U23" s="775">
        <f>H23</f>
        <v>100</v>
      </c>
      <c r="V23" s="774" t="s">
        <v>17</v>
      </c>
      <c r="W23" s="775">
        <f>J23</f>
        <v>100</v>
      </c>
      <c r="X23" s="1815"/>
      <c r="Y23" s="3157"/>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4"/>
      <c r="Q24" s="1812"/>
      <c r="R24" s="774"/>
      <c r="S24" s="775"/>
      <c r="T24" s="774"/>
      <c r="U24" s="775"/>
      <c r="V24" s="774"/>
      <c r="W24" s="775"/>
      <c r="X24" s="1815"/>
      <c r="Y24" s="3157"/>
      <c r="Z24" s="1816"/>
      <c r="AA24" s="1813">
        <v>1</v>
      </c>
      <c r="AB24" s="1813">
        <v>1</v>
      </c>
      <c r="AC24" s="2680">
        <v>1</v>
      </c>
    </row>
    <row r="25" spans="1:29" ht="27">
      <c r="A25" s="404"/>
      <c r="B25" s="631" t="s">
        <v>2683</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4"/>
      <c r="Q25" s="1812" t="str">
        <f>B25</f>
        <v>毗邻道路的类型与等级</v>
      </c>
      <c r="R25" s="774" t="s">
        <v>17</v>
      </c>
      <c r="S25" s="775">
        <f>F25</f>
        <v>100</v>
      </c>
      <c r="T25" s="774" t="s">
        <v>17</v>
      </c>
      <c r="U25" s="775">
        <f>H25</f>
        <v>100</v>
      </c>
      <c r="V25" s="774" t="s">
        <v>17</v>
      </c>
      <c r="W25" s="775">
        <f>J25</f>
        <v>100</v>
      </c>
      <c r="X25" s="1815"/>
      <c r="Y25" s="3157"/>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4"/>
      <c r="Q26" s="1812"/>
      <c r="R26" s="774"/>
      <c r="S26" s="775"/>
      <c r="T26" s="774"/>
      <c r="U26" s="775"/>
      <c r="V26" s="774"/>
      <c r="W26" s="775"/>
      <c r="X26" s="1815"/>
      <c r="Y26" s="3157"/>
      <c r="Z26" s="1816"/>
      <c r="AA26" s="1813">
        <v>1</v>
      </c>
      <c r="AB26" s="1813">
        <v>1</v>
      </c>
      <c r="AC26" s="268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2" t="str">
        <f t="shared" ref="Q27:Q47" si="11">B27</f>
        <v>楼层</v>
      </c>
      <c r="R27" s="774" t="s">
        <v>17</v>
      </c>
      <c r="S27" s="775">
        <f>F27</f>
        <v>100</v>
      </c>
      <c r="T27" s="774" t="s">
        <v>17</v>
      </c>
      <c r="U27" s="775">
        <f>H27</f>
        <v>100</v>
      </c>
      <c r="V27" s="774" t="s">
        <v>17</v>
      </c>
      <c r="W27" s="775">
        <f>J27</f>
        <v>100</v>
      </c>
      <c r="X27" s="1815"/>
      <c r="Y27" s="3157"/>
      <c r="Z27" s="1816" t="str">
        <f>Q27</f>
        <v>楼层</v>
      </c>
      <c r="AA27" s="1813">
        <f t="shared" si="3"/>
        <v>1</v>
      </c>
      <c r="AB27" s="1813">
        <f t="shared" si="4"/>
        <v>1</v>
      </c>
      <c r="AC27" s="2680">
        <f t="shared" si="5"/>
        <v>1</v>
      </c>
    </row>
    <row r="28" spans="1:29" s="117" customFormat="1" ht="15">
      <c r="A28" s="431"/>
      <c r="B28" s="631" t="s">
        <v>2684</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4"/>
      <c r="Q28" s="1797" t="str">
        <f t="shared" si="11"/>
        <v>朝向</v>
      </c>
      <c r="R28" s="770" t="s">
        <v>17</v>
      </c>
      <c r="S28" s="771">
        <f>F28</f>
        <v>100</v>
      </c>
      <c r="T28" s="770" t="s">
        <v>17</v>
      </c>
      <c r="U28" s="771">
        <f>H28</f>
        <v>100</v>
      </c>
      <c r="V28" s="770" t="s">
        <v>17</v>
      </c>
      <c r="W28" s="771">
        <f>J28</f>
        <v>100</v>
      </c>
      <c r="X28" s="772"/>
      <c r="Y28" s="3157"/>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4"/>
      <c r="Q29" s="1812">
        <f t="shared" si="11"/>
        <v>111</v>
      </c>
      <c r="R29" s="774" t="s">
        <v>17</v>
      </c>
      <c r="S29" s="775">
        <f t="shared" ref="S29:S47" si="12">F29</f>
        <v>100</v>
      </c>
      <c r="T29" s="774" t="s">
        <v>17</v>
      </c>
      <c r="U29" s="775">
        <f t="shared" ref="U29:U47" si="13">H29</f>
        <v>100</v>
      </c>
      <c r="V29" s="774" t="s">
        <v>17</v>
      </c>
      <c r="W29" s="775">
        <f t="shared" ref="W29:W47" si="14">J29</f>
        <v>100</v>
      </c>
      <c r="X29" s="1815"/>
      <c r="Y29" s="3157"/>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57"/>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57"/>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4"/>
      <c r="Q32" s="1812">
        <f t="shared" si="11"/>
        <v>111</v>
      </c>
      <c r="R32" s="774" t="s">
        <v>17</v>
      </c>
      <c r="S32" s="775">
        <f t="shared" si="12"/>
        <v>100</v>
      </c>
      <c r="T32" s="774" t="s">
        <v>17</v>
      </c>
      <c r="U32" s="775">
        <f t="shared" si="13"/>
        <v>100</v>
      </c>
      <c r="V32" s="774" t="s">
        <v>17</v>
      </c>
      <c r="W32" s="775">
        <f t="shared" si="14"/>
        <v>100</v>
      </c>
      <c r="X32" s="1815"/>
      <c r="Y32" s="3157"/>
      <c r="Z32" s="1816">
        <f t="shared" si="15"/>
        <v>111</v>
      </c>
      <c r="AA32" s="1813">
        <f t="shared" si="3"/>
        <v>1</v>
      </c>
      <c r="AB32" s="1813">
        <f t="shared" si="4"/>
        <v>1</v>
      </c>
      <c r="AC32" s="2680">
        <f t="shared" si="5"/>
        <v>1</v>
      </c>
    </row>
    <row r="33" spans="1:29" ht="15">
      <c r="A33" s="440" t="s">
        <v>2555</v>
      </c>
      <c r="B33" s="71" t="s">
        <v>2685</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9" t="s">
        <v>2557</v>
      </c>
      <c r="Q33" s="1812" t="str">
        <f t="shared" si="11"/>
        <v>建筑类型</v>
      </c>
      <c r="R33" s="774" t="s">
        <v>17</v>
      </c>
      <c r="S33" s="775">
        <f t="shared" si="12"/>
        <v>100</v>
      </c>
      <c r="T33" s="774" t="s">
        <v>17</v>
      </c>
      <c r="U33" s="775">
        <f t="shared" si="13"/>
        <v>100</v>
      </c>
      <c r="V33" s="774" t="s">
        <v>17</v>
      </c>
      <c r="W33" s="775">
        <f t="shared" si="14"/>
        <v>100</v>
      </c>
      <c r="X33" s="1815"/>
      <c r="Y33" s="3159" t="s">
        <v>2557</v>
      </c>
      <c r="Z33" s="1816" t="str">
        <f t="shared" si="15"/>
        <v>建筑类型</v>
      </c>
      <c r="AA33" s="1813">
        <f t="shared" si="3"/>
        <v>1</v>
      </c>
      <c r="AB33" s="1813">
        <f t="shared" si="4"/>
        <v>1</v>
      </c>
      <c r="AC33" s="268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0"/>
      <c r="Q34" s="776" t="str">
        <f t="shared" si="11"/>
        <v>项目建筑规模</v>
      </c>
      <c r="R34" s="777" t="s">
        <v>17</v>
      </c>
      <c r="S34" s="778" t="e">
        <f t="shared" si="12"/>
        <v>#N/A</v>
      </c>
      <c r="T34" s="777" t="s">
        <v>17</v>
      </c>
      <c r="U34" s="778" t="e">
        <f t="shared" si="13"/>
        <v>#N/A</v>
      </c>
      <c r="V34" s="777" t="s">
        <v>17</v>
      </c>
      <c r="W34" s="778" t="e">
        <f t="shared" si="14"/>
        <v>#N/A</v>
      </c>
      <c r="X34" s="779"/>
      <c r="Y34" s="3159"/>
      <c r="Z34" s="780" t="str">
        <f t="shared" si="15"/>
        <v>项目建筑规模</v>
      </c>
      <c r="AA34" s="1813" t="e">
        <f t="shared" si="3"/>
        <v>#N/A</v>
      </c>
      <c r="AB34" s="1813" t="e">
        <f t="shared" si="4"/>
        <v>#N/A</v>
      </c>
      <c r="AC34" s="268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0"/>
      <c r="Q35" s="1812" t="str">
        <f t="shared" si="11"/>
        <v>建筑结构</v>
      </c>
      <c r="R35" s="774" t="s">
        <v>17</v>
      </c>
      <c r="S35" s="775">
        <f t="shared" si="12"/>
        <v>100</v>
      </c>
      <c r="T35" s="774" t="s">
        <v>17</v>
      </c>
      <c r="U35" s="775">
        <f t="shared" si="13"/>
        <v>100</v>
      </c>
      <c r="V35" s="774" t="s">
        <v>17</v>
      </c>
      <c r="W35" s="775">
        <f t="shared" si="14"/>
        <v>100</v>
      </c>
      <c r="X35" s="1815"/>
      <c r="Y35" s="3159"/>
      <c r="Z35" s="1816" t="str">
        <f t="shared" si="15"/>
        <v>建筑结构</v>
      </c>
      <c r="AA35" s="1813">
        <f t="shared" si="3"/>
        <v>1</v>
      </c>
      <c r="AB35" s="1813">
        <f t="shared" si="4"/>
        <v>1</v>
      </c>
      <c r="AC35" s="268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0"/>
      <c r="Q36" s="1812" t="str">
        <f t="shared" si="11"/>
        <v>公共部分装修</v>
      </c>
      <c r="R36" s="774" t="s">
        <v>17</v>
      </c>
      <c r="S36" s="775">
        <f t="shared" si="12"/>
        <v>100</v>
      </c>
      <c r="T36" s="774" t="s">
        <v>17</v>
      </c>
      <c r="U36" s="775">
        <f t="shared" si="13"/>
        <v>100</v>
      </c>
      <c r="V36" s="774" t="s">
        <v>17</v>
      </c>
      <c r="W36" s="775">
        <f t="shared" si="14"/>
        <v>100</v>
      </c>
      <c r="X36" s="1815"/>
      <c r="Y36" s="3159"/>
      <c r="Z36" s="1816" t="str">
        <f t="shared" si="15"/>
        <v>公共部分装修</v>
      </c>
      <c r="AA36" s="1813">
        <f t="shared" si="3"/>
        <v>1</v>
      </c>
      <c r="AB36" s="1813">
        <f t="shared" si="4"/>
        <v>1</v>
      </c>
      <c r="AC36" s="268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0"/>
      <c r="Q37" s="1812" t="str">
        <f t="shared" si="11"/>
        <v>成新度</v>
      </c>
      <c r="R37" s="774" t="s">
        <v>17</v>
      </c>
      <c r="S37" s="775" t="e">
        <f t="shared" si="12"/>
        <v>#N/A</v>
      </c>
      <c r="T37" s="774" t="s">
        <v>17</v>
      </c>
      <c r="U37" s="775" t="e">
        <f t="shared" si="13"/>
        <v>#N/A</v>
      </c>
      <c r="V37" s="774" t="s">
        <v>17</v>
      </c>
      <c r="W37" s="775" t="e">
        <f t="shared" si="14"/>
        <v>#N/A</v>
      </c>
      <c r="X37" s="1815"/>
      <c r="Y37" s="3159"/>
      <c r="Z37" s="1816" t="str">
        <f t="shared" si="15"/>
        <v>成新度</v>
      </c>
      <c r="AA37" s="1813" t="e">
        <f t="shared" si="3"/>
        <v>#N/A</v>
      </c>
      <c r="AB37" s="1813" t="e">
        <f t="shared" si="4"/>
        <v>#N/A</v>
      </c>
      <c r="AC37" s="268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0"/>
      <c r="Q38" s="1797" t="str">
        <f t="shared" si="11"/>
        <v>写字楼等级</v>
      </c>
      <c r="R38" s="770" t="s">
        <v>17</v>
      </c>
      <c r="S38" s="771">
        <f t="shared" si="12"/>
        <v>100</v>
      </c>
      <c r="T38" s="770" t="s">
        <v>17</v>
      </c>
      <c r="U38" s="771">
        <f t="shared" si="13"/>
        <v>100</v>
      </c>
      <c r="V38" s="770" t="s">
        <v>17</v>
      </c>
      <c r="W38" s="771">
        <f t="shared" si="14"/>
        <v>100</v>
      </c>
      <c r="X38" s="772"/>
      <c r="Y38" s="3159"/>
      <c r="Z38" s="55" t="str">
        <f t="shared" si="15"/>
        <v>写字楼等级</v>
      </c>
      <c r="AA38" s="773">
        <f t="shared" si="3"/>
        <v>1</v>
      </c>
      <c r="AB38" s="773">
        <f t="shared" si="4"/>
        <v>1</v>
      </c>
      <c r="AC38" s="267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0" t="s">
        <v>2557</v>
      </c>
      <c r="Q39" s="1812" t="str">
        <f t="shared" si="11"/>
        <v>物业管理</v>
      </c>
      <c r="R39" s="774" t="s">
        <v>17</v>
      </c>
      <c r="S39" s="775">
        <f t="shared" si="12"/>
        <v>100</v>
      </c>
      <c r="T39" s="774" t="s">
        <v>17</v>
      </c>
      <c r="U39" s="775">
        <f t="shared" si="13"/>
        <v>100</v>
      </c>
      <c r="V39" s="774" t="s">
        <v>17</v>
      </c>
      <c r="W39" s="775">
        <f t="shared" si="14"/>
        <v>100</v>
      </c>
      <c r="X39" s="1815"/>
      <c r="Y39" s="3159" t="s">
        <v>2557</v>
      </c>
      <c r="Z39" s="1816" t="str">
        <f t="shared" si="15"/>
        <v>物业管理</v>
      </c>
      <c r="AA39" s="1813">
        <f t="shared" si="3"/>
        <v>1</v>
      </c>
      <c r="AB39" s="1813">
        <f t="shared" si="4"/>
        <v>1</v>
      </c>
      <c r="AC39" s="268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0"/>
      <c r="Q40" s="1812" t="str">
        <f t="shared" si="11"/>
        <v>市政基础设施</v>
      </c>
      <c r="R40" s="774" t="s">
        <v>17</v>
      </c>
      <c r="S40" s="775">
        <f t="shared" si="12"/>
        <v>100</v>
      </c>
      <c r="T40" s="774" t="s">
        <v>17</v>
      </c>
      <c r="U40" s="775">
        <f t="shared" si="13"/>
        <v>100</v>
      </c>
      <c r="V40" s="774" t="s">
        <v>17</v>
      </c>
      <c r="W40" s="775">
        <f t="shared" si="14"/>
        <v>100</v>
      </c>
      <c r="X40" s="1815"/>
      <c r="Y40" s="3159"/>
      <c r="Z40" s="1816" t="str">
        <f t="shared" si="15"/>
        <v>市政基础设施</v>
      </c>
      <c r="AA40" s="1813">
        <f t="shared" si="3"/>
        <v>1</v>
      </c>
      <c r="AB40" s="1813">
        <f t="shared" si="4"/>
        <v>1</v>
      </c>
      <c r="AC40" s="268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0"/>
      <c r="Q41" s="1812" t="str">
        <f t="shared" si="11"/>
        <v>层高</v>
      </c>
      <c r="R41" s="774" t="s">
        <v>17</v>
      </c>
      <c r="S41" s="775">
        <f t="shared" si="12"/>
        <v>100</v>
      </c>
      <c r="T41" s="774" t="s">
        <v>17</v>
      </c>
      <c r="U41" s="775">
        <f t="shared" si="13"/>
        <v>100</v>
      </c>
      <c r="V41" s="774" t="s">
        <v>17</v>
      </c>
      <c r="W41" s="775">
        <f t="shared" si="14"/>
        <v>100</v>
      </c>
      <c r="X41" s="1815"/>
      <c r="Y41" s="3159"/>
      <c r="Z41" s="1816" t="str">
        <f t="shared" si="15"/>
        <v>层高</v>
      </c>
      <c r="AA41" s="1813">
        <f t="shared" si="3"/>
        <v>1</v>
      </c>
      <c r="AB41" s="1813">
        <f t="shared" si="4"/>
        <v>1</v>
      </c>
      <c r="AC41" s="2680">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159"/>
      <c r="Z42" s="780" t="str">
        <f t="shared" si="15"/>
        <v>单套建筑面积</v>
      </c>
      <c r="AA42" s="1813">
        <f t="shared" si="3"/>
        <v>1</v>
      </c>
      <c r="AB42" s="1813">
        <f t="shared" si="4"/>
        <v>1</v>
      </c>
      <c r="AC42" s="268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0"/>
      <c r="Q43" s="1812" t="str">
        <f t="shared" si="11"/>
        <v>内部装修</v>
      </c>
      <c r="R43" s="774" t="s">
        <v>17</v>
      </c>
      <c r="S43" s="775">
        <f t="shared" si="12"/>
        <v>100</v>
      </c>
      <c r="T43" s="774" t="s">
        <v>17</v>
      </c>
      <c r="U43" s="775">
        <f t="shared" si="13"/>
        <v>100</v>
      </c>
      <c r="V43" s="774" t="s">
        <v>17</v>
      </c>
      <c r="W43" s="775">
        <f t="shared" si="14"/>
        <v>100</v>
      </c>
      <c r="X43" s="1815"/>
      <c r="Y43" s="3159"/>
      <c r="Z43" s="1816" t="str">
        <f t="shared" si="15"/>
        <v>内部装修</v>
      </c>
      <c r="AA43" s="1813">
        <f t="shared" si="3"/>
        <v>1</v>
      </c>
      <c r="AB43" s="1813">
        <f t="shared" si="4"/>
        <v>1</v>
      </c>
      <c r="AC43" s="2680">
        <f t="shared" si="5"/>
        <v>1</v>
      </c>
    </row>
    <row r="44" spans="1:29" ht="15">
      <c r="A44" s="472"/>
      <c r="B44" s="422" t="s">
        <v>2568</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0"/>
      <c r="Q44" s="1812" t="str">
        <f t="shared" si="11"/>
        <v>内部装修维护情况</v>
      </c>
      <c r="R44" s="774" t="s">
        <v>17</v>
      </c>
      <c r="S44" s="775">
        <f t="shared" si="12"/>
        <v>100</v>
      </c>
      <c r="T44" s="774" t="s">
        <v>17</v>
      </c>
      <c r="U44" s="775">
        <f t="shared" si="13"/>
        <v>100</v>
      </c>
      <c r="V44" s="774" t="s">
        <v>17</v>
      </c>
      <c r="W44" s="775">
        <f t="shared" si="14"/>
        <v>100</v>
      </c>
      <c r="X44" s="1815"/>
      <c r="Y44" s="3159"/>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7">
        <f t="shared" si="11"/>
        <v>111</v>
      </c>
      <c r="R45" s="770" t="s">
        <v>17</v>
      </c>
      <c r="S45" s="771">
        <f t="shared" si="12"/>
        <v>100</v>
      </c>
      <c r="T45" s="770" t="s">
        <v>17</v>
      </c>
      <c r="U45" s="771">
        <f t="shared" si="13"/>
        <v>100</v>
      </c>
      <c r="V45" s="770" t="s">
        <v>17</v>
      </c>
      <c r="W45" s="771">
        <f t="shared" si="14"/>
        <v>100</v>
      </c>
      <c r="X45" s="772"/>
      <c r="Y45" s="3159"/>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159"/>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2">
        <f t="shared" si="11"/>
        <v>111</v>
      </c>
      <c r="R47" s="774" t="s">
        <v>17</v>
      </c>
      <c r="S47" s="775">
        <f t="shared" si="12"/>
        <v>100</v>
      </c>
      <c r="T47" s="774" t="s">
        <v>17</v>
      </c>
      <c r="U47" s="775">
        <f t="shared" si="13"/>
        <v>100</v>
      </c>
      <c r="V47" s="774" t="s">
        <v>17</v>
      </c>
      <c r="W47" s="775">
        <f t="shared" si="14"/>
        <v>100</v>
      </c>
      <c r="X47" s="1815"/>
      <c r="Y47" s="3222"/>
      <c r="Z47" s="1816">
        <f t="shared" si="15"/>
        <v>111</v>
      </c>
      <c r="AA47" s="1813">
        <f t="shared" si="3"/>
        <v>1</v>
      </c>
      <c r="AB47" s="1813">
        <f t="shared" si="4"/>
        <v>1</v>
      </c>
      <c r="AC47" s="2680">
        <f t="shared" si="5"/>
        <v>1</v>
      </c>
    </row>
    <row r="48" spans="1:29" ht="15">
      <c r="A48" s="479" t="s">
        <v>2569</v>
      </c>
      <c r="B48" s="480"/>
      <c r="C48" s="1410" t="s">
        <v>1</v>
      </c>
      <c r="D48" s="1411"/>
      <c r="E48" s="1412"/>
      <c r="F48" s="1413"/>
      <c r="G48" s="1414"/>
      <c r="H48" s="1415"/>
      <c r="I48" s="1412"/>
      <c r="J48" s="485"/>
      <c r="K48" s="783"/>
      <c r="L48" s="1146"/>
      <c r="M48" s="1134"/>
      <c r="N48" s="1134"/>
      <c r="O48" s="1134"/>
      <c r="P48" s="3153" t="str">
        <f>A48</f>
        <v>成交单价（元/平方米）</v>
      </c>
      <c r="Q48" s="3154"/>
      <c r="R48" s="3218">
        <f>E48</f>
        <v>0</v>
      </c>
      <c r="S48" s="3218"/>
      <c r="T48" s="3218">
        <f>G48</f>
        <v>0</v>
      </c>
      <c r="U48" s="3218"/>
      <c r="V48" s="3218">
        <f>I48</f>
        <v>0</v>
      </c>
      <c r="W48" s="3218"/>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53" t="str">
        <f>A49</f>
        <v>比较价值（元/平方米）</v>
      </c>
      <c r="Q49" s="3154"/>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7"/>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2577</v>
      </c>
      <c r="B61" s="516"/>
      <c r="C61" s="517"/>
      <c r="D61" s="518"/>
      <c r="E61" s="518"/>
      <c r="F61" s="518"/>
      <c r="G61" s="518"/>
      <c r="H61" s="518"/>
      <c r="I61" s="518"/>
      <c r="J61" s="518"/>
      <c r="K61" s="518"/>
      <c r="L61" s="518"/>
      <c r="M61" s="519"/>
      <c r="N61" s="518"/>
      <c r="O61" s="519"/>
      <c r="P61" s="2688"/>
      <c r="Q61" s="504"/>
    </row>
    <row r="62" spans="1:29" s="117" customFormat="1" ht="15">
      <c r="A62" s="521" t="s">
        <v>2542</v>
      </c>
      <c r="B62" s="510"/>
      <c r="C62" s="522" t="s">
        <v>2644</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2580</v>
      </c>
      <c r="B64" s="528" t="s">
        <v>2546</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2691</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2555</v>
      </c>
      <c r="B101" s="528" t="s">
        <v>2604</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2606</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2608</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2609</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2610</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2693</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2612</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2694</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IF(C2="——",ROUND(C43*D3/10000,0),ROUND(C43*D3/10000,0)-D2)</f>
        <v>#DIV/0!</v>
      </c>
      <c r="C2" s="2592"/>
      <c r="D2" s="1127"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7302.06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2" t="s">
        <v>2640</v>
      </c>
      <c r="AC4" s="3161" t="s">
        <v>2641</v>
      </c>
    </row>
    <row r="5" spans="1:29" ht="15">
      <c r="A5" s="404"/>
      <c r="B5" s="405"/>
      <c r="C5" s="3181" t="s">
        <v>2534</v>
      </c>
      <c r="D5" s="3182"/>
      <c r="E5" s="3188" t="s">
        <v>2535</v>
      </c>
      <c r="F5" s="3189"/>
      <c r="G5" s="3181" t="s">
        <v>2536</v>
      </c>
      <c r="H5" s="3182"/>
      <c r="I5" s="3181" t="s">
        <v>2537</v>
      </c>
      <c r="J5" s="3182"/>
      <c r="K5" s="610"/>
      <c r="L5" s="1133"/>
      <c r="M5" s="1134"/>
      <c r="N5" s="1134"/>
      <c r="O5" s="1134"/>
      <c r="P5" s="3169"/>
      <c r="Q5" s="3170"/>
      <c r="R5" s="3175"/>
      <c r="S5" s="3176"/>
      <c r="T5" s="3175"/>
      <c r="U5" s="3176"/>
      <c r="V5" s="3160"/>
      <c r="W5" s="3160"/>
      <c r="X5" s="1815"/>
      <c r="Y5" s="3175"/>
      <c r="Z5" s="3176"/>
      <c r="AA5" s="3162"/>
      <c r="AB5" s="3162"/>
      <c r="AC5" s="3162"/>
    </row>
    <row r="6" spans="1:29" ht="15.75" thickBot="1">
      <c r="A6" s="406"/>
      <c r="B6" s="407"/>
      <c r="C6" s="3179" t="s">
        <v>2538</v>
      </c>
      <c r="D6" s="3180"/>
      <c r="E6" s="3186" t="s">
        <v>2538</v>
      </c>
      <c r="F6" s="3187"/>
      <c r="G6" s="3179" t="s">
        <v>2538</v>
      </c>
      <c r="H6" s="3180"/>
      <c r="I6" s="3179" t="s">
        <v>2538</v>
      </c>
      <c r="J6" s="3180"/>
      <c r="K6" s="610" t="s">
        <v>2539</v>
      </c>
      <c r="L6" s="1133"/>
      <c r="M6" s="1134"/>
      <c r="N6" s="1134"/>
      <c r="O6" s="1134"/>
      <c r="P6" s="3171"/>
      <c r="Q6" s="3172"/>
      <c r="R6" s="3175"/>
      <c r="S6" s="3176"/>
      <c r="T6" s="3177"/>
      <c r="U6" s="3178"/>
      <c r="V6" s="3160"/>
      <c r="W6" s="3160"/>
      <c r="X6" s="1815"/>
      <c r="Y6" s="3177"/>
      <c r="Z6" s="3178"/>
      <c r="AA6" s="3163"/>
      <c r="AB6" s="3163"/>
      <c r="AC6" s="3163"/>
    </row>
    <row r="7" spans="1:29" s="117" customFormat="1" ht="15.75" thickBot="1">
      <c r="A7" s="408" t="s">
        <v>2540</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3" t="s">
        <v>2541</v>
      </c>
      <c r="Q7" s="3185"/>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7"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4"/>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4"/>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4"/>
      <c r="Q14" s="1797">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2551</v>
      </c>
      <c r="B15" s="69" t="s">
        <v>2695</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2552</v>
      </c>
      <c r="Q15" s="1812" t="str">
        <f t="shared" si="6"/>
        <v>产业集聚程度</v>
      </c>
      <c r="R15" s="774" t="s">
        <v>17</v>
      </c>
      <c r="S15" s="775">
        <f t="shared" si="0"/>
        <v>100</v>
      </c>
      <c r="T15" s="774" t="s">
        <v>17</v>
      </c>
      <c r="U15" s="775">
        <f t="shared" si="1"/>
        <v>100</v>
      </c>
      <c r="V15" s="774" t="s">
        <v>17</v>
      </c>
      <c r="W15" s="775">
        <f t="shared" si="2"/>
        <v>100</v>
      </c>
      <c r="X15" s="1815"/>
      <c r="Y15" s="3156"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57"/>
      <c r="Q16" s="1812"/>
      <c r="R16" s="774"/>
      <c r="S16" s="775"/>
      <c r="T16" s="774"/>
      <c r="U16" s="775"/>
      <c r="V16" s="774"/>
      <c r="W16" s="775"/>
      <c r="X16" s="1815"/>
      <c r="Y16" s="3157"/>
      <c r="Z16" s="1816"/>
      <c r="AA16" s="1813">
        <v>1</v>
      </c>
      <c r="AB16" s="1813">
        <v>1</v>
      </c>
      <c r="AC16" s="1813">
        <v>1</v>
      </c>
    </row>
    <row r="17" spans="1:29" ht="15">
      <c r="A17" s="428"/>
      <c r="B17" s="451" t="s">
        <v>2091</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2" t="str">
        <f>B17</f>
        <v>交通便捷度</v>
      </c>
      <c r="R17" s="774" t="s">
        <v>17</v>
      </c>
      <c r="S17" s="775">
        <f>F17</f>
        <v>100</v>
      </c>
      <c r="T17" s="774" t="s">
        <v>17</v>
      </c>
      <c r="U17" s="775">
        <f>H17</f>
        <v>100</v>
      </c>
      <c r="V17" s="774" t="s">
        <v>17</v>
      </c>
      <c r="W17" s="775">
        <f>J17</f>
        <v>100</v>
      </c>
      <c r="X17" s="1815"/>
      <c r="Y17" s="3157"/>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57"/>
      <c r="Q18" s="1812"/>
      <c r="R18" s="774"/>
      <c r="S18" s="775"/>
      <c r="T18" s="774"/>
      <c r="U18" s="775"/>
      <c r="V18" s="774"/>
      <c r="W18" s="775"/>
      <c r="X18" s="1815"/>
      <c r="Y18" s="3157"/>
      <c r="Z18" s="1816"/>
      <c r="AA18" s="1813">
        <v>1</v>
      </c>
      <c r="AB18" s="1813">
        <v>1</v>
      </c>
      <c r="AC18" s="1813">
        <v>1</v>
      </c>
    </row>
    <row r="19" spans="1:29" ht="15">
      <c r="A19" s="428"/>
      <c r="B19" s="451" t="s">
        <v>2680</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2" t="str">
        <f>B19</f>
        <v>公共配套设施</v>
      </c>
      <c r="R19" s="774" t="s">
        <v>17</v>
      </c>
      <c r="S19" s="775">
        <f>F19</f>
        <v>100</v>
      </c>
      <c r="T19" s="774" t="s">
        <v>17</v>
      </c>
      <c r="U19" s="775">
        <f>H19</f>
        <v>100</v>
      </c>
      <c r="V19" s="774" t="s">
        <v>17</v>
      </c>
      <c r="W19" s="775">
        <f>J19</f>
        <v>100</v>
      </c>
      <c r="X19" s="1815"/>
      <c r="Y19" s="3157"/>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57"/>
      <c r="Q20" s="1812"/>
      <c r="R20" s="774"/>
      <c r="S20" s="775"/>
      <c r="T20" s="774"/>
      <c r="U20" s="775"/>
      <c r="V20" s="774"/>
      <c r="W20" s="775"/>
      <c r="X20" s="1815"/>
      <c r="Y20" s="3157"/>
      <c r="Z20" s="1816"/>
      <c r="AA20" s="1813">
        <v>1</v>
      </c>
      <c r="AB20" s="1813">
        <v>1</v>
      </c>
      <c r="AC20" s="1813">
        <v>1</v>
      </c>
    </row>
    <row r="21" spans="1:29" ht="15">
      <c r="A21" s="428"/>
      <c r="B21" s="1387" t="s">
        <v>2681</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2" t="str">
        <f>B21</f>
        <v>基础设施水平</v>
      </c>
      <c r="R21" s="774" t="s">
        <v>17</v>
      </c>
      <c r="S21" s="775">
        <f>F21</f>
        <v>100</v>
      </c>
      <c r="T21" s="774" t="s">
        <v>17</v>
      </c>
      <c r="U21" s="775">
        <f>H21</f>
        <v>100</v>
      </c>
      <c r="V21" s="774" t="s">
        <v>17</v>
      </c>
      <c r="W21" s="775">
        <f>J21</f>
        <v>100</v>
      </c>
      <c r="X21" s="1815"/>
      <c r="Y21" s="3157"/>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57"/>
      <c r="Q22" s="1812"/>
      <c r="R22" s="774"/>
      <c r="S22" s="775"/>
      <c r="T22" s="774"/>
      <c r="U22" s="775"/>
      <c r="V22" s="774"/>
      <c r="W22" s="775"/>
      <c r="X22" s="1815"/>
      <c r="Y22" s="3157"/>
      <c r="Z22" s="1816"/>
      <c r="AA22" s="1813">
        <v>1</v>
      </c>
      <c r="AB22" s="1813">
        <v>1</v>
      </c>
      <c r="AC22" s="1813">
        <v>1</v>
      </c>
    </row>
    <row r="23" spans="1:29" ht="15">
      <c r="A23" s="428"/>
      <c r="B23" s="451" t="s">
        <v>2682</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2" t="str">
        <f>B23</f>
        <v>环境质量</v>
      </c>
      <c r="R23" s="774" t="s">
        <v>17</v>
      </c>
      <c r="S23" s="775">
        <f>F23</f>
        <v>100</v>
      </c>
      <c r="T23" s="774" t="s">
        <v>17</v>
      </c>
      <c r="U23" s="775">
        <f>H23</f>
        <v>100</v>
      </c>
      <c r="V23" s="774" t="s">
        <v>17</v>
      </c>
      <c r="W23" s="775">
        <f>J23</f>
        <v>100</v>
      </c>
      <c r="X23" s="1815"/>
      <c r="Y23" s="3157"/>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57"/>
      <c r="Q24" s="1812"/>
      <c r="R24" s="774"/>
      <c r="S24" s="775"/>
      <c r="T24" s="774"/>
      <c r="U24" s="775"/>
      <c r="V24" s="774"/>
      <c r="W24" s="775"/>
      <c r="X24" s="1815"/>
      <c r="Y24" s="3157"/>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2">
        <f>B25</f>
        <v>111</v>
      </c>
      <c r="R25" s="774" t="s">
        <v>17</v>
      </c>
      <c r="S25" s="775">
        <f>F25</f>
        <v>100</v>
      </c>
      <c r="T25" s="774" t="s">
        <v>17</v>
      </c>
      <c r="U25" s="775">
        <f>H25</f>
        <v>100</v>
      </c>
      <c r="V25" s="774" t="s">
        <v>17</v>
      </c>
      <c r="W25" s="775">
        <f>J25</f>
        <v>100</v>
      </c>
      <c r="X25" s="1815"/>
      <c r="Y25" s="3157"/>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2">
        <f t="shared" ref="Q26:Q40" si="11">B26</f>
        <v>111</v>
      </c>
      <c r="R26" s="774" t="s">
        <v>17</v>
      </c>
      <c r="S26" s="775">
        <f>F26</f>
        <v>100</v>
      </c>
      <c r="T26" s="774" t="s">
        <v>17</v>
      </c>
      <c r="U26" s="775">
        <f>H26</f>
        <v>100</v>
      </c>
      <c r="V26" s="774" t="s">
        <v>17</v>
      </c>
      <c r="W26" s="775">
        <f>J26</f>
        <v>100</v>
      </c>
      <c r="X26" s="1815"/>
      <c r="Y26" s="3157"/>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7">
        <f t="shared" si="11"/>
        <v>111</v>
      </c>
      <c r="R27" s="770" t="s">
        <v>17</v>
      </c>
      <c r="S27" s="771">
        <f>F27</f>
        <v>100</v>
      </c>
      <c r="T27" s="770" t="s">
        <v>17</v>
      </c>
      <c r="U27" s="771">
        <f>H27</f>
        <v>100</v>
      </c>
      <c r="V27" s="770" t="s">
        <v>17</v>
      </c>
      <c r="W27" s="771">
        <f>J27</f>
        <v>100</v>
      </c>
      <c r="X27" s="772"/>
      <c r="Y27" s="3157"/>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2">
        <f t="shared" si="11"/>
        <v>111</v>
      </c>
      <c r="R28" s="774" t="s">
        <v>17</v>
      </c>
      <c r="S28" s="775">
        <f t="shared" ref="S28:S40" si="12">F28</f>
        <v>100</v>
      </c>
      <c r="T28" s="774" t="s">
        <v>17</v>
      </c>
      <c r="U28" s="775">
        <f t="shared" ref="U28:U40" si="13">H28</f>
        <v>100</v>
      </c>
      <c r="V28" s="774" t="s">
        <v>17</v>
      </c>
      <c r="W28" s="775">
        <f t="shared" ref="W28:W40" si="14">J28</f>
        <v>100</v>
      </c>
      <c r="X28" s="1815"/>
      <c r="Y28" s="3157"/>
      <c r="Z28" s="1816">
        <f t="shared" ref="Z28:Z40" si="15">Q28</f>
        <v>111</v>
      </c>
      <c r="AA28" s="1813">
        <f t="shared" si="3"/>
        <v>1</v>
      </c>
      <c r="AB28" s="1813">
        <f t="shared" si="4"/>
        <v>1</v>
      </c>
      <c r="AC28" s="1813">
        <f t="shared" si="5"/>
        <v>1</v>
      </c>
    </row>
    <row r="29" spans="1:29" ht="28.5">
      <c r="A29" s="466" t="s">
        <v>2555</v>
      </c>
      <c r="B29" s="71" t="s">
        <v>2685</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58" t="s">
        <v>2557</v>
      </c>
      <c r="Q29" s="1812" t="str">
        <f t="shared" si="11"/>
        <v>建筑类型</v>
      </c>
      <c r="R29" s="774" t="s">
        <v>17</v>
      </c>
      <c r="S29" s="775">
        <f t="shared" si="12"/>
        <v>100</v>
      </c>
      <c r="T29" s="774" t="s">
        <v>17</v>
      </c>
      <c r="U29" s="775">
        <f t="shared" si="13"/>
        <v>100</v>
      </c>
      <c r="V29" s="774" t="s">
        <v>17</v>
      </c>
      <c r="W29" s="775">
        <f t="shared" si="14"/>
        <v>100</v>
      </c>
      <c r="X29" s="1815"/>
      <c r="Y29" s="3159"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9"/>
      <c r="Q30" s="776" t="str">
        <f t="shared" si="11"/>
        <v>项目建筑规模</v>
      </c>
      <c r="R30" s="777" t="s">
        <v>17</v>
      </c>
      <c r="S30" s="778" t="e">
        <f t="shared" si="12"/>
        <v>#N/A</v>
      </c>
      <c r="T30" s="777" t="s">
        <v>17</v>
      </c>
      <c r="U30" s="778" t="e">
        <f t="shared" si="13"/>
        <v>#N/A</v>
      </c>
      <c r="V30" s="777" t="s">
        <v>17</v>
      </c>
      <c r="W30" s="778" t="e">
        <f t="shared" si="14"/>
        <v>#N/A</v>
      </c>
      <c r="X30" s="779"/>
      <c r="Y30" s="3159"/>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9"/>
      <c r="Q31" s="1812" t="str">
        <f t="shared" si="11"/>
        <v>建筑结构</v>
      </c>
      <c r="R31" s="774" t="s">
        <v>17</v>
      </c>
      <c r="S31" s="775">
        <f t="shared" si="12"/>
        <v>100</v>
      </c>
      <c r="T31" s="774" t="s">
        <v>17</v>
      </c>
      <c r="U31" s="775">
        <f t="shared" si="13"/>
        <v>100</v>
      </c>
      <c r="V31" s="774" t="s">
        <v>17</v>
      </c>
      <c r="W31" s="775">
        <f t="shared" si="14"/>
        <v>100</v>
      </c>
      <c r="X31" s="1815"/>
      <c r="Y31" s="3159"/>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9"/>
      <c r="Q32" s="1812" t="str">
        <f t="shared" si="11"/>
        <v>公共部分装修</v>
      </c>
      <c r="R32" s="774" t="s">
        <v>17</v>
      </c>
      <c r="S32" s="775">
        <f t="shared" si="12"/>
        <v>100</v>
      </c>
      <c r="T32" s="774" t="s">
        <v>17</v>
      </c>
      <c r="U32" s="775">
        <f t="shared" si="13"/>
        <v>100</v>
      </c>
      <c r="V32" s="774" t="s">
        <v>17</v>
      </c>
      <c r="W32" s="775">
        <f t="shared" si="14"/>
        <v>100</v>
      </c>
      <c r="X32" s="1815"/>
      <c r="Y32" s="3159"/>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9"/>
      <c r="Q33" s="1812" t="str">
        <f t="shared" si="11"/>
        <v>成新度</v>
      </c>
      <c r="R33" s="774" t="s">
        <v>17</v>
      </c>
      <c r="S33" s="775" t="e">
        <f t="shared" si="12"/>
        <v>#N/A</v>
      </c>
      <c r="T33" s="774" t="s">
        <v>17</v>
      </c>
      <c r="U33" s="775" t="e">
        <f t="shared" si="13"/>
        <v>#N/A</v>
      </c>
      <c r="V33" s="774" t="s">
        <v>17</v>
      </c>
      <c r="W33" s="775" t="e">
        <f t="shared" si="14"/>
        <v>#N/A</v>
      </c>
      <c r="X33" s="1815"/>
      <c r="Y33" s="3159"/>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9"/>
      <c r="Q34" s="1797" t="str">
        <f t="shared" si="11"/>
        <v>物业管理</v>
      </c>
      <c r="R34" s="770" t="s">
        <v>17</v>
      </c>
      <c r="S34" s="771">
        <f t="shared" si="12"/>
        <v>100</v>
      </c>
      <c r="T34" s="770" t="s">
        <v>17</v>
      </c>
      <c r="U34" s="771">
        <f t="shared" si="13"/>
        <v>100</v>
      </c>
      <c r="V34" s="770" t="s">
        <v>17</v>
      </c>
      <c r="W34" s="771">
        <f t="shared" si="14"/>
        <v>100</v>
      </c>
      <c r="X34" s="772"/>
      <c r="Y34" s="3159"/>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9" t="s">
        <v>2557</v>
      </c>
      <c r="Q35" s="1812" t="str">
        <f t="shared" si="11"/>
        <v>市政基础设施</v>
      </c>
      <c r="R35" s="774" t="s">
        <v>17</v>
      </c>
      <c r="S35" s="775">
        <f t="shared" si="12"/>
        <v>100</v>
      </c>
      <c r="T35" s="774" t="s">
        <v>17</v>
      </c>
      <c r="U35" s="775">
        <f t="shared" si="13"/>
        <v>100</v>
      </c>
      <c r="V35" s="774" t="s">
        <v>17</v>
      </c>
      <c r="W35" s="775">
        <f t="shared" si="14"/>
        <v>100</v>
      </c>
      <c r="X35" s="1815"/>
      <c r="Y35" s="3159"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9"/>
      <c r="Q36" s="1812" t="str">
        <f t="shared" si="11"/>
        <v>内部装修</v>
      </c>
      <c r="R36" s="774" t="s">
        <v>17</v>
      </c>
      <c r="S36" s="775">
        <f t="shared" si="12"/>
        <v>100</v>
      </c>
      <c r="T36" s="774" t="s">
        <v>17</v>
      </c>
      <c r="U36" s="775">
        <f t="shared" si="13"/>
        <v>100</v>
      </c>
      <c r="V36" s="774" t="s">
        <v>17</v>
      </c>
      <c r="W36" s="775">
        <f t="shared" si="14"/>
        <v>100</v>
      </c>
      <c r="X36" s="1815"/>
      <c r="Y36" s="3159"/>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9"/>
      <c r="Q37" s="1812" t="str">
        <f t="shared" si="11"/>
        <v>内部装修状况</v>
      </c>
      <c r="R37" s="774" t="s">
        <v>17</v>
      </c>
      <c r="S37" s="775">
        <f t="shared" si="12"/>
        <v>100</v>
      </c>
      <c r="T37" s="774" t="s">
        <v>17</v>
      </c>
      <c r="U37" s="775">
        <f t="shared" si="13"/>
        <v>100</v>
      </c>
      <c r="V37" s="774" t="s">
        <v>17</v>
      </c>
      <c r="W37" s="775">
        <f t="shared" si="14"/>
        <v>100</v>
      </c>
      <c r="X37" s="1815"/>
      <c r="Y37" s="315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9"/>
      <c r="Q38" s="776">
        <f t="shared" si="11"/>
        <v>111</v>
      </c>
      <c r="R38" s="777" t="s">
        <v>17</v>
      </c>
      <c r="S38" s="778">
        <f t="shared" si="12"/>
        <v>100</v>
      </c>
      <c r="T38" s="777" t="s">
        <v>17</v>
      </c>
      <c r="U38" s="778">
        <f t="shared" si="13"/>
        <v>100</v>
      </c>
      <c r="V38" s="777" t="s">
        <v>17</v>
      </c>
      <c r="W38" s="778">
        <f t="shared" si="14"/>
        <v>100</v>
      </c>
      <c r="X38" s="779"/>
      <c r="Y38" s="315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9"/>
      <c r="Q39" s="1812">
        <f t="shared" si="11"/>
        <v>111</v>
      </c>
      <c r="R39" s="774" t="s">
        <v>17</v>
      </c>
      <c r="S39" s="775">
        <f t="shared" si="12"/>
        <v>100</v>
      </c>
      <c r="T39" s="774" t="s">
        <v>17</v>
      </c>
      <c r="U39" s="775">
        <f t="shared" si="13"/>
        <v>100</v>
      </c>
      <c r="V39" s="774" t="s">
        <v>17</v>
      </c>
      <c r="W39" s="775">
        <f t="shared" si="14"/>
        <v>100</v>
      </c>
      <c r="X39" s="1815"/>
      <c r="Y39" s="3159"/>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2">
        <f t="shared" si="11"/>
        <v>111</v>
      </c>
      <c r="R40" s="774" t="s">
        <v>17</v>
      </c>
      <c r="S40" s="775">
        <f t="shared" si="12"/>
        <v>100</v>
      </c>
      <c r="T40" s="774" t="s">
        <v>17</v>
      </c>
      <c r="U40" s="775">
        <f t="shared" si="13"/>
        <v>100</v>
      </c>
      <c r="V40" s="774" t="s">
        <v>17</v>
      </c>
      <c r="W40" s="775">
        <f t="shared" si="14"/>
        <v>100</v>
      </c>
      <c r="X40" s="1815"/>
      <c r="Y40" s="3222"/>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54" t="str">
        <f>A41</f>
        <v>成交单价（元/平方米）</v>
      </c>
      <c r="Q41" s="3154"/>
      <c r="R41" s="3218">
        <f>E41</f>
        <v>0</v>
      </c>
      <c r="S41" s="3218"/>
      <c r="T41" s="3218">
        <f>G41</f>
        <v>0</v>
      </c>
      <c r="U41" s="3218"/>
      <c r="V41" s="3218">
        <f>I41</f>
        <v>0</v>
      </c>
      <c r="W41" s="3218"/>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48" t="str">
        <f>A43</f>
        <v>估价对象XX用房的比较价值（楼面单价，元/平方米）</v>
      </c>
      <c r="Q43" s="3149"/>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9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2319</v>
      </c>
      <c r="B2" s="1421" t="e">
        <f ca="1">IF(C2="——",IF(B37="元/平方米",ROUND(C39*D3/10000,0),ROUND(F3*C39/10000,0)),IF(B37="元/平方米",ROUND(C39*D3/10000,0),ROUND(F3*C39/10000,0))-D2)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2" t="s">
        <v>2640</v>
      </c>
      <c r="AC4" s="3161" t="s">
        <v>2641</v>
      </c>
    </row>
    <row r="5" spans="1:29" ht="15">
      <c r="A5" s="404"/>
      <c r="B5" s="405"/>
      <c r="C5" s="3181" t="s">
        <v>2534</v>
      </c>
      <c r="D5" s="3182"/>
      <c r="E5" s="3188" t="s">
        <v>2535</v>
      </c>
      <c r="F5" s="3189"/>
      <c r="G5" s="3181" t="s">
        <v>2536</v>
      </c>
      <c r="H5" s="3182"/>
      <c r="I5" s="3181" t="s">
        <v>2537</v>
      </c>
      <c r="J5" s="3182"/>
      <c r="K5" s="610"/>
      <c r="L5" s="1133"/>
      <c r="M5" s="1134"/>
      <c r="N5" s="1134"/>
      <c r="O5" s="1134"/>
      <c r="P5" s="3169"/>
      <c r="Q5" s="3170"/>
      <c r="R5" s="3175"/>
      <c r="S5" s="3176"/>
      <c r="T5" s="3175"/>
      <c r="U5" s="3176"/>
      <c r="V5" s="3160"/>
      <c r="W5" s="3160"/>
      <c r="X5" s="1815"/>
      <c r="Y5" s="3175"/>
      <c r="Z5" s="3176"/>
      <c r="AA5" s="3162"/>
      <c r="AB5" s="3162"/>
      <c r="AC5" s="3162"/>
    </row>
    <row r="6" spans="1:29" ht="15.75" thickBot="1">
      <c r="A6" s="406"/>
      <c r="B6" s="407"/>
      <c r="C6" s="3179" t="s">
        <v>2538</v>
      </c>
      <c r="D6" s="3180"/>
      <c r="E6" s="3186" t="s">
        <v>2538</v>
      </c>
      <c r="F6" s="3187"/>
      <c r="G6" s="3179" t="s">
        <v>2538</v>
      </c>
      <c r="H6" s="3180"/>
      <c r="I6" s="3179" t="s">
        <v>2538</v>
      </c>
      <c r="J6" s="3180"/>
      <c r="K6" s="610" t="s">
        <v>2539</v>
      </c>
      <c r="L6" s="1133"/>
      <c r="M6" s="1134"/>
      <c r="N6" s="1134"/>
      <c r="O6" s="1134"/>
      <c r="P6" s="3171"/>
      <c r="Q6" s="3172"/>
      <c r="R6" s="3175"/>
      <c r="S6" s="3176"/>
      <c r="T6" s="3177"/>
      <c r="U6" s="3178"/>
      <c r="V6" s="3160"/>
      <c r="W6" s="3160"/>
      <c r="X6" s="1815"/>
      <c r="Y6" s="3177"/>
      <c r="Z6" s="3178"/>
      <c r="AA6" s="3163"/>
      <c r="AB6" s="3163"/>
      <c r="AC6" s="3163"/>
    </row>
    <row r="7" spans="1:29" s="117" customFormat="1" ht="15.75" thickBot="1">
      <c r="A7" s="408" t="s">
        <v>2540</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3" t="s">
        <v>2541</v>
      </c>
      <c r="Q7" s="3185"/>
      <c r="R7" s="770" t="s">
        <v>17</v>
      </c>
      <c r="S7" s="771">
        <f t="shared" ref="S7:S14" si="0">F7</f>
        <v>0</v>
      </c>
      <c r="T7" s="770" t="s">
        <v>17</v>
      </c>
      <c r="U7" s="771">
        <f t="shared" ref="U7:U14" si="1">H7</f>
        <v>0</v>
      </c>
      <c r="V7" s="770" t="s">
        <v>17</v>
      </c>
      <c r="W7" s="771">
        <f t="shared" ref="W7:W14"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2547</v>
      </c>
      <c r="Q9" s="1797" t="str">
        <f t="shared" ref="Q9:Q14" si="6">B9</f>
        <v>用途</v>
      </c>
      <c r="R9" s="770" t="s">
        <v>17</v>
      </c>
      <c r="S9" s="771">
        <f t="shared" si="0"/>
        <v>100</v>
      </c>
      <c r="T9" s="770" t="s">
        <v>17</v>
      </c>
      <c r="U9" s="771">
        <f t="shared" si="1"/>
        <v>100</v>
      </c>
      <c r="V9" s="770" t="s">
        <v>17</v>
      </c>
      <c r="W9" s="771">
        <f t="shared" si="2"/>
        <v>100</v>
      </c>
      <c r="X9" s="772"/>
      <c r="Y9" s="3002"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7">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01" t="s">
        <v>2551</v>
      </c>
      <c r="B14" s="629" t="s">
        <v>2701</v>
      </c>
      <c r="C14" s="269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2552</v>
      </c>
      <c r="Q14" s="1812" t="str">
        <f t="shared" si="6"/>
        <v>交通便捷度</v>
      </c>
      <c r="R14" s="774" t="s">
        <v>17</v>
      </c>
      <c r="S14" s="775">
        <f t="shared" si="0"/>
        <v>100</v>
      </c>
      <c r="T14" s="774" t="s">
        <v>17</v>
      </c>
      <c r="U14" s="775">
        <f t="shared" si="1"/>
        <v>100</v>
      </c>
      <c r="V14" s="774" t="s">
        <v>17</v>
      </c>
      <c r="W14" s="775">
        <f t="shared" si="2"/>
        <v>100</v>
      </c>
      <c r="X14" s="1815"/>
      <c r="Y14" s="3156"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57"/>
      <c r="Q15" s="1812"/>
      <c r="R15" s="774"/>
      <c r="S15" s="775"/>
      <c r="T15" s="774"/>
      <c r="U15" s="775"/>
      <c r="V15" s="774"/>
      <c r="W15" s="775"/>
      <c r="X15" s="1815"/>
      <c r="Y15" s="3157"/>
      <c r="Z15" s="1816"/>
      <c r="AA15" s="1813">
        <v>1</v>
      </c>
      <c r="AB15" s="1813">
        <v>1</v>
      </c>
      <c r="AC15" s="1813">
        <v>1</v>
      </c>
    </row>
    <row r="16" spans="1:29" ht="15">
      <c r="A16" s="404"/>
      <c r="B16" s="631" t="s">
        <v>2680</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2" t="str">
        <f>B16</f>
        <v>公共配套设施</v>
      </c>
      <c r="R16" s="774" t="s">
        <v>17</v>
      </c>
      <c r="S16" s="775">
        <f>F16</f>
        <v>100</v>
      </c>
      <c r="T16" s="774" t="s">
        <v>17</v>
      </c>
      <c r="U16" s="775">
        <f>H16</f>
        <v>100</v>
      </c>
      <c r="V16" s="774" t="s">
        <v>17</v>
      </c>
      <c r="W16" s="775">
        <f>J16</f>
        <v>100</v>
      </c>
      <c r="X16" s="1815"/>
      <c r="Y16" s="3157"/>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57"/>
      <c r="Q17" s="1812"/>
      <c r="R17" s="774"/>
      <c r="S17" s="775"/>
      <c r="T17" s="774"/>
      <c r="U17" s="775"/>
      <c r="V17" s="774"/>
      <c r="W17" s="775"/>
      <c r="X17" s="1815"/>
      <c r="Y17" s="3157"/>
      <c r="Z17" s="1816"/>
      <c r="AA17" s="1813">
        <v>1</v>
      </c>
      <c r="AB17" s="1813">
        <v>1</v>
      </c>
      <c r="AC17" s="1813">
        <v>1</v>
      </c>
    </row>
    <row r="18" spans="1:29" ht="15">
      <c r="A18" s="404"/>
      <c r="B18" s="633" t="s">
        <v>2681</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2" t="str">
        <f>B18</f>
        <v>基础设施水平</v>
      </c>
      <c r="R18" s="774" t="s">
        <v>17</v>
      </c>
      <c r="S18" s="775">
        <f>F18</f>
        <v>100</v>
      </c>
      <c r="T18" s="774" t="s">
        <v>17</v>
      </c>
      <c r="U18" s="775">
        <f>H18</f>
        <v>100</v>
      </c>
      <c r="V18" s="774" t="s">
        <v>17</v>
      </c>
      <c r="W18" s="775">
        <f>J18</f>
        <v>100</v>
      </c>
      <c r="X18" s="1815"/>
      <c r="Y18" s="3157"/>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57"/>
      <c r="Q19" s="1812"/>
      <c r="R19" s="774"/>
      <c r="S19" s="775"/>
      <c r="T19" s="774"/>
      <c r="U19" s="775"/>
      <c r="V19" s="774"/>
      <c r="W19" s="775"/>
      <c r="X19" s="1815"/>
      <c r="Y19" s="3157"/>
      <c r="Z19" s="1816"/>
      <c r="AA19" s="1813">
        <v>1</v>
      </c>
      <c r="AB19" s="1813">
        <v>1</v>
      </c>
      <c r="AC19" s="1813">
        <v>1</v>
      </c>
    </row>
    <row r="20" spans="1:29" ht="15">
      <c r="A20" s="404"/>
      <c r="B20" s="631" t="s">
        <v>2702</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2" t="str">
        <f>B20</f>
        <v>自然及人文环境</v>
      </c>
      <c r="R20" s="774" t="s">
        <v>17</v>
      </c>
      <c r="S20" s="775">
        <f>F20</f>
        <v>100</v>
      </c>
      <c r="T20" s="774" t="s">
        <v>17</v>
      </c>
      <c r="U20" s="775">
        <f>H20</f>
        <v>100</v>
      </c>
      <c r="V20" s="774" t="s">
        <v>17</v>
      </c>
      <c r="W20" s="775">
        <f>J20</f>
        <v>100</v>
      </c>
      <c r="X20" s="1815"/>
      <c r="Y20" s="315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57"/>
      <c r="Q21" s="1812"/>
      <c r="R21" s="774"/>
      <c r="S21" s="775"/>
      <c r="T21" s="774"/>
      <c r="U21" s="775"/>
      <c r="V21" s="774"/>
      <c r="W21" s="775"/>
      <c r="X21" s="1815"/>
      <c r="Y21" s="3157"/>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2" t="str">
        <f>B22</f>
        <v>楼层</v>
      </c>
      <c r="R22" s="774" t="s">
        <v>17</v>
      </c>
      <c r="S22" s="775">
        <f>F22</f>
        <v>100</v>
      </c>
      <c r="T22" s="774" t="s">
        <v>17</v>
      </c>
      <c r="U22" s="775">
        <f>H22</f>
        <v>100</v>
      </c>
      <c r="V22" s="774" t="s">
        <v>17</v>
      </c>
      <c r="W22" s="775">
        <f>J22</f>
        <v>100</v>
      </c>
      <c r="X22" s="1815"/>
      <c r="Y22" s="315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2">
        <f>B23</f>
        <v>111</v>
      </c>
      <c r="R23" s="774" t="s">
        <v>17</v>
      </c>
      <c r="S23" s="775">
        <f>F23</f>
        <v>100</v>
      </c>
      <c r="T23" s="774" t="s">
        <v>17</v>
      </c>
      <c r="U23" s="775">
        <f>H23</f>
        <v>100</v>
      </c>
      <c r="V23" s="774" t="s">
        <v>17</v>
      </c>
      <c r="W23" s="775">
        <f>J23</f>
        <v>100</v>
      </c>
      <c r="X23" s="1815"/>
      <c r="Y23" s="315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2">
        <f t="shared" ref="Q24:Q36" si="11">B24</f>
        <v>111</v>
      </c>
      <c r="R24" s="774" t="s">
        <v>17</v>
      </c>
      <c r="S24" s="775">
        <f>F24</f>
        <v>100</v>
      </c>
      <c r="T24" s="774" t="s">
        <v>17</v>
      </c>
      <c r="U24" s="775">
        <f>H24</f>
        <v>100</v>
      </c>
      <c r="V24" s="774" t="s">
        <v>17</v>
      </c>
      <c r="W24" s="775">
        <f>J24</f>
        <v>100</v>
      </c>
      <c r="X24" s="1815"/>
      <c r="Y24" s="315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7">
        <f t="shared" si="11"/>
        <v>111</v>
      </c>
      <c r="R25" s="770" t="s">
        <v>17</v>
      </c>
      <c r="S25" s="771">
        <f>F25</f>
        <v>100</v>
      </c>
      <c r="T25" s="770" t="s">
        <v>17</v>
      </c>
      <c r="U25" s="771">
        <f>H25</f>
        <v>100</v>
      </c>
      <c r="V25" s="770" t="s">
        <v>17</v>
      </c>
      <c r="W25" s="771">
        <f>J25</f>
        <v>100</v>
      </c>
      <c r="X25" s="772"/>
      <c r="Y25" s="3157"/>
      <c r="Z25" s="55">
        <f>Q25</f>
        <v>111</v>
      </c>
      <c r="AA25" s="1813">
        <f>D25/F25</f>
        <v>1</v>
      </c>
      <c r="AB25" s="1813">
        <f>D25/H25</f>
        <v>1</v>
      </c>
      <c r="AC25" s="1813">
        <f>D25/J25</f>
        <v>1</v>
      </c>
    </row>
    <row r="26" spans="1:29" ht="28.5">
      <c r="A26" s="652" t="s">
        <v>2555</v>
      </c>
      <c r="B26" s="70" t="s">
        <v>2704</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8"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59"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9"/>
      <c r="Q27" s="776" t="str">
        <f t="shared" si="11"/>
        <v>项目停车位配比</v>
      </c>
      <c r="R27" s="777" t="s">
        <v>17</v>
      </c>
      <c r="S27" s="778">
        <f t="shared" si="12"/>
        <v>100</v>
      </c>
      <c r="T27" s="777" t="s">
        <v>17</v>
      </c>
      <c r="U27" s="778">
        <f t="shared" si="13"/>
        <v>100</v>
      </c>
      <c r="V27" s="777" t="s">
        <v>17</v>
      </c>
      <c r="W27" s="778">
        <f t="shared" si="14"/>
        <v>100</v>
      </c>
      <c r="X27" s="779"/>
      <c r="Y27" s="3159"/>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9"/>
      <c r="Q28" s="1812" t="str">
        <f t="shared" si="11"/>
        <v>公共部分装修</v>
      </c>
      <c r="R28" s="774" t="s">
        <v>17</v>
      </c>
      <c r="S28" s="775">
        <f t="shared" si="12"/>
        <v>100</v>
      </c>
      <c r="T28" s="774" t="s">
        <v>17</v>
      </c>
      <c r="U28" s="775">
        <f t="shared" si="13"/>
        <v>100</v>
      </c>
      <c r="V28" s="774" t="s">
        <v>17</v>
      </c>
      <c r="W28" s="775">
        <f t="shared" si="14"/>
        <v>100</v>
      </c>
      <c r="X28" s="1815"/>
      <c r="Y28" s="3159"/>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9"/>
      <c r="Q29" s="1812" t="str">
        <f t="shared" si="11"/>
        <v>成新率</v>
      </c>
      <c r="R29" s="774" t="s">
        <v>17</v>
      </c>
      <c r="S29" s="775" t="e">
        <f t="shared" si="12"/>
        <v>#N/A</v>
      </c>
      <c r="T29" s="774" t="s">
        <v>17</v>
      </c>
      <c r="U29" s="775" t="e">
        <f t="shared" si="13"/>
        <v>#N/A</v>
      </c>
      <c r="V29" s="774" t="s">
        <v>17</v>
      </c>
      <c r="W29" s="775" t="e">
        <f t="shared" si="14"/>
        <v>#N/A</v>
      </c>
      <c r="X29" s="1815"/>
      <c r="Y29" s="3159"/>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9"/>
      <c r="Q30" s="1812" t="str">
        <f t="shared" si="11"/>
        <v>物业等级</v>
      </c>
      <c r="R30" s="774" t="s">
        <v>17</v>
      </c>
      <c r="S30" s="775">
        <f t="shared" si="12"/>
        <v>100</v>
      </c>
      <c r="T30" s="774" t="s">
        <v>17</v>
      </c>
      <c r="U30" s="775">
        <f t="shared" si="13"/>
        <v>100</v>
      </c>
      <c r="V30" s="774" t="s">
        <v>17</v>
      </c>
      <c r="W30" s="775">
        <f t="shared" si="14"/>
        <v>100</v>
      </c>
      <c r="X30" s="1815"/>
      <c r="Y30" s="3159"/>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9"/>
      <c r="Q31" s="1797" t="str">
        <f t="shared" si="11"/>
        <v>停车位面积</v>
      </c>
      <c r="R31" s="770" t="s">
        <v>17</v>
      </c>
      <c r="S31" s="771" t="e">
        <f t="shared" si="12"/>
        <v>#N/A</v>
      </c>
      <c r="T31" s="770" t="s">
        <v>17</v>
      </c>
      <c r="U31" s="771" t="e">
        <f t="shared" si="13"/>
        <v>#N/A</v>
      </c>
      <c r="V31" s="770" t="s">
        <v>17</v>
      </c>
      <c r="W31" s="771" t="e">
        <f t="shared" si="14"/>
        <v>#N/A</v>
      </c>
      <c r="X31" s="772"/>
      <c r="Y31" s="3159"/>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9" t="s">
        <v>2557</v>
      </c>
      <c r="Q32" s="1812" t="str">
        <f t="shared" si="11"/>
        <v>车位类型</v>
      </c>
      <c r="R32" s="774" t="s">
        <v>17</v>
      </c>
      <c r="S32" s="775">
        <f t="shared" si="12"/>
        <v>100</v>
      </c>
      <c r="T32" s="774" t="s">
        <v>17</v>
      </c>
      <c r="U32" s="775">
        <f t="shared" si="13"/>
        <v>100</v>
      </c>
      <c r="V32" s="774" t="s">
        <v>17</v>
      </c>
      <c r="W32" s="775">
        <f t="shared" si="14"/>
        <v>100</v>
      </c>
      <c r="X32" s="1815"/>
      <c r="Y32" s="3159"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9"/>
      <c r="Q33" s="1812" t="str">
        <f t="shared" si="11"/>
        <v>是否直接入户</v>
      </c>
      <c r="R33" s="774" t="s">
        <v>17</v>
      </c>
      <c r="S33" s="775">
        <f t="shared" si="12"/>
        <v>100</v>
      </c>
      <c r="T33" s="774" t="s">
        <v>17</v>
      </c>
      <c r="U33" s="775">
        <f t="shared" si="13"/>
        <v>100</v>
      </c>
      <c r="V33" s="774" t="s">
        <v>17</v>
      </c>
      <c r="W33" s="775">
        <f t="shared" si="14"/>
        <v>100</v>
      </c>
      <c r="X33" s="1815"/>
      <c r="Y33" s="315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9"/>
      <c r="Q34" s="1812">
        <f t="shared" si="11"/>
        <v>111</v>
      </c>
      <c r="R34" s="774" t="s">
        <v>17</v>
      </c>
      <c r="S34" s="775">
        <f t="shared" si="12"/>
        <v>100</v>
      </c>
      <c r="T34" s="774" t="s">
        <v>17</v>
      </c>
      <c r="U34" s="775">
        <f t="shared" si="13"/>
        <v>100</v>
      </c>
      <c r="V34" s="774" t="s">
        <v>17</v>
      </c>
      <c r="W34" s="775">
        <f t="shared" si="14"/>
        <v>100</v>
      </c>
      <c r="X34" s="1815"/>
      <c r="Y34" s="315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9"/>
      <c r="Q35" s="776">
        <f t="shared" si="11"/>
        <v>111</v>
      </c>
      <c r="R35" s="777" t="s">
        <v>17</v>
      </c>
      <c r="S35" s="778">
        <f t="shared" si="12"/>
        <v>100</v>
      </c>
      <c r="T35" s="777" t="s">
        <v>17</v>
      </c>
      <c r="U35" s="778">
        <f t="shared" si="13"/>
        <v>100</v>
      </c>
      <c r="V35" s="777" t="s">
        <v>17</v>
      </c>
      <c r="W35" s="778">
        <f t="shared" si="14"/>
        <v>100</v>
      </c>
      <c r="X35" s="779"/>
      <c r="Y35" s="315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9"/>
      <c r="Q36" s="1812">
        <f t="shared" si="11"/>
        <v>111</v>
      </c>
      <c r="R36" s="774" t="s">
        <v>17</v>
      </c>
      <c r="S36" s="775">
        <f t="shared" si="12"/>
        <v>100</v>
      </c>
      <c r="T36" s="774" t="s">
        <v>17</v>
      </c>
      <c r="U36" s="775">
        <f t="shared" si="13"/>
        <v>100</v>
      </c>
      <c r="V36" s="774" t="s">
        <v>17</v>
      </c>
      <c r="W36" s="775">
        <f t="shared" si="14"/>
        <v>100</v>
      </c>
      <c r="X36" s="1815"/>
      <c r="Y36" s="3159"/>
      <c r="Z36" s="1816">
        <f t="shared" si="15"/>
        <v>111</v>
      </c>
      <c r="AA36" s="1813">
        <f t="shared" si="3"/>
        <v>1</v>
      </c>
      <c r="AB36" s="1813">
        <f t="shared" si="4"/>
        <v>1</v>
      </c>
      <c r="AC36" s="1813">
        <f t="shared" si="5"/>
        <v>1</v>
      </c>
    </row>
    <row r="37" spans="1:29" ht="15">
      <c r="A37" s="479" t="s">
        <v>2712</v>
      </c>
      <c r="B37" s="2701" t="s">
        <v>2713</v>
      </c>
      <c r="C37" s="1410" t="s">
        <v>1</v>
      </c>
      <c r="D37" s="1411"/>
      <c r="E37" s="1412"/>
      <c r="F37" s="1413"/>
      <c r="G37" s="1414"/>
      <c r="H37" s="1415"/>
      <c r="I37" s="1412"/>
      <c r="J37" s="1415"/>
      <c r="K37" s="619"/>
      <c r="L37" s="1146"/>
      <c r="M37" s="1147"/>
      <c r="N37" s="1134"/>
      <c r="O37" s="1147"/>
      <c r="P37" s="3154" t="str">
        <f>A37</f>
        <v>成交单价</v>
      </c>
      <c r="Q37" s="3154"/>
      <c r="R37" s="3218">
        <f>E37</f>
        <v>0</v>
      </c>
      <c r="S37" s="3218"/>
      <c r="T37" s="3218">
        <f>G37</f>
        <v>0</v>
      </c>
      <c r="U37" s="3218"/>
      <c r="V37" s="3218">
        <f>I37</f>
        <v>0</v>
      </c>
      <c r="W37" s="3218"/>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48" t="str">
        <f>A39</f>
        <v>估价对象XX用房的比较价值（楼面单价，元/平方米）</v>
      </c>
      <c r="Q39" s="3149"/>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IF(C2="——",ROUND(C37*D3/10000,0),ROUND(C37*D3/10000,0)-D2)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2" t="s">
        <v>2640</v>
      </c>
      <c r="AC4" s="3161" t="s">
        <v>2641</v>
      </c>
    </row>
    <row r="5" spans="1:29" ht="15">
      <c r="A5" s="404"/>
      <c r="B5" s="405"/>
      <c r="C5" s="3181" t="s">
        <v>2534</v>
      </c>
      <c r="D5" s="3182"/>
      <c r="E5" s="3188" t="s">
        <v>2535</v>
      </c>
      <c r="F5" s="3189"/>
      <c r="G5" s="3181" t="s">
        <v>2536</v>
      </c>
      <c r="H5" s="3182"/>
      <c r="I5" s="3181" t="s">
        <v>2537</v>
      </c>
      <c r="J5" s="3182"/>
      <c r="K5" s="610"/>
      <c r="L5" s="1133"/>
      <c r="M5" s="1134"/>
      <c r="N5" s="1134"/>
      <c r="O5" s="1134"/>
      <c r="P5" s="3169"/>
      <c r="Q5" s="3170"/>
      <c r="R5" s="3175"/>
      <c r="S5" s="3176"/>
      <c r="T5" s="3175"/>
      <c r="U5" s="3176"/>
      <c r="V5" s="3160"/>
      <c r="W5" s="3160"/>
      <c r="X5" s="1815"/>
      <c r="Y5" s="3175"/>
      <c r="Z5" s="3176"/>
      <c r="AA5" s="3162"/>
      <c r="AB5" s="3162"/>
      <c r="AC5" s="3162"/>
    </row>
    <row r="6" spans="1:29" ht="15.75" thickBot="1">
      <c r="A6" s="406"/>
      <c r="B6" s="407"/>
      <c r="C6" s="3179" t="s">
        <v>2538</v>
      </c>
      <c r="D6" s="3180"/>
      <c r="E6" s="3186" t="s">
        <v>2538</v>
      </c>
      <c r="F6" s="3187"/>
      <c r="G6" s="3179" t="s">
        <v>2538</v>
      </c>
      <c r="H6" s="3180"/>
      <c r="I6" s="3179" t="s">
        <v>2538</v>
      </c>
      <c r="J6" s="3180"/>
      <c r="K6" s="610" t="s">
        <v>2539</v>
      </c>
      <c r="L6" s="1133"/>
      <c r="M6" s="1134"/>
      <c r="N6" s="1134"/>
      <c r="O6" s="1134"/>
      <c r="P6" s="3171"/>
      <c r="Q6" s="3172"/>
      <c r="R6" s="3175"/>
      <c r="S6" s="3176"/>
      <c r="T6" s="3177"/>
      <c r="U6" s="3178"/>
      <c r="V6" s="3160"/>
      <c r="W6" s="3160"/>
      <c r="X6" s="1815"/>
      <c r="Y6" s="3177"/>
      <c r="Z6" s="3178"/>
      <c r="AA6" s="3163"/>
      <c r="AB6" s="3163"/>
      <c r="AC6" s="3163"/>
    </row>
    <row r="7" spans="1:29" s="117" customFormat="1" ht="15.75" thickBot="1">
      <c r="A7" s="408" t="s">
        <v>2540</v>
      </c>
      <c r="B7" s="409"/>
      <c r="C7" s="410">
        <f>'数据-取费表'!B2</f>
        <v>43462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83" t="s">
        <v>2541</v>
      </c>
      <c r="Q7" s="3185"/>
      <c r="R7" s="770" t="s">
        <v>17</v>
      </c>
      <c r="S7" s="771">
        <f t="shared" ref="S7:S14" si="0">F7</f>
        <v>0</v>
      </c>
      <c r="T7" s="770" t="s">
        <v>17</v>
      </c>
      <c r="U7" s="771">
        <f t="shared" ref="U7:U14" si="1">H7</f>
        <v>0</v>
      </c>
      <c r="V7" s="770" t="s">
        <v>17</v>
      </c>
      <c r="W7" s="771">
        <f t="shared" ref="W7:W14"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2547</v>
      </c>
      <c r="Q9" s="1797" t="str">
        <f t="shared" ref="Q9:Q14" si="6">B9</f>
        <v>用途</v>
      </c>
      <c r="R9" s="770" t="s">
        <v>17</v>
      </c>
      <c r="S9" s="771">
        <f t="shared" si="0"/>
        <v>100</v>
      </c>
      <c r="T9" s="770" t="s">
        <v>17</v>
      </c>
      <c r="U9" s="771">
        <f t="shared" si="1"/>
        <v>100</v>
      </c>
      <c r="V9" s="770" t="s">
        <v>17</v>
      </c>
      <c r="W9" s="771">
        <f t="shared" si="2"/>
        <v>100</v>
      </c>
      <c r="X9" s="772"/>
      <c r="Y9" s="3002"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7"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7">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4"/>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40" t="s">
        <v>2551</v>
      </c>
      <c r="B14" s="69" t="s">
        <v>2701</v>
      </c>
      <c r="C14" s="269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2552</v>
      </c>
      <c r="Q14" s="1812" t="str">
        <f t="shared" si="6"/>
        <v>交通便捷度</v>
      </c>
      <c r="R14" s="774" t="s">
        <v>17</v>
      </c>
      <c r="S14" s="775">
        <f t="shared" si="0"/>
        <v>100</v>
      </c>
      <c r="T14" s="774" t="s">
        <v>17</v>
      </c>
      <c r="U14" s="775">
        <f t="shared" si="1"/>
        <v>100</v>
      </c>
      <c r="V14" s="774" t="s">
        <v>17</v>
      </c>
      <c r="W14" s="775">
        <f t="shared" si="2"/>
        <v>100</v>
      </c>
      <c r="X14" s="1815"/>
      <c r="Y14" s="3156"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57"/>
      <c r="Q15" s="1812"/>
      <c r="R15" s="774"/>
      <c r="S15" s="775"/>
      <c r="T15" s="774"/>
      <c r="U15" s="775"/>
      <c r="V15" s="774"/>
      <c r="W15" s="775"/>
      <c r="X15" s="1815"/>
      <c r="Y15" s="3157"/>
      <c r="Z15" s="1816"/>
      <c r="AA15" s="1813">
        <v>1</v>
      </c>
      <c r="AB15" s="1813">
        <v>1</v>
      </c>
      <c r="AC15" s="1813">
        <v>1</v>
      </c>
    </row>
    <row r="16" spans="1:29" ht="15">
      <c r="A16" s="428"/>
      <c r="B16" s="451" t="s">
        <v>2680</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2" t="str">
        <f>B16</f>
        <v>公共配套设施</v>
      </c>
      <c r="R16" s="774" t="s">
        <v>17</v>
      </c>
      <c r="S16" s="775">
        <f>F16</f>
        <v>100</v>
      </c>
      <c r="T16" s="774" t="s">
        <v>17</v>
      </c>
      <c r="U16" s="775">
        <f>H16</f>
        <v>100</v>
      </c>
      <c r="V16" s="774" t="s">
        <v>17</v>
      </c>
      <c r="W16" s="775">
        <f>J16</f>
        <v>100</v>
      </c>
      <c r="X16" s="1815"/>
      <c r="Y16" s="3157"/>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57"/>
      <c r="Q17" s="1812"/>
      <c r="R17" s="774"/>
      <c r="S17" s="775"/>
      <c r="T17" s="774"/>
      <c r="U17" s="775"/>
      <c r="V17" s="774"/>
      <c r="W17" s="775"/>
      <c r="X17" s="1815"/>
      <c r="Y17" s="3157"/>
      <c r="Z17" s="1816"/>
      <c r="AA17" s="1813">
        <v>1</v>
      </c>
      <c r="AB17" s="1813">
        <v>1</v>
      </c>
      <c r="AC17" s="1813">
        <v>1</v>
      </c>
    </row>
    <row r="18" spans="1:29" ht="15">
      <c r="A18" s="428"/>
      <c r="B18" s="1387" t="s">
        <v>2681</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2" t="str">
        <f>B18</f>
        <v>基础设施水平</v>
      </c>
      <c r="R18" s="774" t="s">
        <v>17</v>
      </c>
      <c r="S18" s="775">
        <f>F18</f>
        <v>100</v>
      </c>
      <c r="T18" s="774" t="s">
        <v>17</v>
      </c>
      <c r="U18" s="775">
        <f>H18</f>
        <v>100</v>
      </c>
      <c r="V18" s="774" t="s">
        <v>17</v>
      </c>
      <c r="W18" s="775">
        <f>J18</f>
        <v>100</v>
      </c>
      <c r="X18" s="1815"/>
      <c r="Y18" s="3157"/>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57"/>
      <c r="Q19" s="1812"/>
      <c r="R19" s="774"/>
      <c r="S19" s="775"/>
      <c r="T19" s="774"/>
      <c r="U19" s="775"/>
      <c r="V19" s="774"/>
      <c r="W19" s="775"/>
      <c r="X19" s="1815"/>
      <c r="Y19" s="3157"/>
      <c r="Z19" s="1816"/>
      <c r="AA19" s="1813">
        <v>1</v>
      </c>
      <c r="AB19" s="1813">
        <v>1</v>
      </c>
      <c r="AC19" s="1813">
        <v>1</v>
      </c>
    </row>
    <row r="20" spans="1:29" ht="15">
      <c r="A20" s="428"/>
      <c r="B20" s="451" t="s">
        <v>2702</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2" t="str">
        <f>B20</f>
        <v>自然及人文环境</v>
      </c>
      <c r="R20" s="774" t="s">
        <v>17</v>
      </c>
      <c r="S20" s="775">
        <f>F20</f>
        <v>100</v>
      </c>
      <c r="T20" s="774" t="s">
        <v>17</v>
      </c>
      <c r="U20" s="775">
        <f>H20</f>
        <v>100</v>
      </c>
      <c r="V20" s="774" t="s">
        <v>17</v>
      </c>
      <c r="W20" s="775">
        <f>J20</f>
        <v>100</v>
      </c>
      <c r="X20" s="1815"/>
      <c r="Y20" s="315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57"/>
      <c r="Q21" s="1812"/>
      <c r="R21" s="774"/>
      <c r="S21" s="775"/>
      <c r="T21" s="774"/>
      <c r="U21" s="775"/>
      <c r="V21" s="774"/>
      <c r="W21" s="775"/>
      <c r="X21" s="1815"/>
      <c r="Y21" s="3157"/>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2" t="str">
        <f>B22</f>
        <v>楼层</v>
      </c>
      <c r="R22" s="774" t="s">
        <v>17</v>
      </c>
      <c r="S22" s="775">
        <f>F22</f>
        <v>100</v>
      </c>
      <c r="T22" s="774" t="s">
        <v>17</v>
      </c>
      <c r="U22" s="775">
        <f>H22</f>
        <v>100</v>
      </c>
      <c r="V22" s="774" t="s">
        <v>17</v>
      </c>
      <c r="W22" s="775">
        <f>J22</f>
        <v>100</v>
      </c>
      <c r="X22" s="1815"/>
      <c r="Y22" s="3157"/>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2">
        <f>B23</f>
        <v>111</v>
      </c>
      <c r="R23" s="774" t="s">
        <v>17</v>
      </c>
      <c r="S23" s="775">
        <f>F23</f>
        <v>100</v>
      </c>
      <c r="T23" s="774" t="s">
        <v>17</v>
      </c>
      <c r="U23" s="775">
        <f>H23</f>
        <v>100</v>
      </c>
      <c r="V23" s="774" t="s">
        <v>17</v>
      </c>
      <c r="W23" s="775">
        <f>J23</f>
        <v>100</v>
      </c>
      <c r="X23" s="1815"/>
      <c r="Y23" s="3157"/>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2">
        <f t="shared" ref="Q24:Q34" si="11">B24</f>
        <v>111</v>
      </c>
      <c r="R24" s="774" t="s">
        <v>17</v>
      </c>
      <c r="S24" s="775">
        <f>F24</f>
        <v>100</v>
      </c>
      <c r="T24" s="774" t="s">
        <v>17</v>
      </c>
      <c r="U24" s="775">
        <f>H24</f>
        <v>100</v>
      </c>
      <c r="V24" s="774" t="s">
        <v>17</v>
      </c>
      <c r="W24" s="775">
        <f>J24</f>
        <v>100</v>
      </c>
      <c r="X24" s="1815"/>
      <c r="Y24" s="3157"/>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7"/>
      <c r="Q25" s="1797">
        <f t="shared" si="11"/>
        <v>111</v>
      </c>
      <c r="R25" s="770" t="s">
        <v>17</v>
      </c>
      <c r="S25" s="771">
        <f>F25</f>
        <v>100</v>
      </c>
      <c r="T25" s="770" t="s">
        <v>17</v>
      </c>
      <c r="U25" s="771">
        <f>H25</f>
        <v>100</v>
      </c>
      <c r="V25" s="770" t="s">
        <v>17</v>
      </c>
      <c r="W25" s="771">
        <f>J25</f>
        <v>100</v>
      </c>
      <c r="X25" s="772"/>
      <c r="Y25" s="3157"/>
      <c r="Z25" s="55">
        <f>Q25</f>
        <v>111</v>
      </c>
      <c r="AA25" s="1813">
        <f>D25/F25</f>
        <v>1</v>
      </c>
      <c r="AB25" s="1813">
        <f>D25/H25</f>
        <v>1</v>
      </c>
      <c r="AC25" s="1813">
        <f>D25/J25</f>
        <v>1</v>
      </c>
    </row>
    <row r="26" spans="1:29" ht="28.5">
      <c r="A26" s="466" t="s">
        <v>2555</v>
      </c>
      <c r="B26" s="71" t="s">
        <v>2706</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58"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59"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9"/>
      <c r="Q27" s="776" t="str">
        <f t="shared" si="11"/>
        <v>成新率</v>
      </c>
      <c r="R27" s="777" t="s">
        <v>17</v>
      </c>
      <c r="S27" s="778" t="e">
        <f t="shared" si="12"/>
        <v>#N/A</v>
      </c>
      <c r="T27" s="777" t="s">
        <v>17</v>
      </c>
      <c r="U27" s="778" t="e">
        <f t="shared" si="13"/>
        <v>#N/A</v>
      </c>
      <c r="V27" s="777" t="s">
        <v>17</v>
      </c>
      <c r="W27" s="778" t="e">
        <f t="shared" si="14"/>
        <v>#N/A</v>
      </c>
      <c r="X27" s="779"/>
      <c r="Y27" s="3159"/>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9"/>
      <c r="Q28" s="1812" t="str">
        <f t="shared" si="11"/>
        <v>物业等级</v>
      </c>
      <c r="R28" s="774" t="s">
        <v>17</v>
      </c>
      <c r="S28" s="775">
        <f t="shared" si="12"/>
        <v>100</v>
      </c>
      <c r="T28" s="774" t="s">
        <v>17</v>
      </c>
      <c r="U28" s="775">
        <f t="shared" si="13"/>
        <v>100</v>
      </c>
      <c r="V28" s="774" t="s">
        <v>17</v>
      </c>
      <c r="W28" s="775">
        <f t="shared" si="14"/>
        <v>100</v>
      </c>
      <c r="X28" s="1815"/>
      <c r="Y28" s="3159"/>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9"/>
      <c r="Q29" s="1812" t="str">
        <f t="shared" si="11"/>
        <v>有无电梯</v>
      </c>
      <c r="R29" s="774" t="s">
        <v>17</v>
      </c>
      <c r="S29" s="775">
        <f t="shared" si="12"/>
        <v>100</v>
      </c>
      <c r="T29" s="774" t="s">
        <v>17</v>
      </c>
      <c r="U29" s="775">
        <f t="shared" si="13"/>
        <v>100</v>
      </c>
      <c r="V29" s="774" t="s">
        <v>17</v>
      </c>
      <c r="W29" s="775">
        <f t="shared" si="14"/>
        <v>100</v>
      </c>
      <c r="X29" s="1815"/>
      <c r="Y29" s="3159"/>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9"/>
      <c r="Q30" s="1812" t="str">
        <f t="shared" si="11"/>
        <v>建筑面积</v>
      </c>
      <c r="R30" s="774" t="s">
        <v>17</v>
      </c>
      <c r="S30" s="775" t="e">
        <f t="shared" si="12"/>
        <v>#N/A</v>
      </c>
      <c r="T30" s="774" t="s">
        <v>17</v>
      </c>
      <c r="U30" s="775" t="e">
        <f t="shared" si="13"/>
        <v>#N/A</v>
      </c>
      <c r="V30" s="774" t="s">
        <v>17</v>
      </c>
      <c r="W30" s="775" t="e">
        <f t="shared" si="14"/>
        <v>#N/A</v>
      </c>
      <c r="X30" s="1815"/>
      <c r="Y30" s="3159"/>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9"/>
      <c r="Q31" s="1797" t="str">
        <f t="shared" si="11"/>
        <v>是否封闭</v>
      </c>
      <c r="R31" s="770" t="s">
        <v>17</v>
      </c>
      <c r="S31" s="771">
        <f t="shared" si="12"/>
        <v>100</v>
      </c>
      <c r="T31" s="770" t="s">
        <v>17</v>
      </c>
      <c r="U31" s="771">
        <f t="shared" si="13"/>
        <v>100</v>
      </c>
      <c r="V31" s="770" t="s">
        <v>17</v>
      </c>
      <c r="W31" s="771">
        <f t="shared" si="14"/>
        <v>100</v>
      </c>
      <c r="X31" s="772"/>
      <c r="Y31" s="3159"/>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9" t="s">
        <v>2557</v>
      </c>
      <c r="Q32" s="1812">
        <f t="shared" si="11"/>
        <v>111</v>
      </c>
      <c r="R32" s="774" t="s">
        <v>17</v>
      </c>
      <c r="S32" s="775">
        <f t="shared" si="12"/>
        <v>100</v>
      </c>
      <c r="T32" s="774" t="s">
        <v>17</v>
      </c>
      <c r="U32" s="775">
        <f t="shared" si="13"/>
        <v>100</v>
      </c>
      <c r="V32" s="774" t="s">
        <v>17</v>
      </c>
      <c r="W32" s="775">
        <f t="shared" si="14"/>
        <v>100</v>
      </c>
      <c r="X32" s="1815"/>
      <c r="Y32" s="3159" t="s">
        <v>2557</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9"/>
      <c r="Q33" s="1812">
        <f t="shared" si="11"/>
        <v>111</v>
      </c>
      <c r="R33" s="774" t="s">
        <v>17</v>
      </c>
      <c r="S33" s="775">
        <f t="shared" si="12"/>
        <v>100</v>
      </c>
      <c r="T33" s="774" t="s">
        <v>17</v>
      </c>
      <c r="U33" s="775">
        <f t="shared" si="13"/>
        <v>100</v>
      </c>
      <c r="V33" s="774" t="s">
        <v>17</v>
      </c>
      <c r="W33" s="775">
        <f t="shared" si="14"/>
        <v>100</v>
      </c>
      <c r="X33" s="1815"/>
      <c r="Y33" s="3159"/>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59"/>
      <c r="Q34" s="1812">
        <f t="shared" si="11"/>
        <v>111</v>
      </c>
      <c r="R34" s="774" t="s">
        <v>17</v>
      </c>
      <c r="S34" s="775">
        <f t="shared" si="12"/>
        <v>100</v>
      </c>
      <c r="T34" s="774" t="s">
        <v>17</v>
      </c>
      <c r="U34" s="775">
        <f t="shared" si="13"/>
        <v>100</v>
      </c>
      <c r="V34" s="774" t="s">
        <v>17</v>
      </c>
      <c r="W34" s="775">
        <f t="shared" si="14"/>
        <v>100</v>
      </c>
      <c r="X34" s="1815"/>
      <c r="Y34" s="3159"/>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54" t="str">
        <f>A35</f>
        <v>成交单价（元/平方米）</v>
      </c>
      <c r="Q35" s="3154"/>
      <c r="R35" s="3218">
        <f>E35</f>
        <v>0</v>
      </c>
      <c r="S35" s="3218"/>
      <c r="T35" s="3218">
        <f>G35</f>
        <v>0</v>
      </c>
      <c r="U35" s="3218"/>
      <c r="V35" s="3218">
        <f>I35</f>
        <v>0</v>
      </c>
      <c r="W35" s="3218"/>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48" t="str">
        <f>A37</f>
        <v>估价对象XX用房的比较价值（楼面单价，元/平方米）</v>
      </c>
      <c r="Q37" s="3149"/>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1" t="s">
        <v>2638</v>
      </c>
      <c r="D4" s="3164"/>
      <c r="E4" s="3165" t="s">
        <v>2639</v>
      </c>
      <c r="F4" s="3166"/>
      <c r="G4" s="3151" t="s">
        <v>2640</v>
      </c>
      <c r="H4" s="3164"/>
      <c r="I4" s="3151" t="s">
        <v>2641</v>
      </c>
      <c r="J4" s="3164"/>
      <c r="K4" s="610" t="s">
        <v>2642</v>
      </c>
      <c r="L4" s="1133"/>
      <c r="M4" s="1134"/>
      <c r="N4" s="1134"/>
      <c r="O4" s="1134"/>
      <c r="P4" s="3167" t="s">
        <v>2643</v>
      </c>
      <c r="Q4" s="3168"/>
      <c r="R4" s="3173" t="s">
        <v>2639</v>
      </c>
      <c r="S4" s="3174"/>
      <c r="T4" s="3173" t="s">
        <v>2640</v>
      </c>
      <c r="U4" s="3174"/>
      <c r="V4" s="3160" t="s">
        <v>2641</v>
      </c>
      <c r="W4" s="3160"/>
      <c r="X4" s="1815"/>
      <c r="Y4" s="3173" t="s">
        <v>2643</v>
      </c>
      <c r="Z4" s="3174"/>
      <c r="AA4" s="3161" t="s">
        <v>2639</v>
      </c>
      <c r="AB4" s="3162" t="s">
        <v>2640</v>
      </c>
      <c r="AC4" s="3161" t="s">
        <v>2641</v>
      </c>
    </row>
    <row r="5" spans="1:29" ht="15">
      <c r="A5" s="404"/>
      <c r="B5" s="405"/>
      <c r="C5" s="3181" t="s">
        <v>2534</v>
      </c>
      <c r="D5" s="3182"/>
      <c r="E5" s="3188" t="s">
        <v>2535</v>
      </c>
      <c r="F5" s="3189"/>
      <c r="G5" s="3181" t="s">
        <v>2536</v>
      </c>
      <c r="H5" s="3182"/>
      <c r="I5" s="3181" t="s">
        <v>2537</v>
      </c>
      <c r="J5" s="3182"/>
      <c r="K5" s="610"/>
      <c r="L5" s="1133"/>
      <c r="M5" s="1134"/>
      <c r="N5" s="1134"/>
      <c r="O5" s="1134"/>
      <c r="P5" s="3169"/>
      <c r="Q5" s="3170"/>
      <c r="R5" s="3175"/>
      <c r="S5" s="3176"/>
      <c r="T5" s="3175"/>
      <c r="U5" s="3176"/>
      <c r="V5" s="3160"/>
      <c r="W5" s="3160"/>
      <c r="X5" s="1815"/>
      <c r="Y5" s="3175"/>
      <c r="Z5" s="3176"/>
      <c r="AA5" s="3162"/>
      <c r="AB5" s="3162"/>
      <c r="AC5" s="3162"/>
    </row>
    <row r="6" spans="1:29" ht="15.75" thickBot="1">
      <c r="A6" s="406"/>
      <c r="B6" s="407"/>
      <c r="C6" s="3240" t="s">
        <v>2787</v>
      </c>
      <c r="D6" s="3241"/>
      <c r="E6" s="3242" t="s">
        <v>2787</v>
      </c>
      <c r="F6" s="3243"/>
      <c r="G6" s="3240" t="s">
        <v>2787</v>
      </c>
      <c r="H6" s="3241"/>
      <c r="I6" s="3240" t="s">
        <v>2787</v>
      </c>
      <c r="J6" s="3241"/>
      <c r="K6" s="610" t="s">
        <v>2539</v>
      </c>
      <c r="L6" s="1133"/>
      <c r="M6" s="1134"/>
      <c r="N6" s="1134"/>
      <c r="O6" s="1134"/>
      <c r="P6" s="3171"/>
      <c r="Q6" s="3172"/>
      <c r="R6" s="3175"/>
      <c r="S6" s="3176"/>
      <c r="T6" s="3177"/>
      <c r="U6" s="3178"/>
      <c r="V6" s="3160"/>
      <c r="W6" s="3160"/>
      <c r="X6" s="1815"/>
      <c r="Y6" s="3177"/>
      <c r="Z6" s="3178"/>
      <c r="AA6" s="3163"/>
      <c r="AB6" s="3163"/>
      <c r="AC6" s="3163"/>
    </row>
    <row r="7" spans="1:29" s="117" customFormat="1" ht="15.75" thickBot="1">
      <c r="A7" s="408" t="s">
        <v>2540</v>
      </c>
      <c r="B7" s="409"/>
      <c r="C7" s="410">
        <f>'数据-取费表'!B2</f>
        <v>43462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83" t="s">
        <v>2541</v>
      </c>
      <c r="Q7" s="3185"/>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0" si="3">D8/F8</f>
        <v>#DIV/0!</v>
      </c>
      <c r="AB8" s="773" t="e">
        <f t="shared" ref="AB8:AB40" si="4">D8/H8</f>
        <v>#DIV/0!</v>
      </c>
      <c r="AC8" s="773" t="e">
        <f t="shared" ref="AC8:AC40" si="5">D8/J8</f>
        <v>#DIV/0!</v>
      </c>
    </row>
    <row r="9" spans="1:29" s="117" customFormat="1">
      <c r="A9" s="415" t="s">
        <v>2545</v>
      </c>
      <c r="B9" s="71" t="s">
        <v>2546</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4" t="s">
        <v>2547</v>
      </c>
      <c r="Q9" s="1797" t="str">
        <f t="shared" ref="Q9:Q15" si="6">B9</f>
        <v>用途</v>
      </c>
      <c r="R9" s="770" t="s">
        <v>17</v>
      </c>
      <c r="S9" s="771">
        <f t="shared" si="0"/>
        <v>100</v>
      </c>
      <c r="T9" s="770" t="s">
        <v>17</v>
      </c>
      <c r="U9" s="771">
        <f t="shared" si="1"/>
        <v>100</v>
      </c>
      <c r="V9" s="770" t="s">
        <v>17</v>
      </c>
      <c r="W9" s="771">
        <f t="shared" si="2"/>
        <v>100</v>
      </c>
      <c r="X9" s="772"/>
      <c r="Y9" s="3002"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54"/>
      <c r="Q10" s="1797" t="str">
        <f t="shared" si="6"/>
        <v>土地使用年限（年）</v>
      </c>
      <c r="R10" s="770" t="s">
        <v>17</v>
      </c>
      <c r="S10" s="771">
        <f t="shared" si="0"/>
        <v>112</v>
      </c>
      <c r="T10" s="770" t="s">
        <v>17</v>
      </c>
      <c r="U10" s="771">
        <f t="shared" si="1"/>
        <v>112</v>
      </c>
      <c r="V10" s="770" t="s">
        <v>17</v>
      </c>
      <c r="W10" s="771">
        <f t="shared" si="2"/>
        <v>112</v>
      </c>
      <c r="X10" s="772"/>
      <c r="Y10" s="3002"/>
      <c r="Z10" s="55" t="str">
        <f t="shared" si="7"/>
        <v>土地使用年限（年）</v>
      </c>
      <c r="AA10" s="773">
        <f t="shared" si="3"/>
        <v>0.8928571428571429</v>
      </c>
      <c r="AB10" s="773">
        <f t="shared" si="4"/>
        <v>0.8928571428571429</v>
      </c>
      <c r="AC10" s="773">
        <f t="shared" si="5"/>
        <v>0.8928571428571429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7"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7">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7">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7">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2551</v>
      </c>
      <c r="B15" s="629" t="s">
        <v>2788</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2552</v>
      </c>
      <c r="Q15" s="1812" t="str">
        <f t="shared" si="6"/>
        <v>产业集聚程度</v>
      </c>
      <c r="R15" s="774" t="s">
        <v>17</v>
      </c>
      <c r="S15" s="775">
        <f t="shared" si="0"/>
        <v>100</v>
      </c>
      <c r="T15" s="774" t="s">
        <v>17</v>
      </c>
      <c r="U15" s="775">
        <f t="shared" si="1"/>
        <v>100</v>
      </c>
      <c r="V15" s="774" t="s">
        <v>17</v>
      </c>
      <c r="W15" s="775">
        <f t="shared" si="2"/>
        <v>100</v>
      </c>
      <c r="X15" s="1815"/>
      <c r="Y15" s="3156" t="s">
        <v>2552</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57"/>
      <c r="Q16" s="1812"/>
      <c r="R16" s="774"/>
      <c r="S16" s="775"/>
      <c r="T16" s="774"/>
      <c r="U16" s="775"/>
      <c r="V16" s="774"/>
      <c r="W16" s="775"/>
      <c r="X16" s="1815"/>
      <c r="Y16" s="3157"/>
      <c r="Z16" s="1816"/>
      <c r="AA16" s="1813">
        <v>1</v>
      </c>
      <c r="AB16" s="1813">
        <v>1</v>
      </c>
      <c r="AC16" s="1813">
        <v>1</v>
      </c>
    </row>
    <row r="17" spans="1:29" ht="15">
      <c r="A17" s="428"/>
      <c r="B17" s="631" t="s">
        <v>2701</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2" t="str">
        <f>B17</f>
        <v>交通便捷度</v>
      </c>
      <c r="R17" s="774" t="s">
        <v>17</v>
      </c>
      <c r="S17" s="775">
        <f>F17</f>
        <v>100</v>
      </c>
      <c r="T17" s="774" t="s">
        <v>17</v>
      </c>
      <c r="U17" s="775">
        <f>H17</f>
        <v>100</v>
      </c>
      <c r="V17" s="774" t="s">
        <v>17</v>
      </c>
      <c r="W17" s="775">
        <f>J17</f>
        <v>100</v>
      </c>
      <c r="X17" s="1815"/>
      <c r="Y17" s="3157"/>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57"/>
      <c r="Q18" s="1812"/>
      <c r="R18" s="774"/>
      <c r="S18" s="775"/>
      <c r="T18" s="774"/>
      <c r="U18" s="775"/>
      <c r="V18" s="774"/>
      <c r="W18" s="775"/>
      <c r="X18" s="1815"/>
      <c r="Y18" s="3157"/>
      <c r="Z18" s="1816"/>
      <c r="AA18" s="1813">
        <v>1</v>
      </c>
      <c r="AB18" s="1813">
        <v>1</v>
      </c>
      <c r="AC18" s="1813">
        <v>1</v>
      </c>
    </row>
    <row r="19" spans="1:29" ht="15">
      <c r="A19" s="428"/>
      <c r="B19" s="631" t="s">
        <v>2739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2" t="str">
        <f t="shared" ref="Q19:Q33" si="8">B19</f>
        <v>区域土地利用方向</v>
      </c>
      <c r="R19" s="774" t="s">
        <v>17</v>
      </c>
      <c r="S19" s="775">
        <f>F19</f>
        <v>100</v>
      </c>
      <c r="T19" s="774" t="s">
        <v>17</v>
      </c>
      <c r="U19" s="775">
        <f>H19</f>
        <v>100</v>
      </c>
      <c r="V19" s="774" t="s">
        <v>17</v>
      </c>
      <c r="W19" s="775">
        <f>J19</f>
        <v>100</v>
      </c>
      <c r="X19" s="1815"/>
      <c r="Y19" s="3157"/>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57"/>
      <c r="Q20" s="1812"/>
      <c r="R20" s="774"/>
      <c r="S20" s="775"/>
      <c r="T20" s="774"/>
      <c r="U20" s="775"/>
      <c r="V20" s="774"/>
      <c r="W20" s="775"/>
      <c r="X20" s="1815"/>
      <c r="Y20" s="3157"/>
      <c r="Z20" s="1816"/>
      <c r="AA20" s="1813"/>
      <c r="AB20" s="1813"/>
      <c r="AC20" s="1813"/>
    </row>
    <row r="21" spans="1:29" ht="15">
      <c r="A21" s="404"/>
      <c r="B21" s="631" t="s">
        <v>2789</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2" t="str">
        <f t="shared" si="8"/>
        <v>环境状况</v>
      </c>
      <c r="R21" s="774" t="s">
        <v>17</v>
      </c>
      <c r="S21" s="775">
        <f>F21</f>
        <v>100</v>
      </c>
      <c r="T21" s="774" t="s">
        <v>17</v>
      </c>
      <c r="U21" s="775">
        <f>H21</f>
        <v>100</v>
      </c>
      <c r="V21" s="774" t="s">
        <v>17</v>
      </c>
      <c r="W21" s="775">
        <f>J21</f>
        <v>100</v>
      </c>
      <c r="X21" s="1815"/>
      <c r="Y21" s="3157"/>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57"/>
      <c r="Q22" s="1812"/>
      <c r="R22" s="774"/>
      <c r="S22" s="775"/>
      <c r="T22" s="774"/>
      <c r="U22" s="775"/>
      <c r="V22" s="774"/>
      <c r="W22" s="775"/>
      <c r="X22" s="1815"/>
      <c r="Y22" s="3157"/>
      <c r="Z22" s="1816"/>
      <c r="AA22" s="1813">
        <v>1</v>
      </c>
      <c r="AB22" s="1813">
        <v>1</v>
      </c>
      <c r="AC22" s="1813">
        <v>1</v>
      </c>
    </row>
    <row r="23" spans="1:29" s="117" customFormat="1" ht="15">
      <c r="A23" s="649"/>
      <c r="B23" s="633" t="s">
        <v>2646</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7" t="str">
        <f t="shared" si="8"/>
        <v>公共配套设施</v>
      </c>
      <c r="R23" s="770" t="s">
        <v>17</v>
      </c>
      <c r="S23" s="771">
        <f>F23</f>
        <v>100</v>
      </c>
      <c r="T23" s="770" t="s">
        <v>17</v>
      </c>
      <c r="U23" s="771">
        <f>H23</f>
        <v>100</v>
      </c>
      <c r="V23" s="770" t="s">
        <v>17</v>
      </c>
      <c r="W23" s="771">
        <f>J23</f>
        <v>100</v>
      </c>
      <c r="X23" s="772"/>
      <c r="Y23" s="3157"/>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57"/>
      <c r="Q24" s="1797"/>
      <c r="R24" s="770"/>
      <c r="S24" s="771"/>
      <c r="T24" s="770"/>
      <c r="U24" s="771"/>
      <c r="V24" s="770"/>
      <c r="W24" s="771"/>
      <c r="X24" s="772"/>
      <c r="Y24" s="3157"/>
      <c r="Z24" s="55"/>
      <c r="AA24" s="773">
        <v>1</v>
      </c>
      <c r="AB24" s="773">
        <v>1</v>
      </c>
      <c r="AC24" s="773">
        <v>1</v>
      </c>
    </row>
    <row r="25" spans="1:29" s="117" customFormat="1" ht="15">
      <c r="A25" s="649"/>
      <c r="B25" s="633" t="s">
        <v>2647</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7"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57"/>
      <c r="Q26" s="1797"/>
      <c r="R26" s="770"/>
      <c r="S26" s="771"/>
      <c r="T26" s="770"/>
      <c r="U26" s="771"/>
      <c r="V26" s="770"/>
      <c r="W26" s="771"/>
      <c r="X26" s="772"/>
      <c r="Y26" s="315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57"/>
      <c r="Z27" s="1816" t="str">
        <f t="shared" ref="Z27:Z40" si="13">Q27</f>
        <v>临街状况</v>
      </c>
      <c r="AA27" s="1813">
        <f t="shared" si="3"/>
        <v>1</v>
      </c>
      <c r="AB27" s="1813">
        <f t="shared" si="4"/>
        <v>1</v>
      </c>
      <c r="AC27" s="1813">
        <f t="shared" si="5"/>
        <v>1</v>
      </c>
    </row>
    <row r="28" spans="1:29" ht="27">
      <c r="A28" s="428"/>
      <c r="B28" s="633" t="s">
        <v>2683</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2" t="str">
        <f t="shared" si="8"/>
        <v>毗邻道路的类型与等级</v>
      </c>
      <c r="R28" s="774" t="s">
        <v>17</v>
      </c>
      <c r="S28" s="775">
        <f t="shared" si="10"/>
        <v>100</v>
      </c>
      <c r="T28" s="774" t="s">
        <v>17</v>
      </c>
      <c r="U28" s="775">
        <f t="shared" si="11"/>
        <v>100</v>
      </c>
      <c r="V28" s="774" t="s">
        <v>17</v>
      </c>
      <c r="W28" s="775">
        <f t="shared" si="12"/>
        <v>100</v>
      </c>
      <c r="X28" s="1815"/>
      <c r="Y28" s="3157"/>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57"/>
      <c r="Q29" s="1812"/>
      <c r="R29" s="774"/>
      <c r="S29" s="775"/>
      <c r="T29" s="774"/>
      <c r="U29" s="775"/>
      <c r="V29" s="774"/>
      <c r="W29" s="775"/>
      <c r="X29" s="1815"/>
      <c r="Y29" s="3157"/>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2" t="str">
        <f t="shared" si="8"/>
        <v>土地级别</v>
      </c>
      <c r="R30" s="774" t="s">
        <v>17</v>
      </c>
      <c r="S30" s="775">
        <f t="shared" si="10"/>
        <v>100</v>
      </c>
      <c r="T30" s="774" t="s">
        <v>17</v>
      </c>
      <c r="U30" s="775">
        <f t="shared" si="11"/>
        <v>100</v>
      </c>
      <c r="V30" s="774" t="s">
        <v>17</v>
      </c>
      <c r="W30" s="775">
        <f t="shared" si="12"/>
        <v>100</v>
      </c>
      <c r="X30" s="1815"/>
      <c r="Y30" s="3157"/>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2">
        <f t="shared" si="8"/>
        <v>111</v>
      </c>
      <c r="R31" s="774" t="s">
        <v>17</v>
      </c>
      <c r="S31" s="775">
        <f t="shared" si="10"/>
        <v>100</v>
      </c>
      <c r="T31" s="774" t="s">
        <v>17</v>
      </c>
      <c r="U31" s="775">
        <f t="shared" si="11"/>
        <v>100</v>
      </c>
      <c r="V31" s="774" t="s">
        <v>17</v>
      </c>
      <c r="W31" s="775">
        <f t="shared" si="12"/>
        <v>100</v>
      </c>
      <c r="X31" s="1815"/>
      <c r="Y31" s="3157"/>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8" t="s">
        <v>2557</v>
      </c>
      <c r="Q32" s="1812">
        <f t="shared" si="8"/>
        <v>111</v>
      </c>
      <c r="R32" s="774" t="s">
        <v>17</v>
      </c>
      <c r="S32" s="775">
        <f t="shared" si="10"/>
        <v>100</v>
      </c>
      <c r="T32" s="774" t="s">
        <v>17</v>
      </c>
      <c r="U32" s="775">
        <f t="shared" si="11"/>
        <v>100</v>
      </c>
      <c r="V32" s="774" t="s">
        <v>17</v>
      </c>
      <c r="W32" s="775">
        <f t="shared" si="12"/>
        <v>100</v>
      </c>
      <c r="X32" s="1815"/>
      <c r="Y32" s="3159" t="s">
        <v>2557</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9"/>
      <c r="Q33" s="1812">
        <f t="shared" si="8"/>
        <v>111</v>
      </c>
      <c r="R33" s="777" t="s">
        <v>17</v>
      </c>
      <c r="S33" s="778">
        <f t="shared" si="10"/>
        <v>100</v>
      </c>
      <c r="T33" s="777" t="s">
        <v>17</v>
      </c>
      <c r="U33" s="778">
        <f t="shared" si="11"/>
        <v>100</v>
      </c>
      <c r="V33" s="777" t="s">
        <v>17</v>
      </c>
      <c r="W33" s="778">
        <f t="shared" si="12"/>
        <v>100</v>
      </c>
      <c r="X33" s="779"/>
      <c r="Y33" s="3159"/>
      <c r="Z33" s="780">
        <f t="shared" si="13"/>
        <v>111</v>
      </c>
      <c r="AA33" s="1813">
        <f t="shared" si="3"/>
        <v>1</v>
      </c>
      <c r="AB33" s="1813">
        <f t="shared" si="4"/>
        <v>1</v>
      </c>
      <c r="AC33" s="1813">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9"/>
      <c r="Q34" s="1812" t="str">
        <f>B34</f>
        <v>宗地面积</v>
      </c>
      <c r="R34" s="774" t="s">
        <v>17</v>
      </c>
      <c r="S34" s="775" t="e">
        <f t="shared" si="10"/>
        <v>#N/A</v>
      </c>
      <c r="T34" s="774" t="s">
        <v>17</v>
      </c>
      <c r="U34" s="775" t="e">
        <f t="shared" si="11"/>
        <v>#N/A</v>
      </c>
      <c r="V34" s="774" t="s">
        <v>17</v>
      </c>
      <c r="W34" s="775" t="e">
        <f t="shared" si="12"/>
        <v>#N/A</v>
      </c>
      <c r="X34" s="1815"/>
      <c r="Y34" s="3159"/>
      <c r="Z34" s="1816" t="str">
        <f t="shared" si="13"/>
        <v>宗地面积</v>
      </c>
      <c r="AA34" s="1813" t="e">
        <f t="shared" si="3"/>
        <v>#N/A</v>
      </c>
      <c r="AB34" s="1813" t="e">
        <f t="shared" si="4"/>
        <v>#N/A</v>
      </c>
      <c r="AC34" s="1813" t="e">
        <f t="shared" si="5"/>
        <v>#N/A</v>
      </c>
    </row>
    <row r="35" spans="1:29" ht="15">
      <c r="A35" s="472"/>
      <c r="B35" s="422" t="s">
        <v>2743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59"/>
      <c r="Q35" s="1812" t="str">
        <f t="shared" ref="Q35:Q40" si="14">B35</f>
        <v>宗地形状</v>
      </c>
      <c r="R35" s="774" t="s">
        <v>17</v>
      </c>
      <c r="S35" s="775">
        <f t="shared" si="10"/>
        <v>100</v>
      </c>
      <c r="T35" s="774" t="s">
        <v>17</v>
      </c>
      <c r="U35" s="775">
        <f t="shared" si="11"/>
        <v>100</v>
      </c>
      <c r="V35" s="774" t="s">
        <v>17</v>
      </c>
      <c r="W35" s="775">
        <f t="shared" si="12"/>
        <v>100</v>
      </c>
      <c r="X35" s="1815"/>
      <c r="Y35" s="3159"/>
      <c r="Z35" s="1816" t="str">
        <f t="shared" si="13"/>
        <v>宗地形状</v>
      </c>
      <c r="AA35" s="1813">
        <f t="shared" si="3"/>
        <v>1</v>
      </c>
      <c r="AB35" s="1813">
        <f t="shared" si="4"/>
        <v>1</v>
      </c>
      <c r="AC35" s="1813">
        <f t="shared" si="5"/>
        <v>1</v>
      </c>
    </row>
    <row r="36" spans="1:29" s="117" customFormat="1" ht="15">
      <c r="A36" s="473"/>
      <c r="B36" s="422" t="s">
        <v>2745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59"/>
      <c r="Q36" s="1812" t="str">
        <f t="shared" si="14"/>
        <v>宗地开发程度</v>
      </c>
      <c r="R36" s="770" t="s">
        <v>17</v>
      </c>
      <c r="S36" s="771">
        <f t="shared" si="10"/>
        <v>100</v>
      </c>
      <c r="T36" s="770" t="s">
        <v>17</v>
      </c>
      <c r="U36" s="771">
        <f t="shared" si="11"/>
        <v>100</v>
      </c>
      <c r="V36" s="770" t="s">
        <v>17</v>
      </c>
      <c r="W36" s="771">
        <f t="shared" si="12"/>
        <v>100</v>
      </c>
      <c r="X36" s="772"/>
      <c r="Y36" s="3159"/>
      <c r="Z36" s="55" t="str">
        <f t="shared" si="13"/>
        <v>宗地开发程度</v>
      </c>
      <c r="AA36" s="773">
        <f t="shared" si="3"/>
        <v>1</v>
      </c>
      <c r="AB36" s="773">
        <f t="shared" si="4"/>
        <v>1</v>
      </c>
      <c r="AC36" s="773">
        <f t="shared" si="5"/>
        <v>1</v>
      </c>
    </row>
    <row r="37" spans="1:29" ht="15">
      <c r="A37" s="472"/>
      <c r="B37" s="422" t="s">
        <v>2746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59" t="s">
        <v>2557</v>
      </c>
      <c r="Q37" s="1812" t="str">
        <f t="shared" si="14"/>
        <v>工程地质条件</v>
      </c>
      <c r="R37" s="774" t="s">
        <v>17</v>
      </c>
      <c r="S37" s="775">
        <f t="shared" si="10"/>
        <v>100</v>
      </c>
      <c r="T37" s="774" t="s">
        <v>17</v>
      </c>
      <c r="U37" s="775">
        <f t="shared" si="11"/>
        <v>100</v>
      </c>
      <c r="V37" s="774" t="s">
        <v>17</v>
      </c>
      <c r="W37" s="775">
        <f t="shared" si="12"/>
        <v>100</v>
      </c>
      <c r="X37" s="1815"/>
      <c r="Y37" s="3159"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9"/>
      <c r="Q38" s="1812">
        <f t="shared" si="14"/>
        <v>111</v>
      </c>
      <c r="R38" s="774" t="s">
        <v>17</v>
      </c>
      <c r="S38" s="775">
        <f t="shared" si="10"/>
        <v>100</v>
      </c>
      <c r="T38" s="774" t="s">
        <v>17</v>
      </c>
      <c r="U38" s="775">
        <f t="shared" si="11"/>
        <v>100</v>
      </c>
      <c r="V38" s="774" t="s">
        <v>17</v>
      </c>
      <c r="W38" s="775">
        <f t="shared" si="12"/>
        <v>100</v>
      </c>
      <c r="X38" s="1815"/>
      <c r="Y38" s="315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9"/>
      <c r="Q39" s="1812">
        <f t="shared" si="14"/>
        <v>111</v>
      </c>
      <c r="R39" s="774" t="s">
        <v>17</v>
      </c>
      <c r="S39" s="775">
        <f t="shared" si="10"/>
        <v>100</v>
      </c>
      <c r="T39" s="774" t="s">
        <v>17</v>
      </c>
      <c r="U39" s="775">
        <f t="shared" si="11"/>
        <v>100</v>
      </c>
      <c r="V39" s="774" t="s">
        <v>17</v>
      </c>
      <c r="W39" s="775">
        <f t="shared" si="12"/>
        <v>100</v>
      </c>
      <c r="X39" s="1815"/>
      <c r="Y39" s="3159"/>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9"/>
      <c r="Q40" s="1812">
        <f t="shared" si="14"/>
        <v>111</v>
      </c>
      <c r="R40" s="777" t="s">
        <v>17</v>
      </c>
      <c r="S40" s="778">
        <f t="shared" si="10"/>
        <v>100</v>
      </c>
      <c r="T40" s="777" t="s">
        <v>17</v>
      </c>
      <c r="U40" s="778">
        <f t="shared" si="11"/>
        <v>100</v>
      </c>
      <c r="V40" s="777" t="s">
        <v>17</v>
      </c>
      <c r="W40" s="778">
        <f t="shared" si="12"/>
        <v>100</v>
      </c>
      <c r="X40" s="779"/>
      <c r="Y40" s="3159"/>
      <c r="Z40" s="780">
        <f t="shared" si="13"/>
        <v>111</v>
      </c>
      <c r="AA40" s="1813">
        <f t="shared" si="3"/>
        <v>1</v>
      </c>
      <c r="AB40" s="1813">
        <f t="shared" si="4"/>
        <v>1</v>
      </c>
      <c r="AC40" s="1813">
        <f t="shared" si="5"/>
        <v>1</v>
      </c>
    </row>
    <row r="41" spans="1:29" ht="15">
      <c r="A41" s="479" t="s">
        <v>2712</v>
      </c>
      <c r="B41" s="2710" t="s">
        <v>2790</v>
      </c>
      <c r="C41" s="682" t="s">
        <v>1</v>
      </c>
      <c r="D41" s="481"/>
      <c r="E41" s="482"/>
      <c r="F41" s="483"/>
      <c r="G41" s="484"/>
      <c r="H41" s="485"/>
      <c r="I41" s="482"/>
      <c r="J41" s="485"/>
      <c r="K41" s="783"/>
      <c r="L41" s="1146"/>
      <c r="M41" s="1134"/>
      <c r="N41" s="1134"/>
      <c r="O41" s="1147"/>
      <c r="P41" s="3154" t="str">
        <f>A41</f>
        <v>成交单价</v>
      </c>
      <c r="Q41" s="3154"/>
      <c r="R41" s="3160">
        <f>E41</f>
        <v>0</v>
      </c>
      <c r="S41" s="3160"/>
      <c r="T41" s="3160">
        <f>G41</f>
        <v>0</v>
      </c>
      <c r="U41" s="3160"/>
      <c r="V41" s="3160">
        <f>I41</f>
        <v>0</v>
      </c>
      <c r="W41" s="3160"/>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147" t="e">
        <f>ROUND(PRODUCT(R41,AA7:AA40),0)</f>
        <v>#DIV/0!</v>
      </c>
      <c r="S42" s="3147"/>
      <c r="T42" s="3147" t="e">
        <f>ROUND(PRODUCT(T41,AB7:AB40),0)</f>
        <v>#DIV/0!</v>
      </c>
      <c r="U42" s="3147"/>
      <c r="V42" s="3147" t="e">
        <f>ROUND(PRODUCT(V41,AC7:AC40),0)</f>
        <v>#DIV/0!</v>
      </c>
      <c r="W42" s="314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48" t="str">
        <f>A43</f>
        <v>估价对象XX用房的比较价值（楼面单价，元/平方米）</v>
      </c>
      <c r="Q43" s="3149"/>
      <c r="R43" s="3150" t="e">
        <f>ROUND(AVERAGE(R42:V42),0)</f>
        <v>#DIV/0!</v>
      </c>
      <c r="S43" s="3150"/>
      <c r="T43" s="3150"/>
      <c r="U43" s="3150"/>
      <c r="V43" s="3150"/>
      <c r="W43" s="31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51" t="s">
        <v>2754</v>
      </c>
      <c r="H50" s="3152"/>
      <c r="I50" s="1816" t="s">
        <v>2791</v>
      </c>
      <c r="J50" s="1816">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7302.06</v>
      </c>
      <c r="F51" s="691" t="e">
        <f t="shared" ref="F51:F60" si="15">ROUND(B51*E51/10000,0)</f>
        <v>#DIV/0!</v>
      </c>
      <c r="G51" s="3153"/>
      <c r="H51" s="3154"/>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5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5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5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5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10665.64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0.68</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7"/>
      <c r="B4" s="3248"/>
      <c r="C4" s="3248"/>
      <c r="D4" s="3249"/>
      <c r="E4" s="3249"/>
      <c r="F4" s="3249"/>
      <c r="G4" s="3249"/>
      <c r="H4" s="3249"/>
      <c r="I4" s="3249"/>
      <c r="J4" s="3250"/>
      <c r="K4" s="1373"/>
      <c r="L4" s="2732" t="s">
        <v>2815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2816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4"/>
      <c r="L6" s="2732" t="s">
        <v>2821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1" t="str">
        <f>IF(E2="商业",IF(C8="不临58条商业街","",2),"")</f>
        <v/>
      </c>
      <c r="B7" s="2751" t="s">
        <v>2822</v>
      </c>
      <c r="C7" s="919" t="e">
        <f>IF(C8="不临58条商业街",1,ROUND(1+(1.6*E8+1.2*E9+0.8*E10+0.4*E11)*C9,4))</f>
        <v>#DIV/0!</v>
      </c>
      <c r="D7" s="2752" t="s">
        <v>2823</v>
      </c>
      <c r="E7" s="948"/>
      <c r="F7" s="2753"/>
      <c r="G7" s="2754"/>
      <c r="H7" s="2754"/>
      <c r="I7" s="2754"/>
      <c r="J7" s="2755"/>
      <c r="K7" s="1844"/>
      <c r="L7" s="2732" t="s">
        <v>2824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2825</v>
      </c>
      <c r="X7" s="1606">
        <f>G2</f>
        <v>0</v>
      </c>
      <c r="Y7" s="1606" t="s">
        <v>2826</v>
      </c>
      <c r="Z7" s="1607">
        <f>G3</f>
        <v>0.68</v>
      </c>
      <c r="AA7" s="1608"/>
      <c r="AB7" s="1608"/>
      <c r="AC7" s="1609"/>
      <c r="AD7" s="1610"/>
      <c r="AE7" s="1610"/>
      <c r="AF7" s="1610"/>
      <c r="AG7" s="1610"/>
      <c r="AH7" s="1610"/>
      <c r="AI7" s="1610"/>
      <c r="AJ7" s="1611"/>
    </row>
    <row r="8" spans="1:36" ht="15">
      <c r="A8" s="3252"/>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44" t="s">
        <v>2830</v>
      </c>
      <c r="X8" s="3245"/>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
      <c r="A9" s="3252"/>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46"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2"/>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4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2"/>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46" t="s">
        <v>2854</v>
      </c>
      <c r="X11" s="1616" t="s">
        <v>2855</v>
      </c>
      <c r="Y11" s="1617">
        <f>$G$3</f>
        <v>0.68</v>
      </c>
      <c r="Z11" s="1617">
        <f t="shared" ref="Z11:AJ11" si="3">$G$3</f>
        <v>0.68</v>
      </c>
      <c r="AA11" s="1617">
        <f t="shared" si="3"/>
        <v>0.68</v>
      </c>
      <c r="AB11" s="1617">
        <f t="shared" si="3"/>
        <v>0.68</v>
      </c>
      <c r="AC11" s="1617">
        <f t="shared" si="3"/>
        <v>0.68</v>
      </c>
      <c r="AD11" s="1617">
        <f t="shared" si="3"/>
        <v>0.68</v>
      </c>
      <c r="AE11" s="1617">
        <f t="shared" si="3"/>
        <v>0.68</v>
      </c>
      <c r="AF11" s="1617">
        <f t="shared" si="3"/>
        <v>0.68</v>
      </c>
      <c r="AG11" s="1617">
        <f t="shared" si="3"/>
        <v>0.68</v>
      </c>
      <c r="AH11" s="1617">
        <f t="shared" si="3"/>
        <v>0.68</v>
      </c>
      <c r="AI11" s="1617">
        <f t="shared" si="3"/>
        <v>0.68</v>
      </c>
      <c r="AJ11" s="1617">
        <f t="shared" si="3"/>
        <v>0.68</v>
      </c>
    </row>
    <row r="12" spans="1:36" ht="25.5" thickBot="1">
      <c r="A12" s="3251"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46"/>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3"/>
      <c r="B13" s="2770" t="s">
        <v>2861</v>
      </c>
      <c r="C13" s="2771" t="s">
        <v>2862</v>
      </c>
      <c r="D13" s="1810" t="s">
        <v>2863</v>
      </c>
      <c r="E13" s="1810" t="s">
        <v>2864</v>
      </c>
      <c r="F13" s="30" t="s">
        <v>2865</v>
      </c>
      <c r="G13" s="2772" t="s">
        <v>2866</v>
      </c>
      <c r="H13" s="2772" t="s">
        <v>2866</v>
      </c>
      <c r="I13" s="2772" t="s">
        <v>2866</v>
      </c>
      <c r="J13" s="2773" t="s">
        <v>2866</v>
      </c>
      <c r="K13" s="1373"/>
      <c r="L13" s="1373"/>
      <c r="M13" s="1373"/>
      <c r="N13" s="1373"/>
      <c r="O13" s="1373"/>
      <c r="P13" s="1373"/>
      <c r="Q13" s="1373"/>
      <c r="R13" s="1604">
        <v>12</v>
      </c>
      <c r="S13" s="1605"/>
      <c r="T13" s="1604" t="e">
        <f t="shared" si="0"/>
        <v>#DIV/0!</v>
      </c>
      <c r="U13" s="1605"/>
      <c r="V13" s="1604" t="e">
        <f t="shared" si="1"/>
        <v>#DIV/0!</v>
      </c>
      <c r="W13" s="3246"/>
      <c r="X13" s="1618"/>
      <c r="Y13" s="1615">
        <f>(-0.163*(Y12^2)-0.59*Y12+7617)*(10^(-4))/Y11</f>
        <v>1.1201470588235294</v>
      </c>
      <c r="Z13" s="1615">
        <f t="shared" ref="Z13:AJ13" si="5">(-0.163*(Z12^2)-0.59*Z12+7617)*(10^(-4))/Z11</f>
        <v>1.1201470588235294</v>
      </c>
      <c r="AA13" s="1615">
        <f t="shared" si="5"/>
        <v>1.1201470588235294</v>
      </c>
      <c r="AB13" s="1615">
        <f t="shared" si="5"/>
        <v>1.1201470588235294</v>
      </c>
      <c r="AC13" s="1615">
        <f t="shared" si="5"/>
        <v>1.1201470588235294</v>
      </c>
      <c r="AD13" s="1615">
        <f t="shared" si="5"/>
        <v>1.1201470588235294</v>
      </c>
      <c r="AE13" s="1615">
        <f t="shared" si="5"/>
        <v>1.1201470588235294</v>
      </c>
      <c r="AF13" s="1615">
        <f t="shared" si="5"/>
        <v>1.1201470588235294</v>
      </c>
      <c r="AG13" s="1615">
        <f t="shared" si="5"/>
        <v>1.1201470588235294</v>
      </c>
      <c r="AH13" s="1615">
        <f t="shared" si="5"/>
        <v>1.1201470588235294</v>
      </c>
      <c r="AI13" s="1615">
        <f t="shared" si="5"/>
        <v>1.1201470588235294</v>
      </c>
      <c r="AJ13" s="1615">
        <f t="shared" si="5"/>
        <v>1.1201470588235294</v>
      </c>
    </row>
    <row r="14" spans="1:36" ht="15">
      <c r="A14" s="3253"/>
      <c r="B14" s="2774"/>
      <c r="C14" s="2775"/>
      <c r="D14" s="2776"/>
      <c r="E14" s="2776"/>
      <c r="F14" s="2777"/>
      <c r="G14" s="2778" t="s">
        <v>2867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4"/>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1" t="s">
        <v>2873</v>
      </c>
      <c r="B16" s="2751" t="s">
        <v>2874</v>
      </c>
      <c r="C16" s="1803" t="e">
        <f>ROUND(SUM(G17:J17)/C17,0)</f>
        <v>#DIV/0!</v>
      </c>
      <c r="D16" s="2785" t="s">
        <v>2875</v>
      </c>
      <c r="E16" s="2786"/>
      <c r="F16" s="2787"/>
      <c r="G16" s="2788"/>
      <c r="H16" s="2788"/>
      <c r="I16" s="2788"/>
      <c r="J16" s="2789"/>
      <c r="K16" s="1373"/>
      <c r="L16" s="2790" t="s">
        <v>2876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2"/>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ROUND(IF(H19="按公示增长率计算",SUMPRODUCT((地价!A3:A24=YEAR(G19)&amp;"-"&amp;ROUNDUP(MONTH(G19)/3,0))*(地价!X2:AB2=E2)*(地价!X3:AB24)),IF(H19="地价指数",M20/M19,(1+I19)^O19)),4)</f>
        <v>#DIV/0!</v>
      </c>
      <c r="D19" s="2803" t="s">
        <v>2883</v>
      </c>
      <c r="E19" s="928">
        <v>41640</v>
      </c>
      <c r="F19" s="2803" t="s">
        <v>2884</v>
      </c>
      <c r="G19" s="929">
        <f>'数据-取费表'!B2</f>
        <v>43462</v>
      </c>
      <c r="H19" s="2804" t="s">
        <v>2885</v>
      </c>
      <c r="I19" s="930" t="str">
        <f>IF(H19="季度增幅（自定义）",SUMIF(N21:N24,E2,O21:O24),"")</f>
        <v/>
      </c>
      <c r="J19" s="2801"/>
      <c r="K19" s="1380"/>
      <c r="L19" s="2805" t="s">
        <v>2886</v>
      </c>
      <c r="M19" s="1736">
        <f>ROUND(SUMIF(地价!B2:F2,E2,地价!B24:F24),0)</f>
        <v>0</v>
      </c>
      <c r="N19" s="2806"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0">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7">
        <f>ROUND(SUMPRODUCT((地价!A4:A24=YEAR(G19)&amp;"-"&amp;ROUNDUP(MONTH(G19)/3,0))*(地价!B2:F2=E2)*(地价!B4:F24)),0)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2" t="s">
        <v>2899</v>
      </c>
      <c r="D22" s="1812">
        <f>IF(E22=G22,F22,IF(G3&lt;=10,ROUND(F22+(H22-F22)*(G3-E22)/(G22-E22),4),"——"))</f>
        <v>0</v>
      </c>
      <c r="E22" s="916">
        <f>ROUNDDOWN(G3,1)</f>
        <v>0.6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1"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2"/>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2"/>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3"/>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9" t="s">
        <v>3043</v>
      </c>
      <c r="C41" s="388" t="e">
        <f>ROUND(POWER(1+E41,H41-G41)*(POWER(1+E41,G41)-1)/(POWER(1+E41,H41)-1),4)</f>
        <v>#DIV/0!</v>
      </c>
      <c r="D41" s="200" t="s">
        <v>2880</v>
      </c>
      <c r="E41" s="2948">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1" t="s">
        <v>2935</v>
      </c>
      <c r="C47" s="1811" t="s">
        <v>2936</v>
      </c>
      <c r="D47" s="1811" t="s">
        <v>2937</v>
      </c>
      <c r="E47" s="819" t="s">
        <v>2938</v>
      </c>
      <c r="F47" s="2885" t="s">
        <v>2939</v>
      </c>
      <c r="G47" s="1811" t="s">
        <v>754</v>
      </c>
      <c r="H47" s="2886" t="s">
        <v>2940</v>
      </c>
      <c r="I47" s="1811"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4" t="s">
        <v>2942</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f>估价对象房地状况!C18</f>
        <v>0</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7">
        <f>估价对象房地状况!C21</f>
        <v>0</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f>估价对象房地状况!C22</f>
        <v>0</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f>估价对象房地状况!C20</f>
        <v>0</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1"/>
      <c r="C58" s="1811" t="s">
        <v>2936</v>
      </c>
      <c r="D58" s="1811" t="s">
        <v>2937</v>
      </c>
      <c r="E58" s="819" t="s">
        <v>2938</v>
      </c>
      <c r="F58" s="2885" t="s">
        <v>2954</v>
      </c>
      <c r="G58" s="1811" t="s">
        <v>754</v>
      </c>
      <c r="H58" s="2886" t="s">
        <v>2940</v>
      </c>
      <c r="I58" s="1811"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f>估价对象房地状况!C18</f>
        <v>0</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7">
        <f>估价对象房地状况!C21</f>
        <v>0</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7">
        <f>估价对象房地状况!C22</f>
        <v>0</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f>估价对象房地状况!C20</f>
        <v>0</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1"/>
      <c r="C69" s="1811" t="s">
        <v>2936</v>
      </c>
      <c r="D69" s="1811" t="s">
        <v>2937</v>
      </c>
      <c r="E69" s="819" t="s">
        <v>2938</v>
      </c>
      <c r="F69" s="2885" t="s">
        <v>2954</v>
      </c>
      <c r="G69" s="1811" t="s">
        <v>754</v>
      </c>
      <c r="H69" s="2886" t="s">
        <v>2940</v>
      </c>
      <c r="I69" s="1811"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4" t="s">
        <v>2957</v>
      </c>
      <c r="B70" s="2887">
        <f>估价对象房地状况!C15</f>
        <v>0</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f>估价对象房地状况!C18</f>
        <v>0</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7">
        <f>估价对象房地状况!C21</f>
        <v>0</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7">
        <f>估价对象房地状况!C22</f>
        <v>0</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f>估价对象房地状况!C20</f>
        <v>0</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1"/>
      <c r="C80" s="1811" t="s">
        <v>2936</v>
      </c>
      <c r="D80" s="1811" t="s">
        <v>2937</v>
      </c>
      <c r="E80" s="819" t="s">
        <v>2938</v>
      </c>
      <c r="F80" s="2885" t="s">
        <v>2954</v>
      </c>
      <c r="G80" s="1811" t="s">
        <v>754</v>
      </c>
      <c r="H80" s="2886" t="s">
        <v>2940</v>
      </c>
      <c r="I80" s="1811" t="s">
        <v>2941</v>
      </c>
      <c r="J80" s="603" t="s">
        <v>2589</v>
      </c>
      <c r="K80" s="603" t="s">
        <v>2590</v>
      </c>
      <c r="L80" s="603" t="s">
        <v>2591</v>
      </c>
      <c r="M80" s="603" t="s">
        <v>2592</v>
      </c>
      <c r="N80" s="603" t="s">
        <v>2593</v>
      </c>
      <c r="Z80" s="2726"/>
      <c r="AA80" s="2802"/>
      <c r="AG80" s="1375"/>
      <c r="AK80" s="2802"/>
    </row>
    <row r="81" spans="1:37" ht="24">
      <c r="A81" s="2884" t="s">
        <v>2961</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2943</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2950</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2951</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2963</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5" t="s">
        <v>2964</v>
      </c>
      <c r="B90" s="3255"/>
      <c r="C90" s="3255"/>
      <c r="D90" s="3255"/>
      <c r="E90" s="3255"/>
      <c r="F90" s="3255"/>
      <c r="G90" s="3255"/>
      <c r="H90" s="3255"/>
      <c r="I90" s="3255"/>
      <c r="J90" s="3255"/>
      <c r="K90" s="2898"/>
      <c r="L90" s="2898"/>
      <c r="M90" s="2898"/>
      <c r="N90" s="2898"/>
    </row>
    <row r="91" spans="1:37">
      <c r="A91" s="3257" t="s">
        <v>2965</v>
      </c>
      <c r="B91" s="3257" t="s">
        <v>2966</v>
      </c>
      <c r="C91" s="2852" t="s">
        <v>2967</v>
      </c>
      <c r="D91" s="2853"/>
      <c r="E91" s="2853"/>
      <c r="F91" s="2853"/>
      <c r="G91" s="2853"/>
      <c r="H91" s="2853"/>
      <c r="I91" s="2853"/>
      <c r="J91" s="2899"/>
      <c r="K91" s="2900"/>
      <c r="L91" s="2900"/>
      <c r="M91" s="2900"/>
      <c r="N91" s="2900"/>
    </row>
    <row r="92" spans="1:37">
      <c r="A92" s="3257"/>
      <c r="B92" s="3257"/>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58"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9"/>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8" t="s">
        <v>2969</v>
      </c>
      <c r="B101" s="2905" t="s">
        <v>2970</v>
      </c>
      <c r="C101" s="2906">
        <f>$G$3</f>
        <v>0.68</v>
      </c>
      <c r="D101" s="2906">
        <f t="shared" ref="D101:N101" si="31">$G$3</f>
        <v>0.68</v>
      </c>
      <c r="E101" s="2906">
        <f t="shared" si="31"/>
        <v>0.68</v>
      </c>
      <c r="F101" s="2906">
        <f t="shared" si="31"/>
        <v>0.68</v>
      </c>
      <c r="G101" s="2906">
        <f t="shared" si="31"/>
        <v>0.68</v>
      </c>
      <c r="H101" s="2906">
        <f t="shared" si="31"/>
        <v>0.68</v>
      </c>
      <c r="I101" s="2906">
        <f t="shared" si="31"/>
        <v>0.68</v>
      </c>
      <c r="J101" s="2906">
        <f t="shared" si="31"/>
        <v>0.68</v>
      </c>
      <c r="K101" s="2906">
        <f t="shared" si="31"/>
        <v>0.68</v>
      </c>
      <c r="L101" s="2906">
        <f t="shared" si="31"/>
        <v>0.68</v>
      </c>
      <c r="M101" s="2906">
        <f t="shared" si="31"/>
        <v>0.68</v>
      </c>
      <c r="N101" s="2906">
        <f t="shared" si="31"/>
        <v>0.68</v>
      </c>
    </row>
    <row r="102" spans="1:14">
      <c r="A102" s="3259"/>
      <c r="B102" s="2901">
        <v>1</v>
      </c>
      <c r="C102" s="2902">
        <f>1.9362/C101</f>
        <v>2.8473529411764704</v>
      </c>
      <c r="D102" s="2902">
        <f>1.9362/D101</f>
        <v>2.8473529411764704</v>
      </c>
      <c r="E102" s="2902">
        <f>1.8629/E101</f>
        <v>2.7395588235294115</v>
      </c>
      <c r="F102" s="2902">
        <f>1.8629/F101</f>
        <v>2.7395588235294115</v>
      </c>
      <c r="G102" s="2902">
        <f>1.8629/G101</f>
        <v>2.7395588235294115</v>
      </c>
      <c r="H102" s="2902">
        <f>1.8629/H101</f>
        <v>2.7395588235294115</v>
      </c>
      <c r="I102" s="2902">
        <f>1.8629/I101</f>
        <v>2.7395588235294115</v>
      </c>
      <c r="J102" s="2902">
        <f>1.942/J101</f>
        <v>2.8558823529411761</v>
      </c>
      <c r="K102" s="2902">
        <f>1.942/K101</f>
        <v>2.8558823529411761</v>
      </c>
      <c r="L102" s="2902">
        <f>1.942/L101</f>
        <v>2.8558823529411761</v>
      </c>
      <c r="M102" s="2902">
        <f>1.942/M101</f>
        <v>2.8558823529411761</v>
      </c>
      <c r="N102" s="2902">
        <f>1.942/N101</f>
        <v>2.8558823529411761</v>
      </c>
    </row>
    <row r="103" spans="1:14">
      <c r="A103" s="3259"/>
      <c r="B103" s="2901">
        <v>2</v>
      </c>
      <c r="C103" s="2902">
        <f>1.4198/C101</f>
        <v>2.0879411764705882</v>
      </c>
      <c r="D103" s="2902">
        <f>1.4198/D101</f>
        <v>2.0879411764705882</v>
      </c>
      <c r="E103" s="2902">
        <f>1.3372/E101</f>
        <v>1.966470588235294</v>
      </c>
      <c r="F103" s="2902">
        <f>1.3372/F101</f>
        <v>1.966470588235294</v>
      </c>
      <c r="G103" s="2902">
        <f>1.3372/G101</f>
        <v>1.966470588235294</v>
      </c>
      <c r="H103" s="2902">
        <f>1.3372/H101</f>
        <v>1.966470588235294</v>
      </c>
      <c r="I103" s="2902">
        <f>1.3372/I101</f>
        <v>1.966470588235294</v>
      </c>
      <c r="J103" s="2902">
        <f>1.2799/J101</f>
        <v>1.8822058823529411</v>
      </c>
      <c r="K103" s="2902">
        <f>1.2799/K101</f>
        <v>1.8822058823529411</v>
      </c>
      <c r="L103" s="2902">
        <f>1.2799/L101</f>
        <v>1.8822058823529411</v>
      </c>
      <c r="M103" s="2902">
        <f>1.2799/M101</f>
        <v>1.8822058823529411</v>
      </c>
      <c r="N103" s="2902">
        <f>1.2799/N101</f>
        <v>1.8822058823529411</v>
      </c>
    </row>
    <row r="104" spans="1:14">
      <c r="A104" s="3259"/>
      <c r="B104" s="2901">
        <v>3</v>
      </c>
      <c r="C104" s="2902">
        <f>1.1594/C101</f>
        <v>1.7049999999999998</v>
      </c>
      <c r="D104" s="2902">
        <f>1.1594/D101</f>
        <v>1.7049999999999998</v>
      </c>
      <c r="E104" s="2902">
        <f>1.0788/E101</f>
        <v>1.5864705882352941</v>
      </c>
      <c r="F104" s="2902">
        <f>1.0788/F101</f>
        <v>1.5864705882352941</v>
      </c>
      <c r="G104" s="2902">
        <f>1.0788/G101</f>
        <v>1.5864705882352941</v>
      </c>
      <c r="H104" s="2902">
        <f>1.0788/H101</f>
        <v>1.5864705882352941</v>
      </c>
      <c r="I104" s="2902">
        <f>1.0788/I101</f>
        <v>1.5864705882352941</v>
      </c>
      <c r="J104" s="2902">
        <f>1.0072/J101</f>
        <v>1.4811764705882353</v>
      </c>
      <c r="K104" s="2902">
        <f>1.0072/K101</f>
        <v>1.4811764705882353</v>
      </c>
      <c r="L104" s="2902">
        <f>1.0072/L101</f>
        <v>1.4811764705882353</v>
      </c>
      <c r="M104" s="2902">
        <f>1.0072/M101</f>
        <v>1.4811764705882353</v>
      </c>
      <c r="N104" s="2902">
        <f>1.0072/N101</f>
        <v>1.4811764705882353</v>
      </c>
    </row>
    <row r="105" spans="1:14">
      <c r="A105" s="3259"/>
      <c r="B105" s="2901">
        <v>4</v>
      </c>
      <c r="C105" s="2902">
        <f>0.9622/C101</f>
        <v>1.415</v>
      </c>
      <c r="D105" s="2902">
        <f>0.9622/D101</f>
        <v>1.415</v>
      </c>
      <c r="E105" s="2902">
        <f>0.8656/E101</f>
        <v>1.2729411764705882</v>
      </c>
      <c r="F105" s="2902">
        <f>0.8656/F101</f>
        <v>1.2729411764705882</v>
      </c>
      <c r="G105" s="2902">
        <f>0.8656/G101</f>
        <v>1.2729411764705882</v>
      </c>
      <c r="H105" s="2902">
        <f>0.8656/H101</f>
        <v>1.2729411764705882</v>
      </c>
      <c r="I105" s="2902">
        <f>0.8656/I101</f>
        <v>1.2729411764705882</v>
      </c>
      <c r="J105" s="2902">
        <f>0.7525/J101</f>
        <v>1.1066176470588234</v>
      </c>
      <c r="K105" s="2902">
        <f>0.7525/K101</f>
        <v>1.1066176470588234</v>
      </c>
      <c r="L105" s="2902">
        <f>0.7525/L101</f>
        <v>1.1066176470588234</v>
      </c>
      <c r="M105" s="2902">
        <f>0.7525/M101</f>
        <v>1.1066176470588234</v>
      </c>
      <c r="N105" s="2902">
        <f>0.7525/N101</f>
        <v>1.1066176470588234</v>
      </c>
    </row>
    <row r="106" spans="1:14">
      <c r="A106" s="3259"/>
      <c r="B106" s="2901">
        <v>5</v>
      </c>
      <c r="C106" s="2902">
        <f>0.8417/C101</f>
        <v>1.2377941176470588</v>
      </c>
      <c r="D106" s="2902">
        <f>0.8417/D101</f>
        <v>1.2377941176470588</v>
      </c>
      <c r="E106" s="2902">
        <f>0.7371/E101</f>
        <v>1.0839705882352939</v>
      </c>
      <c r="F106" s="2902">
        <f>0.7371/F101</f>
        <v>1.0839705882352939</v>
      </c>
      <c r="G106" s="2902">
        <f>0.7371/G101</f>
        <v>1.0839705882352939</v>
      </c>
      <c r="H106" s="2902">
        <f>0.7371/H101</f>
        <v>1.0839705882352939</v>
      </c>
      <c r="I106" s="2902">
        <f>0.7371/I101</f>
        <v>1.0839705882352939</v>
      </c>
      <c r="J106" s="2902">
        <f>0.5659/J101</f>
        <v>0.83220588235294102</v>
      </c>
      <c r="K106" s="2902">
        <f>0.5659/K101</f>
        <v>0.83220588235294102</v>
      </c>
      <c r="L106" s="2902">
        <f>0.5659/L101</f>
        <v>0.83220588235294102</v>
      </c>
      <c r="M106" s="2902">
        <f>0.5659/M101</f>
        <v>0.83220588235294102</v>
      </c>
      <c r="N106" s="2902">
        <f>0.5659/N101</f>
        <v>0.83220588235294102</v>
      </c>
    </row>
    <row r="107" spans="1:14">
      <c r="A107" s="3259"/>
      <c r="B107" s="2901">
        <v>6</v>
      </c>
      <c r="C107" s="2902">
        <f>0.7608/C101</f>
        <v>1.1188235294117648</v>
      </c>
      <c r="D107" s="2902">
        <f>0.7608/D101</f>
        <v>1.1188235294117648</v>
      </c>
      <c r="E107" s="2902">
        <f>0.6482/E101</f>
        <v>0.95323529411764696</v>
      </c>
      <c r="F107" s="2902">
        <f>0.6482/F101</f>
        <v>0.95323529411764696</v>
      </c>
      <c r="G107" s="2902">
        <f>0.6482/G101</f>
        <v>0.95323529411764696</v>
      </c>
      <c r="H107" s="2902">
        <f>0.6482/H101</f>
        <v>0.95323529411764696</v>
      </c>
      <c r="I107" s="2902">
        <f>0.6482/I101</f>
        <v>0.95323529411764696</v>
      </c>
      <c r="J107" s="2902">
        <f>0.4525/J101</f>
        <v>0.6654411764705882</v>
      </c>
      <c r="K107" s="2902">
        <f>0.4525/K101</f>
        <v>0.6654411764705882</v>
      </c>
      <c r="L107" s="2902">
        <f>0.4525/L101</f>
        <v>0.6654411764705882</v>
      </c>
      <c r="M107" s="2902">
        <f>0.4525/M101</f>
        <v>0.6654411764705882</v>
      </c>
      <c r="N107" s="2902">
        <f>0.4525/N101</f>
        <v>0.6654411764705882</v>
      </c>
    </row>
    <row r="108" spans="1:14">
      <c r="A108" s="3259"/>
      <c r="B108" s="3117"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0"/>
      <c r="B109" s="3118"/>
      <c r="C109" s="2904">
        <f>(-0.163*(C108^2)-0.59*C108+7617)*(10^(-4))/C101</f>
        <v>1.1201470588235294</v>
      </c>
      <c r="D109" s="2904">
        <f>(-0.163*(D108^2)-0.59*D108+7617)*(10^(-4))/D101</f>
        <v>1.1201470588235294</v>
      </c>
      <c r="E109" s="2904">
        <f>(-0.161*(E108^2)-7.509*E108+6533)*(10^(-4))/E101</f>
        <v>0.96073529411764702</v>
      </c>
      <c r="F109" s="2904">
        <f>(-0.161*(F108^2)-7.509*F108+6533)*(10^(-4))/F101</f>
        <v>0.96073529411764702</v>
      </c>
      <c r="G109" s="2904">
        <f>(-0.161*(G108^2)-7.509*G108+6533)*(10^(-4))/G101</f>
        <v>0.96073529411764702</v>
      </c>
      <c r="H109" s="2904">
        <f>(-0.161*(H108^2)-7.509*H108+6533)*(10^(-4))/H101</f>
        <v>0.96073529411764702</v>
      </c>
      <c r="I109" s="2904">
        <f>(-0.161*(I108^2)-7.509*I108+6533)*(10^(-4))/I101</f>
        <v>0.96073529411764702</v>
      </c>
      <c r="J109" s="2904">
        <f>(-0.214*(J108^2)-21.991*J108+4665)*(10^(-4))/J101</f>
        <v>0.68602941176470589</v>
      </c>
      <c r="K109" s="2904">
        <f>(-0.214*(K108^2)-21.991*K108+4665)*(10^(-4))/K101</f>
        <v>0.68602941176470589</v>
      </c>
      <c r="L109" s="2904">
        <f>(-0.214*(L108^2)-21.991*L108+4665)*(10^(-4))/L101</f>
        <v>0.68602941176470589</v>
      </c>
      <c r="M109" s="2904">
        <f>(-0.214*(M108^2)-21.991*M108+4665)*(10^(-4))/M101</f>
        <v>0.68602941176470589</v>
      </c>
      <c r="N109" s="2904">
        <f>(-0.214*(N108^2)-21.991*N108+4665)*(10^(-4))/N101</f>
        <v>0.68602941176470589</v>
      </c>
    </row>
    <row r="110" spans="1:14">
      <c r="A110" s="3256" t="s">
        <v>2972</v>
      </c>
      <c r="B110" s="3256"/>
      <c r="C110" s="3256"/>
      <c r="D110" s="3256"/>
      <c r="E110" s="3256"/>
      <c r="F110" s="3256"/>
      <c r="G110" s="3256"/>
      <c r="H110" s="3256"/>
      <c r="I110" s="3256"/>
      <c r="J110" s="3256"/>
      <c r="K110" s="2907"/>
      <c r="L110" s="2907"/>
      <c r="M110" s="2907"/>
      <c r="N110" s="2907"/>
    </row>
    <row r="112" spans="1:14" ht="13.5" thickBot="1"/>
    <row r="113" spans="1:13" ht="25.5" thickBot="1">
      <c r="A113" s="903" t="s">
        <v>2973</v>
      </c>
      <c r="B113" s="1290">
        <f>G3</f>
        <v>0.68</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3">I115</f>
        <v>0.67849999999999999</v>
      </c>
      <c r="K115" s="910">
        <f t="shared" si="33"/>
        <v>0.67849999999999999</v>
      </c>
      <c r="L115" s="910">
        <f t="shared" si="33"/>
        <v>0.67849999999999999</v>
      </c>
      <c r="M115" s="911">
        <f t="shared" si="33"/>
        <v>0.67849999999999999</v>
      </c>
    </row>
    <row r="116" spans="1:13">
      <c r="A116" s="909" t="s">
        <v>2870</v>
      </c>
      <c r="B116" s="910">
        <f>ROUND(0.949-0.012*B113,4)</f>
        <v>0.94079999999999997</v>
      </c>
      <c r="C116" s="910">
        <f>B116</f>
        <v>0.94079999999999997</v>
      </c>
      <c r="D116" s="910">
        <f>ROUND(0.8567-0.013*B113,4)</f>
        <v>0.84789999999999999</v>
      </c>
      <c r="E116" s="910">
        <f t="shared" ref="E116:H117" si="34">D116</f>
        <v>0.84789999999999999</v>
      </c>
      <c r="F116" s="910">
        <f t="shared" si="34"/>
        <v>0.84789999999999999</v>
      </c>
      <c r="G116" s="910">
        <f t="shared" si="34"/>
        <v>0.84789999999999999</v>
      </c>
      <c r="H116" s="910">
        <f t="shared" si="34"/>
        <v>0.84789999999999999</v>
      </c>
      <c r="I116" s="910">
        <f>ROUND(0.7694-0.014*B113,4)</f>
        <v>0.75990000000000002</v>
      </c>
      <c r="J116" s="910">
        <f t="shared" si="33"/>
        <v>0.75990000000000002</v>
      </c>
      <c r="K116" s="910">
        <f t="shared" si="33"/>
        <v>0.75990000000000002</v>
      </c>
      <c r="L116" s="910">
        <f t="shared" si="33"/>
        <v>0.75990000000000002</v>
      </c>
      <c r="M116" s="911">
        <f t="shared" si="33"/>
        <v>0.75990000000000002</v>
      </c>
    </row>
    <row r="117" spans="1:13">
      <c r="A117" s="909" t="s">
        <v>2871</v>
      </c>
      <c r="B117" s="910">
        <f>ROUND(0.8808-0.006*B113,4)</f>
        <v>0.87670000000000003</v>
      </c>
      <c r="C117" s="910">
        <f>B117</f>
        <v>0.87670000000000003</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0.73470000000000002</v>
      </c>
      <c r="J117" s="910">
        <f t="shared" si="33"/>
        <v>0.73470000000000002</v>
      </c>
      <c r="K117" s="910">
        <f t="shared" si="33"/>
        <v>0.73470000000000002</v>
      </c>
      <c r="L117" s="910">
        <f t="shared" si="33"/>
        <v>0.73470000000000002</v>
      </c>
      <c r="M117" s="911">
        <f t="shared" si="33"/>
        <v>0.73470000000000002</v>
      </c>
    </row>
    <row r="118" spans="1:13" ht="13.5" thickBot="1">
      <c r="A118" s="714" t="s">
        <v>2872</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3"/>
        <v>0.5575</v>
      </c>
      <c r="K118" s="912">
        <f t="shared" si="33"/>
        <v>0.5575</v>
      </c>
      <c r="L118" s="912">
        <f t="shared" si="33"/>
        <v>0.5575</v>
      </c>
      <c r="M118" s="913">
        <f t="shared" si="33"/>
        <v>0.5575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0" t="s">
        <v>1146</v>
      </c>
      <c r="C1" s="3270"/>
      <c r="D1" s="3270"/>
      <c r="E1" s="3270"/>
      <c r="F1" s="3270"/>
      <c r="G1" s="3269" t="s">
        <v>1147</v>
      </c>
      <c r="H1" s="3269"/>
      <c r="I1" s="3269"/>
      <c r="J1" s="3269"/>
      <c r="K1" s="3269"/>
      <c r="L1" s="3269"/>
      <c r="N1" s="3269" t="s">
        <v>1148</v>
      </c>
      <c r="O1" s="3269"/>
      <c r="P1" s="3269"/>
      <c r="Q1" s="3269"/>
      <c r="R1" s="1449"/>
      <c r="S1" s="3269" t="s">
        <v>1149</v>
      </c>
      <c r="T1" s="3269"/>
      <c r="U1" s="3269"/>
      <c r="V1" s="3269"/>
      <c r="X1" s="3268" t="s">
        <v>1150</v>
      </c>
      <c r="Y1" s="3269"/>
      <c r="Z1" s="3269"/>
      <c r="AA1" s="3269"/>
      <c r="AB1" s="3269"/>
      <c r="AD1" s="3268" t="s">
        <v>1151</v>
      </c>
      <c r="AE1" s="3269"/>
      <c r="AF1" s="3269"/>
      <c r="AG1" s="3269"/>
      <c r="AH1" s="326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3030</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3031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3026</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5">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6">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6">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7">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5">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6">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6">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3"/>
      <c r="B4" s="2962" t="s">
        <v>1626</v>
      </c>
      <c r="C4" s="2962"/>
      <c r="D4" s="2962"/>
      <c r="E4" s="1963"/>
    </row>
    <row r="5" spans="1:5" ht="16.5" thickTop="1">
      <c r="A5" s="1961"/>
      <c r="B5" s="2960" t="s">
        <v>1618</v>
      </c>
      <c r="C5" s="1964" t="s">
        <v>1619</v>
      </c>
      <c r="D5" s="1043">
        <f ca="1">结果表!H101</f>
        <v>10052</v>
      </c>
      <c r="E5" s="1961"/>
    </row>
    <row r="6" spans="1:5" ht="15.75">
      <c r="A6" s="1961"/>
      <c r="B6" s="2960"/>
      <c r="C6" s="1964" t="s">
        <v>1620</v>
      </c>
      <c r="D6" s="1043" t="str">
        <f ca="1">NUMBERSTRING(INT(D5*10000),2)&amp;"元整"</f>
        <v>壹亿零伍拾贰万元整</v>
      </c>
      <c r="E6" s="1961"/>
    </row>
    <row r="7" spans="1:5" ht="15.75">
      <c r="A7" s="1961"/>
      <c r="B7" s="2965"/>
      <c r="C7" s="1965" t="s">
        <v>1621</v>
      </c>
      <c r="D7" s="1044">
        <f ca="1">结果表!H102</f>
        <v>13766</v>
      </c>
      <c r="E7" s="1961"/>
    </row>
    <row r="8" spans="1:5" ht="15.75">
      <c r="A8" s="1961"/>
      <c r="B8" s="2966" t="str">
        <f>结果表!E103</f>
        <v>2.估价师知悉的法定优先受偿款</v>
      </c>
      <c r="C8" s="1966" t="s">
        <v>1622</v>
      </c>
      <c r="D8" s="1044">
        <f>结果表!H103</f>
        <v>0</v>
      </c>
      <c r="E8" s="1961"/>
    </row>
    <row r="9" spans="1:5" ht="15.75">
      <c r="A9" s="1961"/>
      <c r="B9" s="296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9" t="str">
        <f>结果表!E107</f>
        <v>3.房地产抵押价值</v>
      </c>
      <c r="C13" s="1969" t="s">
        <v>1619</v>
      </c>
      <c r="D13" s="1046">
        <f ca="1">结果表!H107</f>
        <v>10052</v>
      </c>
      <c r="E13" s="1961"/>
    </row>
    <row r="14" spans="1:5" ht="15.75">
      <c r="A14" s="1961"/>
      <c r="B14" s="2960"/>
      <c r="C14" s="1964" t="s">
        <v>1620</v>
      </c>
      <c r="D14" s="1043" t="str">
        <f ca="1">NUMBERSTRING(INT(D13*10000),2)&amp;"元整"</f>
        <v>壹亿零伍拾贰万元整</v>
      </c>
      <c r="E14" s="1961"/>
    </row>
    <row r="15" spans="1:5" ht="15">
      <c r="A15" s="1961"/>
      <c r="B15" s="2965"/>
      <c r="C15" s="1965" t="s">
        <v>1630</v>
      </c>
      <c r="D15" s="1055">
        <f ca="1">结果表!H108</f>
        <v>13766</v>
      </c>
      <c r="E15" s="1961"/>
    </row>
    <row r="16" spans="1:5" ht="15">
      <c r="A16" s="1961"/>
      <c r="B16" s="2966" t="str">
        <f>结果表!E109</f>
        <v>——</v>
      </c>
      <c r="C16" s="1969" t="s">
        <v>1631</v>
      </c>
      <c r="D16" s="1970" t="str">
        <f>结果表!H109</f>
        <v>——</v>
      </c>
      <c r="E16" s="1961"/>
    </row>
    <row r="17" spans="1:5" ht="15.75">
      <c r="A17" s="1961"/>
      <c r="B17" s="2967"/>
      <c r="C17" s="1964" t="s">
        <v>1632</v>
      </c>
      <c r="D17" s="1043" t="e">
        <f>NUMBERSTRING(INT(D16*10000),2)&amp;"元整"</f>
        <v>#VALUE!</v>
      </c>
      <c r="E17" s="1961"/>
    </row>
    <row r="18" spans="1:5" ht="15">
      <c r="A18" s="1961"/>
      <c r="B18" s="2968"/>
      <c r="C18" s="1965" t="s">
        <v>1621</v>
      </c>
      <c r="D18" s="1055" t="str">
        <f>结果表!H110</f>
        <v>——</v>
      </c>
      <c r="E18" s="1961"/>
    </row>
    <row r="19" spans="1:5" ht="15.75">
      <c r="A19" s="1961"/>
      <c r="B19" s="2959" t="str">
        <f>结果表!E111</f>
        <v>——</v>
      </c>
      <c r="C19" s="1969" t="s">
        <v>1619</v>
      </c>
      <c r="D19" s="1044" t="str">
        <f>结果表!H111</f>
        <v>——</v>
      </c>
      <c r="E19" s="1961"/>
    </row>
    <row r="20" spans="1:5" ht="15.75">
      <c r="A20" s="1961"/>
      <c r="B20" s="2960"/>
      <c r="C20" s="1964" t="s">
        <v>1632</v>
      </c>
      <c r="D20" s="1043" t="e">
        <f>NUMBERSTRING(INT(D19*10000),2)&amp;"元整"</f>
        <v>#VALUE!</v>
      </c>
      <c r="E20" s="1961"/>
    </row>
    <row r="21" spans="1:5" ht="15.75" thickBot="1">
      <c r="A21" s="1961"/>
      <c r="B21" s="2961"/>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6" t="s">
        <v>2998</v>
      </c>
      <c r="D1" s="3277"/>
      <c r="E1" s="3277"/>
      <c r="F1" s="3277"/>
      <c r="G1" s="3277"/>
      <c r="H1" s="3277"/>
      <c r="I1" s="3277"/>
      <c r="J1" s="3277"/>
      <c r="K1" s="3277"/>
      <c r="L1" s="3277"/>
      <c r="M1" s="3277"/>
      <c r="N1" s="3277"/>
      <c r="O1" s="3277"/>
      <c r="P1" s="3277"/>
      <c r="Q1" s="3277"/>
      <c r="R1" s="3277"/>
      <c r="S1" s="3278"/>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4"/>
      <c r="F19" s="1794"/>
      <c r="G19" s="1794"/>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5"/>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9" t="s">
        <v>33</v>
      </c>
      <c r="D22" s="3140"/>
      <c r="E22" s="3140"/>
      <c r="F22" s="3140"/>
      <c r="G22" s="3140"/>
      <c r="H22" s="3140"/>
      <c r="I22" s="3140"/>
      <c r="J22" s="3140"/>
      <c r="K22" s="3140"/>
      <c r="L22" s="3140"/>
      <c r="M22" s="3140"/>
      <c r="N22" s="3140"/>
      <c r="O22" s="3140"/>
      <c r="P22" s="3140"/>
      <c r="Q22" s="327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31728</v>
      </c>
      <c r="C2" s="2" t="s">
        <v>133</v>
      </c>
      <c r="D2" s="243"/>
      <c r="E2" s="243"/>
      <c r="F2" s="243"/>
      <c r="G2" s="243"/>
    </row>
    <row r="3" spans="1:7" s="244" customFormat="1" ht="18" customHeight="1" thickBot="1">
      <c r="A3" s="247" t="s">
        <v>85</v>
      </c>
      <c r="B3" s="248">
        <f ca="1">ROUND(B2*10000/'数据-汇总表'!E3,0)</f>
        <v>43451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180</v>
      </c>
      <c r="F9" s="265"/>
      <c r="G9" s="270"/>
    </row>
    <row r="10" spans="1:7" s="258" customFormat="1" ht="13.5" customHeight="1">
      <c r="A10" s="953" t="s">
        <v>801</v>
      </c>
      <c r="B10" s="268" t="s">
        <v>94</v>
      </c>
      <c r="C10" s="269">
        <f>ROUND(D10*E10/10000,0)</f>
        <v>131</v>
      </c>
      <c r="D10" s="1035">
        <f>'数据-汇总表'!E6</f>
        <v>7302.06</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146</v>
      </c>
      <c r="D19" s="1039">
        <f>'数据-汇总表'!E3</f>
        <v>7302.06</v>
      </c>
      <c r="E19" s="255">
        <f>'数据-取费表'!B31</f>
        <v>200</v>
      </c>
      <c r="F19" s="275"/>
      <c r="G19" s="1" t="s">
        <v>1071</v>
      </c>
    </row>
    <row r="20" spans="1:7" s="258" customFormat="1" ht="13.5" customHeight="1">
      <c r="A20" s="951" t="s">
        <v>1054</v>
      </c>
      <c r="B20" s="254" t="s">
        <v>104</v>
      </c>
      <c r="C20" s="276">
        <f>ROUND((C5+C19)*F20,0)</f>
        <v>623</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1519</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3207</v>
      </c>
      <c r="D27" s="279">
        <f>C29</f>
        <v>4.4999999999999997E-3</v>
      </c>
      <c r="E27" s="280" t="s">
        <v>126</v>
      </c>
      <c r="F27" s="290">
        <f>'数据-取费表'!Q16</f>
        <v>0.15</v>
      </c>
      <c r="G27" s="291" t="s">
        <v>1066</v>
      </c>
    </row>
    <row r="28" spans="1:7" s="258" customFormat="1" ht="13.5" customHeight="1">
      <c r="A28" s="954" t="s">
        <v>794</v>
      </c>
      <c r="B28" s="292" t="s">
        <v>1059</v>
      </c>
      <c r="C28" s="293">
        <f>ROUND((C5+C19+C20)*F27*'数据-取费表'!B21/'数据-取费表'!B20,0)</f>
        <v>3207</v>
      </c>
      <c r="D28" s="279"/>
      <c r="E28" s="280"/>
      <c r="F28" s="290"/>
      <c r="G28" s="291"/>
    </row>
    <row r="29" spans="1:7" s="258" customFormat="1" ht="13.5" customHeight="1">
      <c r="A29" s="954" t="s">
        <v>792</v>
      </c>
      <c r="B29" s="292" t="s">
        <v>1060</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2868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2556</v>
      </c>
      <c r="D34" s="261"/>
      <c r="E34" s="264"/>
      <c r="F34" s="301">
        <f>IF('数据-取费表'!B24=0,1,'数据-取费表'!N16)</f>
        <v>1</v>
      </c>
      <c r="G34" s="263" t="s">
        <v>116</v>
      </c>
    </row>
    <row r="35" spans="1:7" ht="13.5" customHeight="1">
      <c r="A35" s="954" t="s">
        <v>796</v>
      </c>
      <c r="B35" s="259" t="s">
        <v>60</v>
      </c>
      <c r="C35" s="264">
        <f>ROUND(C34*F35,0)</f>
        <v>128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146</v>
      </c>
      <c r="D37" s="261">
        <f>'数据-汇总表'!E3</f>
        <v>7302.06</v>
      </c>
      <c r="E37" s="293">
        <f>'数据-取费表'!B35</f>
        <v>200</v>
      </c>
      <c r="F37" s="303"/>
      <c r="G37" s="305" t="s">
        <v>119</v>
      </c>
    </row>
    <row r="38" spans="1:7" ht="13.5" customHeight="1">
      <c r="A38" s="954" t="s">
        <v>799</v>
      </c>
      <c r="B38" s="259" t="s">
        <v>63</v>
      </c>
      <c r="C38" s="264">
        <f>ROUND(C34*F38,0)</f>
        <v>38</v>
      </c>
      <c r="D38" s="264"/>
      <c r="E38" s="264"/>
      <c r="F38" s="303">
        <f>'数据-取费表'!B36</f>
        <v>1.4999999999999999E-2</v>
      </c>
      <c r="G38" s="263" t="s">
        <v>117</v>
      </c>
    </row>
    <row r="39" spans="1:7" s="258" customFormat="1" ht="13.5" customHeight="1">
      <c r="A39" s="951" t="s">
        <v>783</v>
      </c>
      <c r="B39" s="254" t="s">
        <v>104</v>
      </c>
      <c r="C39" s="276">
        <f>ROUND(C33*F20,0)</f>
        <v>86</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105</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102</v>
      </c>
      <c r="D42" s="282"/>
      <c r="E42" s="282"/>
      <c r="F42" s="283"/>
      <c r="G42" s="3144" t="s">
        <v>121</v>
      </c>
    </row>
    <row r="43" spans="1:7" ht="13.5" customHeight="1">
      <c r="A43" s="954" t="s">
        <v>792</v>
      </c>
      <c r="B43" s="259" t="s">
        <v>1061</v>
      </c>
      <c r="C43" s="282">
        <f ca="1">ROUND(IF('数据-取费表'!B22&lt;=1,C39*F22*'数据-取费表'!B21/2,C39*(POWER((1+F22),'数据-取费表'!B21/2)-1)),0)</f>
        <v>3</v>
      </c>
      <c r="D43" s="282"/>
      <c r="E43" s="282"/>
      <c r="F43" s="283"/>
      <c r="G43" s="3145"/>
    </row>
    <row r="44" spans="1:7" ht="13.5" customHeight="1">
      <c r="A44" s="954" t="s">
        <v>793</v>
      </c>
      <c r="B44" s="259" t="s">
        <v>1063</v>
      </c>
      <c r="C44" s="282">
        <f ca="1">ROUND(IF('数据-取费表'!B22&lt;=1,C40*F22*'数据-取费表'!B21/2,C40*(POWER((1+F22),'数据-取费表'!B21/2)-1)),4)</f>
        <v>1.1000000000000001E-3</v>
      </c>
      <c r="D44" s="282"/>
      <c r="E44" s="282"/>
      <c r="F44" s="283"/>
      <c r="G44" s="3146"/>
    </row>
    <row r="45" spans="1:7" s="258" customFormat="1" ht="13.5" customHeight="1">
      <c r="A45" s="951" t="s">
        <v>786</v>
      </c>
      <c r="B45" s="288" t="s">
        <v>112</v>
      </c>
      <c r="C45" s="289">
        <f>C46</f>
        <v>443</v>
      </c>
      <c r="D45" s="279">
        <f>C47</f>
        <v>4.4999999999999997E-3</v>
      </c>
      <c r="E45" s="280" t="s">
        <v>129</v>
      </c>
      <c r="F45" s="290"/>
      <c r="G45" s="291" t="s">
        <v>1069</v>
      </c>
    </row>
    <row r="46" spans="1:7" s="258" customFormat="1" ht="13.5" customHeight="1">
      <c r="A46" s="954" t="s">
        <v>794</v>
      </c>
      <c r="B46" s="292" t="s">
        <v>1062</v>
      </c>
      <c r="C46" s="293">
        <f>ROUND((C33+C39)*F27,0)</f>
        <v>443</v>
      </c>
      <c r="D46" s="307"/>
      <c r="E46" s="280"/>
      <c r="F46" s="290"/>
      <c r="G46" s="291"/>
    </row>
    <row r="47" spans="1:7" s="258" customFormat="1" ht="13.5" customHeight="1">
      <c r="A47" s="954" t="s">
        <v>792</v>
      </c>
      <c r="B47" s="292" t="s">
        <v>1064</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3844</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3075</v>
      </c>
      <c r="D51" s="276"/>
      <c r="E51" s="276"/>
      <c r="F51" s="308"/>
      <c r="G51" s="278" t="s">
        <v>64</v>
      </c>
    </row>
    <row r="52" spans="1:7" s="252" customFormat="1" ht="16.5" thickBot="1">
      <c r="A52" s="309" t="s">
        <v>65</v>
      </c>
      <c r="B52" s="310"/>
      <c r="C52" s="311">
        <f ca="1">C31+C51</f>
        <v>31728</v>
      </c>
      <c r="D52" s="310"/>
      <c r="E52" s="310"/>
      <c r="F52" s="310"/>
      <c r="G52" s="312"/>
    </row>
    <row r="55" spans="1:7" ht="15">
      <c r="B55" s="314" t="s">
        <v>66</v>
      </c>
      <c r="C55" s="315"/>
    </row>
    <row r="56" spans="1:7">
      <c r="B56" s="317" t="s">
        <v>67</v>
      </c>
      <c r="C56" s="318">
        <f ca="1">ROUND(C51/C52,3)</f>
        <v>9.7000000000000003E-2</v>
      </c>
    </row>
    <row r="57" spans="1:7">
      <c r="B57" s="317" t="s">
        <v>68</v>
      </c>
      <c r="C57" s="31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43462</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7" t="s">
        <v>1634</v>
      </c>
      <c r="E3" s="1047" t="s">
        <v>1640</v>
      </c>
      <c r="F3" s="1047" t="s">
        <v>1634</v>
      </c>
      <c r="G3" s="1047" t="s">
        <v>1635</v>
      </c>
      <c r="H3" s="1047" t="s">
        <v>1634</v>
      </c>
      <c r="I3" s="1047" t="s">
        <v>1635</v>
      </c>
    </row>
    <row r="4" spans="1:9" ht="15">
      <c r="A4" s="1975" t="str">
        <f>项目基本情况!S2</f>
        <v>房地产</v>
      </c>
      <c r="B4" s="1047">
        <f>项目基本情况!C17</f>
        <v>7302.06</v>
      </c>
      <c r="C4" s="1047">
        <f>项目基本情况!C18</f>
        <v>10665.64</v>
      </c>
      <c r="D4" s="1047">
        <f ca="1">结果表!D118</f>
        <v>6976</v>
      </c>
      <c r="E4" s="1047">
        <f ca="1">结果表!E118</f>
        <v>9553</v>
      </c>
      <c r="F4" s="1047">
        <f ca="1">结果表!F118</f>
        <v>3076</v>
      </c>
      <c r="G4" s="1047">
        <f ca="1">结果表!G118</f>
        <v>4213</v>
      </c>
      <c r="H4" s="1047">
        <f ca="1">结果表!H118</f>
        <v>10052</v>
      </c>
      <c r="I4" s="1047">
        <f ca="1">结果表!I118</f>
        <v>13766</v>
      </c>
    </row>
    <row r="5" spans="1:9" ht="30" customHeight="1">
      <c r="A5" s="2973" t="s">
        <v>1636</v>
      </c>
      <c r="B5" s="2973"/>
      <c r="C5" s="2973"/>
      <c r="D5" s="2974" t="str">
        <f ca="1">结果表!D119</f>
        <v>陆仟玖佰柒拾陆万元整</v>
      </c>
      <c r="E5" s="2974"/>
      <c r="F5" s="2974" t="str">
        <f ca="1">结果表!F119</f>
        <v>叁仟零柒拾陆万元整</v>
      </c>
      <c r="G5" s="2974"/>
      <c r="H5" s="2974" t="str">
        <f ca="1">结果表!H119</f>
        <v>壹亿零伍拾贰万元整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1636</v>
      </c>
      <c r="B7" s="2973"/>
      <c r="C7" s="2973"/>
      <c r="D7" s="2975" t="str">
        <f>结果表!D121</f>
        <v>零元整</v>
      </c>
      <c r="E7" s="2976"/>
      <c r="F7" s="2976"/>
      <c r="G7" s="2976"/>
      <c r="H7" s="2976"/>
      <c r="I7" s="2977"/>
    </row>
    <row r="8" spans="1:9" ht="15.75">
      <c r="A8" s="2972" t="str">
        <f>结果表!A122</f>
        <v>房地产抵押价值</v>
      </c>
      <c r="B8" s="2972"/>
      <c r="C8" s="2972"/>
      <c r="D8" s="2972">
        <f ca="1">结果表!D122</f>
        <v>10052</v>
      </c>
      <c r="E8" s="2972"/>
      <c r="F8" s="2972"/>
      <c r="G8" s="2972"/>
      <c r="H8" s="2972"/>
      <c r="I8" s="2972"/>
    </row>
    <row r="9" spans="1:9" ht="15">
      <c r="A9" s="2973" t="s">
        <v>1636</v>
      </c>
      <c r="B9" s="2973"/>
      <c r="C9" s="2973"/>
      <c r="D9" s="2974" t="str">
        <f ca="1">结果表!D123</f>
        <v>壹亿零伍拾贰万元整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1636</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1636</v>
      </c>
      <c r="B13" s="2969"/>
      <c r="C13" s="2969"/>
      <c r="D13" s="2970" t="e">
        <f>结果表!D127</f>
        <v>#VALUE!</v>
      </c>
      <c r="E13" s="2970"/>
      <c r="F13" s="2970"/>
      <c r="G13" s="2970"/>
      <c r="H13" s="2970"/>
      <c r="I13" s="2970"/>
    </row>
    <row r="14" spans="1:9" ht="15" thickTop="1">
      <c r="A14" s="2971" t="s">
        <v>1641</v>
      </c>
      <c r="B14" s="2971"/>
      <c r="C14" s="2971"/>
      <c r="D14" s="2971"/>
      <c r="E14" s="2971"/>
      <c r="F14" s="2971"/>
      <c r="G14" s="2971"/>
      <c r="H14" s="2971"/>
      <c r="I14" s="2971"/>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6" t="s">
        <v>1658</v>
      </c>
      <c r="B1" s="2986"/>
      <c r="C1" s="2986"/>
      <c r="D1" s="2986"/>
    </row>
    <row r="2" spans="1:4" ht="18">
      <c r="A2" s="2987" t="s">
        <v>1642</v>
      </c>
      <c r="B2" s="2987"/>
      <c r="C2" s="2987"/>
      <c r="D2" s="2987"/>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2987" t="s">
        <v>1648</v>
      </c>
      <c r="B6" s="2987"/>
      <c r="C6" s="2987"/>
      <c r="D6" s="2987"/>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8" t="s">
        <v>1651</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5"/>
      <c r="C12" s="2985"/>
      <c r="D12" s="2985"/>
    </row>
    <row r="13" spans="1:4" ht="30" customHeight="1">
      <c r="A13" s="2980" t="str">
        <f>IF(项目基本情况!B8="抵押","3.抵押双方在办理抵押登记手续时，应使用本公司出具的正式《房地产评估报告》，特提醒报告使用者注意。","——")</f>
        <v>——</v>
      </c>
      <c r="B13" s="2985"/>
      <c r="C13" s="2985"/>
      <c r="D13" s="2985"/>
    </row>
    <row r="14" spans="1:4" ht="15.75" customHeight="1">
      <c r="A14" s="2980" t="str">
        <f>IF(项目基本情况!B8="抵押","4.本次评估估价师所知悉的法定优先受偿款情况说明如下：","——")</f>
        <v>——</v>
      </c>
      <c r="B14" s="2985"/>
      <c r="C14" s="2985"/>
      <c r="D14" s="2985"/>
    </row>
    <row r="15" spans="1:4" ht="42" customHeight="1">
      <c r="A15" s="2980" t="str">
        <f>IF(项目基本情况!B8="抵押","（1）"&amp;CONCATENATE(项目基本情况!L20,项目基本情况!L21,项目基本情况!L22),"——")</f>
        <v>——</v>
      </c>
      <c r="B15" s="2980"/>
      <c r="C15" s="2980"/>
      <c r="D15" s="2980"/>
    </row>
    <row r="16" spans="1:4" ht="30" customHeight="1">
      <c r="A16" s="2982" t="s">
        <v>1652</v>
      </c>
      <c r="B16" s="2982"/>
      <c r="C16" s="2982"/>
      <c r="D16" s="2982"/>
    </row>
    <row r="17" spans="1:4" ht="144" customHeight="1">
      <c r="A17" s="2982" t="s">
        <v>1653</v>
      </c>
      <c r="B17" s="2982"/>
      <c r="C17" s="2982"/>
      <c r="D17" s="2982"/>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1654</v>
      </c>
      <c r="B22" s="2984"/>
      <c r="C22" s="2984"/>
      <c r="D22" s="2984"/>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4" t="s">
        <v>1665</v>
      </c>
      <c r="B15" s="2989" t="s">
        <v>136</v>
      </c>
      <c r="C15" s="2990"/>
    </row>
    <row r="16" spans="1:7" ht="13.5">
      <c r="A16" s="2995"/>
      <c r="B16" s="2989" t="s">
        <v>69</v>
      </c>
      <c r="C16" s="2990"/>
    </row>
    <row r="17" spans="1:3" ht="13.5">
      <c r="A17" s="2995"/>
      <c r="B17" s="2992" t="s">
        <v>1666</v>
      </c>
      <c r="C17" s="2002" t="s">
        <v>1665</v>
      </c>
    </row>
    <row r="18" spans="1:3" ht="13.5">
      <c r="A18" s="2995"/>
      <c r="B18" s="2992"/>
      <c r="C18" s="2002" t="s">
        <v>1667</v>
      </c>
    </row>
    <row r="19" spans="1:3" ht="13.5">
      <c r="A19" s="2995"/>
      <c r="B19" s="2992"/>
      <c r="C19" s="2002" t="s">
        <v>1668</v>
      </c>
    </row>
    <row r="20" spans="1:3" ht="13.5">
      <c r="A20" s="2996"/>
      <c r="B20" s="2991" t="s">
        <v>1669</v>
      </c>
      <c r="C20" s="2990"/>
    </row>
    <row r="21" spans="1:3" ht="13.5">
      <c r="A21" s="2003" t="s">
        <v>1670</v>
      </c>
      <c r="B21" s="2004"/>
      <c r="C21" s="2005"/>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2" t="s">
        <v>1676</v>
      </c>
    </row>
    <row r="26" spans="1:3" ht="13.5">
      <c r="A26" s="2993"/>
      <c r="B26" s="2992"/>
      <c r="C26" s="2002" t="s">
        <v>1677</v>
      </c>
    </row>
    <row r="27" spans="1:3" ht="13.5">
      <c r="A27" s="2993"/>
      <c r="B27" s="2992"/>
      <c r="C27" s="2002" t="s">
        <v>1678</v>
      </c>
    </row>
    <row r="28" spans="1:3" ht="13.5">
      <c r="A28" s="2993"/>
      <c r="B28" s="2992"/>
      <c r="C28" s="2002" t="s">
        <v>1679</v>
      </c>
    </row>
    <row r="29" spans="1:3" ht="13.5">
      <c r="A29" s="2993"/>
      <c r="B29" s="2992"/>
      <c r="C29" s="2002" t="s">
        <v>1680</v>
      </c>
    </row>
    <row r="30" spans="1:3" ht="13.5">
      <c r="A30" s="2993"/>
      <c r="B30" s="2992"/>
      <c r="C30" s="2002" t="s">
        <v>1681</v>
      </c>
    </row>
    <row r="31" spans="1:3" ht="13.5">
      <c r="A31" s="2993"/>
      <c r="B31" s="2992"/>
      <c r="C31" s="2002" t="s">
        <v>1682</v>
      </c>
    </row>
    <row r="32" spans="1:3" ht="13.5">
      <c r="A32" s="2993"/>
      <c r="B32" s="2992"/>
      <c r="C32" s="2002" t="s">
        <v>1683</v>
      </c>
    </row>
    <row r="33" spans="1:3" ht="13.5">
      <c r="A33" s="2993"/>
      <c r="B33" s="299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6"/>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3039</v>
      </c>
      <c r="B14" s="1025">
        <f ca="1">IF(C14&lt;B2,"已过期",1120040230)</f>
        <v>1120040230</v>
      </c>
      <c r="C14" s="2351">
        <v>43835</v>
      </c>
      <c r="D14" s="2354" t="s">
        <v>3039</v>
      </c>
      <c r="E14" s="1025">
        <f ca="1">IF(F14&lt;B2,"已过期",98030020)</f>
        <v>98030020</v>
      </c>
      <c r="F14" s="1033">
        <v>47118</v>
      </c>
    </row>
    <row r="15" spans="1:6" ht="24" customHeight="1">
      <c r="A15" s="1705" t="s">
        <v>3040</v>
      </c>
      <c r="B15" s="1025">
        <f ca="1">IF(C15&lt;B2,"已过期",1120070085)</f>
        <v>1120070085</v>
      </c>
      <c r="C15" s="2351">
        <v>43814</v>
      </c>
      <c r="D15" s="2355" t="s">
        <v>3040</v>
      </c>
      <c r="E15" s="1025">
        <f ca="1">IF(F15&lt;B2,"已过期",2004110128)</f>
        <v>2004110128</v>
      </c>
      <c r="F15" s="1026">
        <v>47118</v>
      </c>
    </row>
    <row r="16" spans="1:6" ht="24" customHeight="1">
      <c r="A16" s="1704" t="s">
        <v>3041</v>
      </c>
      <c r="B16" s="1025">
        <f ca="1">IF(C16&lt;B2,"已过期",1120140022)</f>
        <v>1120140022</v>
      </c>
      <c r="C16" s="2946">
        <v>44029</v>
      </c>
      <c r="D16" s="2354" t="s">
        <v>3041</v>
      </c>
      <c r="E16" s="1025">
        <f ca="1">IF(F16&lt;B2,"已过期",2008110059)</f>
        <v>2008110059</v>
      </c>
      <c r="F16" s="1033">
        <v>47177</v>
      </c>
    </row>
    <row r="17" spans="1:7" ht="24" customHeight="1">
      <c r="A17" s="1704"/>
      <c r="B17" s="1025"/>
      <c r="C17" s="2351"/>
      <c r="D17" s="2354" t="s">
        <v>3042</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6">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2997" t="s">
        <v>843</v>
      </c>
      <c r="B25" s="2997"/>
      <c r="C25" s="2997"/>
      <c r="D25" s="2997"/>
      <c r="E25" s="2997"/>
      <c r="F25" s="2997"/>
      <c r="G25" s="2997"/>
    </row>
    <row r="26" spans="1:7" s="1028" customFormat="1" ht="24" customHeight="1">
      <c r="A26" s="2998" t="s">
        <v>844</v>
      </c>
      <c r="B26" s="2998"/>
      <c r="C26" s="2999"/>
      <c r="D26" s="3000" t="s">
        <v>845</v>
      </c>
      <c r="E26" s="2998"/>
      <c r="F26" s="2998"/>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2019-01-04T07:31:08Z</dcterms:modified>
</cp:coreProperties>
</file>