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I7" i="34"/>
  <c r="G7" i="34"/>
  <c r="E7" i="34"/>
  <c r="J53" i="15" l="1"/>
  <c r="E20" i="1"/>
  <c r="H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AA15" i="59" l="1"/>
  <c r="O18" i="59"/>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AB22" i="59" s="1"/>
  <c r="Q23" i="59"/>
  <c r="P22" i="59"/>
  <c r="P23" i="59"/>
  <c r="O22" i="59"/>
  <c r="O23" i="59"/>
  <c r="N22" i="59"/>
  <c r="N23" i="59"/>
  <c r="N24" i="59"/>
  <c r="O24" i="59"/>
  <c r="P24" i="59"/>
  <c r="Q24" i="59"/>
  <c r="AD23" i="59"/>
  <c r="AE23" i="59"/>
  <c r="AF23" i="59" s="1"/>
  <c r="AG23" i="59"/>
  <c r="AH23" i="59"/>
  <c r="M48" i="15"/>
  <c r="B2" i="1"/>
  <c r="F30" i="1" s="1"/>
  <c r="B24" i="1"/>
  <c r="J50" i="15"/>
  <c r="J51" i="15"/>
  <c r="B26" i="1"/>
  <c r="D18" i="1" s="1"/>
  <c r="AH24" i="59"/>
  <c r="AG24" i="59"/>
  <c r="AE24" i="59"/>
  <c r="AF24" i="59"/>
  <c r="AD24" i="59"/>
  <c r="AH25" i="59"/>
  <c r="AG25" i="59"/>
  <c r="AE25" i="59"/>
  <c r="AF25" i="59" s="1"/>
  <c r="AD25" i="59"/>
  <c r="Q25" i="59"/>
  <c r="P25" i="59"/>
  <c r="O25" i="59"/>
  <c r="N25" i="59"/>
  <c r="Q26" i="59"/>
  <c r="P26" i="59"/>
  <c r="O26" i="59"/>
  <c r="N26" i="59"/>
  <c r="D26" i="59"/>
  <c r="E25" i="59"/>
  <c r="E24" i="59" s="1"/>
  <c r="E23" i="59" s="1"/>
  <c r="E22" i="59" s="1"/>
  <c r="E21" i="59" s="1"/>
  <c r="E20" i="59" s="1"/>
  <c r="E19" i="59" s="1"/>
  <c r="E18" i="59" s="1"/>
  <c r="E17" i="59" s="1"/>
  <c r="F25" i="59"/>
  <c r="F24" i="59" s="1"/>
  <c r="C25" i="59"/>
  <c r="T25" i="59"/>
  <c r="A2" i="50"/>
  <c r="B16" i="60" s="1"/>
  <c r="V25" i="59"/>
  <c r="K60" i="15"/>
  <c r="P59" i="15" s="1"/>
  <c r="P72" i="15"/>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Y24" i="59" s="1"/>
  <c r="Z24" i="59" s="1"/>
  <c r="P28" i="59"/>
  <c r="Q28" i="59"/>
  <c r="N28" i="59"/>
  <c r="Y32" i="59"/>
  <c r="Z32" i="59"/>
  <c r="AA34" i="59"/>
  <c r="Z35" i="59"/>
  <c r="AA35" i="59"/>
  <c r="Z36" i="59"/>
  <c r="AA36" i="59"/>
  <c r="Y38" i="59"/>
  <c r="Z38" i="59" s="1"/>
  <c r="AA38" i="59"/>
  <c r="Y39"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E85" i="59"/>
  <c r="E84" i="59" s="1"/>
  <c r="E83" i="59" s="1"/>
  <c r="C85" i="59"/>
  <c r="D85" i="59"/>
  <c r="B85" i="59"/>
  <c r="F84" i="59"/>
  <c r="F83" i="59" s="1"/>
  <c r="B84" i="59"/>
  <c r="B83" i="59" s="1"/>
  <c r="D82" i="59"/>
  <c r="Q81" i="59"/>
  <c r="P81" i="59"/>
  <c r="O81" i="59"/>
  <c r="N81" i="59"/>
  <c r="F81" i="59"/>
  <c r="E81" i="59"/>
  <c r="U81" i="59" s="1"/>
  <c r="C81" i="59"/>
  <c r="T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S73" i="59" s="1"/>
  <c r="Q72" i="59"/>
  <c r="P72" i="59"/>
  <c r="O72" i="59"/>
  <c r="N72" i="59"/>
  <c r="B72" i="59"/>
  <c r="B71" i="59" s="1"/>
  <c r="Q71" i="59"/>
  <c r="P71" i="59"/>
  <c r="O71" i="59"/>
  <c r="N71" i="59"/>
  <c r="Q70" i="59"/>
  <c r="P70" i="59"/>
  <c r="O70" i="59"/>
  <c r="N70" i="59"/>
  <c r="D70" i="59"/>
  <c r="S69" i="59"/>
  <c r="P69" i="59"/>
  <c r="F69" i="59"/>
  <c r="F68" i="59" s="1"/>
  <c r="E69" i="59"/>
  <c r="C69" i="59"/>
  <c r="D69" i="59" s="1"/>
  <c r="B69" i="59"/>
  <c r="N69" i="59" s="1"/>
  <c r="F67" i="59"/>
  <c r="Q66" i="59" s="1"/>
  <c r="B68" i="59"/>
  <c r="B67" i="59" s="1"/>
  <c r="D66" i="59"/>
  <c r="Q65" i="59"/>
  <c r="P65" i="59"/>
  <c r="O65" i="59"/>
  <c r="N65" i="59"/>
  <c r="Q64" i="59"/>
  <c r="P64" i="59"/>
  <c r="O64" i="59"/>
  <c r="N64" i="59"/>
  <c r="F64" i="59"/>
  <c r="F65" i="59" s="1"/>
  <c r="V65" i="59" s="1"/>
  <c r="Q63" i="59"/>
  <c r="P63" i="59"/>
  <c r="O63" i="59"/>
  <c r="N63" i="59"/>
  <c r="Q62" i="59"/>
  <c r="F63" i="59"/>
  <c r="P62" i="59"/>
  <c r="E63" i="59" s="1"/>
  <c r="O62" i="59"/>
  <c r="C63" i="59" s="1"/>
  <c r="N62" i="59"/>
  <c r="B63" i="59"/>
  <c r="B64" i="59" s="1"/>
  <c r="D62" i="59"/>
  <c r="Q61" i="59"/>
  <c r="P61" i="59"/>
  <c r="O61" i="59"/>
  <c r="N61" i="59"/>
  <c r="Q60" i="59"/>
  <c r="P60" i="59"/>
  <c r="O60" i="59"/>
  <c r="N60" i="59"/>
  <c r="Q59" i="59"/>
  <c r="P59" i="59"/>
  <c r="O59" i="59"/>
  <c r="N59" i="59"/>
  <c r="E59" i="59"/>
  <c r="Q58" i="59"/>
  <c r="F59" i="59" s="1"/>
  <c r="P58" i="59"/>
  <c r="O58" i="59"/>
  <c r="C59" i="59" s="1"/>
  <c r="N58" i="59"/>
  <c r="B59" i="59" s="1"/>
  <c r="B60" i="59" s="1"/>
  <c r="B61" i="59" s="1"/>
  <c r="S61" i="59" s="1"/>
  <c r="D58" i="59"/>
  <c r="Q57" i="59"/>
  <c r="P57" i="59"/>
  <c r="O57" i="59"/>
  <c r="N57" i="59"/>
  <c r="Q56" i="59"/>
  <c r="P56" i="59"/>
  <c r="O56" i="59"/>
  <c r="N56" i="59"/>
  <c r="V57" i="59"/>
  <c r="Q55" i="59"/>
  <c r="P55" i="59"/>
  <c r="O55" i="59"/>
  <c r="N55" i="59"/>
  <c r="C55" i="59"/>
  <c r="Q54" i="59"/>
  <c r="F55" i="59" s="1"/>
  <c r="F56" i="59" s="1"/>
  <c r="F57" i="59" s="1"/>
  <c r="P54" i="59"/>
  <c r="E55" i="59" s="1"/>
  <c r="O54" i="59"/>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s="1"/>
  <c r="O50" i="59"/>
  <c r="C51" i="59"/>
  <c r="N50" i="59"/>
  <c r="B51" i="59"/>
  <c r="B52" i="59" s="1"/>
  <c r="B53" i="59"/>
  <c r="S53" i="59" s="1"/>
  <c r="D50" i="59"/>
  <c r="T49" i="59"/>
  <c r="Q49" i="59"/>
  <c r="P49" i="59"/>
  <c r="O49" i="59"/>
  <c r="N49" i="59"/>
  <c r="D49" i="59"/>
  <c r="Q48" i="59"/>
  <c r="P48" i="59"/>
  <c r="O48" i="59"/>
  <c r="N48" i="59"/>
  <c r="Q47" i="59"/>
  <c r="P47" i="59"/>
  <c r="O47" i="59"/>
  <c r="N47" i="59"/>
  <c r="F48" i="59"/>
  <c r="F49" i="59"/>
  <c r="V49" i="59" s="1"/>
  <c r="Q46" i="59"/>
  <c r="F47" i="59" s="1"/>
  <c r="P46" i="59"/>
  <c r="E47" i="59"/>
  <c r="O46" i="59"/>
  <c r="C47" i="59" s="1"/>
  <c r="N46" i="59"/>
  <c r="B47" i="59"/>
  <c r="B48" i="59"/>
  <c r="B49" i="59" s="1"/>
  <c r="S49" i="59" s="1"/>
  <c r="D46" i="59"/>
  <c r="Q45" i="59"/>
  <c r="P45" i="59"/>
  <c r="O45" i="59"/>
  <c r="N45" i="59"/>
  <c r="Q44" i="59"/>
  <c r="P44" i="59"/>
  <c r="O44" i="59"/>
  <c r="N44" i="59"/>
  <c r="Q43" i="59"/>
  <c r="P43" i="59"/>
  <c r="O43" i="59"/>
  <c r="N43" i="59"/>
  <c r="F44" i="59"/>
  <c r="F45" i="59" s="1"/>
  <c r="V45" i="59" s="1"/>
  <c r="Q42" i="59"/>
  <c r="F43" i="59" s="1"/>
  <c r="P42" i="59"/>
  <c r="E43" i="59" s="1"/>
  <c r="E44" i="59"/>
  <c r="E45" i="59" s="1"/>
  <c r="U45" i="59" s="1"/>
  <c r="O42" i="59"/>
  <c r="C43" i="59"/>
  <c r="D43" i="59" s="1"/>
  <c r="N42" i="59"/>
  <c r="B43" i="59" s="1"/>
  <c r="B44" i="59" s="1"/>
  <c r="B45" i="59" s="1"/>
  <c r="S45" i="59" s="1"/>
  <c r="D42" i="59"/>
  <c r="Q41" i="59"/>
  <c r="P41" i="59"/>
  <c r="O41" i="59"/>
  <c r="N41" i="59"/>
  <c r="Q40" i="59"/>
  <c r="P40" i="59"/>
  <c r="AA40" i="59"/>
  <c r="O40" i="59"/>
  <c r="Y40" i="59"/>
  <c r="Z40" i="59" s="1"/>
  <c r="N40" i="59"/>
  <c r="Z39" i="59"/>
  <c r="Q39" i="59"/>
  <c r="AB39" i="59" s="1"/>
  <c r="P39" i="59"/>
  <c r="AA39" i="59" s="1"/>
  <c r="O39" i="59"/>
  <c r="N39" i="59"/>
  <c r="X39" i="59" s="1"/>
  <c r="Q38" i="59"/>
  <c r="P38" i="59"/>
  <c r="E39" i="59" s="1"/>
  <c r="E40" i="59" s="1"/>
  <c r="E41" i="59" s="1"/>
  <c r="O38" i="59"/>
  <c r="C39" i="59"/>
  <c r="N38" i="59"/>
  <c r="D38" i="59"/>
  <c r="Q37" i="59"/>
  <c r="P37" i="59"/>
  <c r="AA37" i="59" s="1"/>
  <c r="O37" i="59"/>
  <c r="Y37" i="59" s="1"/>
  <c r="Z37" i="59" s="1"/>
  <c r="N37" i="59"/>
  <c r="Q36" i="59"/>
  <c r="AB36" i="59" s="1"/>
  <c r="P36" i="59"/>
  <c r="O36" i="59"/>
  <c r="Y36" i="59" s="1"/>
  <c r="N36" i="59"/>
  <c r="Q35" i="59"/>
  <c r="P35" i="59"/>
  <c r="O35" i="59"/>
  <c r="Y35" i="59" s="1"/>
  <c r="N35" i="59"/>
  <c r="Q34" i="59"/>
  <c r="F35" i="59" s="1"/>
  <c r="F36" i="59" s="1"/>
  <c r="F37" i="59" s="1"/>
  <c r="V37" i="59" s="1"/>
  <c r="P34" i="59"/>
  <c r="E35" i="59" s="1"/>
  <c r="E36" i="59" s="1"/>
  <c r="E37" i="59" s="1"/>
  <c r="U37" i="59" s="1"/>
  <c r="O34" i="59"/>
  <c r="Y7" i="59" s="1"/>
  <c r="Z7" i="59" s="1"/>
  <c r="N34" i="59"/>
  <c r="B35" i="59"/>
  <c r="B36" i="59" s="1"/>
  <c r="B37" i="59" s="1"/>
  <c r="S37" i="59" s="1"/>
  <c r="D34" i="59"/>
  <c r="Q33" i="59"/>
  <c r="AB33" i="59" s="1"/>
  <c r="P33" i="59"/>
  <c r="AA33" i="59" s="1"/>
  <c r="O33" i="59"/>
  <c r="N33" i="59"/>
  <c r="Q32" i="59"/>
  <c r="AB32" i="59" s="1"/>
  <c r="P32" i="59"/>
  <c r="AA32" i="59" s="1"/>
  <c r="O32" i="59"/>
  <c r="N32" i="59"/>
  <c r="Q31" i="59"/>
  <c r="P31" i="59"/>
  <c r="AA31" i="59" s="1"/>
  <c r="O31" i="59"/>
  <c r="N31" i="59"/>
  <c r="F31" i="59"/>
  <c r="F32" i="59" s="1"/>
  <c r="F33" i="59" s="1"/>
  <c r="V33" i="59" s="1"/>
  <c r="Q30" i="59"/>
  <c r="P30" i="59"/>
  <c r="O30" i="59"/>
  <c r="C31" i="59"/>
  <c r="N30" i="59"/>
  <c r="B31" i="59" s="1"/>
  <c r="B32" i="59" s="1"/>
  <c r="B33" i="59"/>
  <c r="S33" i="59" s="1"/>
  <c r="D30" i="59"/>
  <c r="O29" i="59"/>
  <c r="N29" i="59"/>
  <c r="C29" i="59"/>
  <c r="C32" i="59"/>
  <c r="D31" i="59"/>
  <c r="C40" i="59"/>
  <c r="D39" i="59"/>
  <c r="C44" i="59"/>
  <c r="P29" i="59"/>
  <c r="E29" i="59" s="1"/>
  <c r="E56" i="59"/>
  <c r="E57" i="59" s="1"/>
  <c r="U57" i="59" s="1"/>
  <c r="E60" i="59"/>
  <c r="E61" i="59" s="1"/>
  <c r="U61" i="59" s="1"/>
  <c r="E72" i="59"/>
  <c r="E71" i="59" s="1"/>
  <c r="Q29" i="59"/>
  <c r="N68" i="59"/>
  <c r="Q68" i="59"/>
  <c r="T69" i="59"/>
  <c r="O69" i="59"/>
  <c r="C68" i="59"/>
  <c r="T73" i="59"/>
  <c r="Q69" i="59"/>
  <c r="C76" i="59"/>
  <c r="D76" i="59" s="1"/>
  <c r="E76" i="59"/>
  <c r="E75" i="59" s="1"/>
  <c r="D77" i="59"/>
  <c r="C80" i="59"/>
  <c r="E80" i="59"/>
  <c r="E79" i="59" s="1"/>
  <c r="D81" i="59"/>
  <c r="C84" i="59"/>
  <c r="C88" i="59"/>
  <c r="D88" i="59" s="1"/>
  <c r="F29" i="59"/>
  <c r="AB26" i="59"/>
  <c r="AA27" i="59"/>
  <c r="C75" i="59"/>
  <c r="D75" i="59" s="1"/>
  <c r="C87" i="59"/>
  <c r="D87" i="59" s="1"/>
  <c r="C67" i="59"/>
  <c r="C45" i="59"/>
  <c r="T45" i="59" s="1"/>
  <c r="D44" i="59"/>
  <c r="C41" i="59"/>
  <c r="D41" i="59" s="1"/>
  <c r="D40" i="59"/>
  <c r="F28" i="59"/>
  <c r="V29" i="59"/>
  <c r="O67" i="59"/>
  <c r="T41" i="59"/>
  <c r="B86" i="43"/>
  <c r="B75" i="43"/>
  <c r="Q25" i="40"/>
  <c r="Z25" i="40" s="1"/>
  <c r="D93" i="40"/>
  <c r="E93" i="40" s="1"/>
  <c r="F93" i="40" s="1"/>
  <c r="G93" i="40" s="1"/>
  <c r="H25" i="40"/>
  <c r="U25" i="40" s="1"/>
  <c r="F25" i="40"/>
  <c r="AA25" i="40" s="1"/>
  <c r="C25" i="40"/>
  <c r="Q27" i="39"/>
  <c r="Z27" i="39" s="1"/>
  <c r="D100" i="39"/>
  <c r="E100" i="39" s="1"/>
  <c r="F100" i="39" s="1"/>
  <c r="G100" i="39" s="1"/>
  <c r="C29" i="39"/>
  <c r="Z18" i="36"/>
  <c r="Q18" i="36"/>
  <c r="F18" i="36"/>
  <c r="AA18" i="36" s="1"/>
  <c r="C18" i="36"/>
  <c r="G66" i="36"/>
  <c r="D66" i="36"/>
  <c r="E66" i="36" s="1"/>
  <c r="F66" i="36" s="1"/>
  <c r="Q18" i="35"/>
  <c r="Z18" i="35" s="1"/>
  <c r="D68" i="35"/>
  <c r="E68" i="35" s="1"/>
  <c r="F68" i="35" s="1"/>
  <c r="G68" i="35"/>
  <c r="J18" i="35"/>
  <c r="H18" i="35"/>
  <c r="AB18" i="35"/>
  <c r="F18" i="35"/>
  <c r="C18" i="35"/>
  <c r="Z21" i="37"/>
  <c r="Q21" i="37"/>
  <c r="D77" i="37"/>
  <c r="E77" i="37"/>
  <c r="F77" i="37"/>
  <c r="H21" i="37"/>
  <c r="AB21" i="37" s="1"/>
  <c r="F21" i="37"/>
  <c r="AA21" i="37"/>
  <c r="C21" i="37"/>
  <c r="Q21" i="34"/>
  <c r="Z21" i="34" s="1"/>
  <c r="D84" i="34"/>
  <c r="E84" i="34" s="1"/>
  <c r="F84" i="34" s="1"/>
  <c r="F21" i="34"/>
  <c r="AA21" i="34" s="1"/>
  <c r="C21" i="34"/>
  <c r="Z21" i="33"/>
  <c r="Q21" i="33"/>
  <c r="D83" i="33"/>
  <c r="E83" i="33"/>
  <c r="F83" i="33"/>
  <c r="G83" i="33" s="1"/>
  <c r="H21" i="33"/>
  <c r="AB21" i="33" s="1"/>
  <c r="F21" i="33"/>
  <c r="AA21" i="33" s="1"/>
  <c r="C21" i="33"/>
  <c r="Q21" i="21"/>
  <c r="Z21" i="21" s="1"/>
  <c r="D83" i="21"/>
  <c r="E83" i="21" s="1"/>
  <c r="F83" i="21" s="1"/>
  <c r="F21" i="21"/>
  <c r="AA21" i="21"/>
  <c r="C21" i="21"/>
  <c r="G20" i="20"/>
  <c r="C22" i="20"/>
  <c r="B66" i="43" s="1"/>
  <c r="AB25" i="40"/>
  <c r="S18" i="36"/>
  <c r="U18" i="35"/>
  <c r="U21" i="37"/>
  <c r="S21" i="37"/>
  <c r="S21" i="34"/>
  <c r="U21" i="33"/>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14" i="12" s="1"/>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J99" i="43"/>
  <c r="J108" i="43"/>
  <c r="I99" i="43"/>
  <c r="I108" i="43" s="1"/>
  <c r="H99" i="43"/>
  <c r="H108" i="43"/>
  <c r="G99" i="43"/>
  <c r="G100" i="43" s="1"/>
  <c r="F99" i="43"/>
  <c r="F108" i="43"/>
  <c r="E99" i="43"/>
  <c r="E100" i="43" s="1"/>
  <c r="D99" i="43"/>
  <c r="D108" i="43"/>
  <c r="C99" i="43"/>
  <c r="C100" i="43" s="1"/>
  <c r="I100" i="43"/>
  <c r="M100" i="43"/>
  <c r="D100" i="43"/>
  <c r="F100" i="43"/>
  <c r="H100" i="43"/>
  <c r="J100" i="43"/>
  <c r="L100" i="43"/>
  <c r="N100" i="43"/>
  <c r="B84" i="43"/>
  <c r="B83" i="43"/>
  <c r="B72" i="43"/>
  <c r="B61" i="43"/>
  <c r="B50" i="43"/>
  <c r="M78" i="43"/>
  <c r="N78" i="43" s="1"/>
  <c r="K78" i="43"/>
  <c r="J78" i="43" s="1"/>
  <c r="D78" i="43"/>
  <c r="M77" i="43"/>
  <c r="N77" i="43" s="1"/>
  <c r="K77" i="43"/>
  <c r="J77" i="43"/>
  <c r="D77" i="43"/>
  <c r="M76" i="43"/>
  <c r="N76" i="43" s="1"/>
  <c r="K76" i="43"/>
  <c r="J76" i="43"/>
  <c r="D76" i="43"/>
  <c r="M75" i="43"/>
  <c r="N75" i="43"/>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c r="D67" i="43"/>
  <c r="M66" i="43"/>
  <c r="N66" i="43" s="1"/>
  <c r="K66" i="43"/>
  <c r="J66" i="43"/>
  <c r="D66" i="43"/>
  <c r="M65" i="43"/>
  <c r="N65" i="43"/>
  <c r="K65" i="43"/>
  <c r="J65" i="43"/>
  <c r="D65" i="43"/>
  <c r="M64" i="43"/>
  <c r="N64" i="43"/>
  <c r="K64" i="43"/>
  <c r="J64" i="43" s="1"/>
  <c r="D64" i="43"/>
  <c r="M63" i="43"/>
  <c r="N63" i="43"/>
  <c r="K63" i="43"/>
  <c r="J63" i="43"/>
  <c r="D63" i="43"/>
  <c r="M62" i="43"/>
  <c r="N62" i="43" s="1"/>
  <c r="K62" i="43"/>
  <c r="J62" i="43" s="1"/>
  <c r="D62" i="43"/>
  <c r="M61" i="43"/>
  <c r="N61" i="43"/>
  <c r="K61" i="43"/>
  <c r="J61" i="43"/>
  <c r="D61" i="43"/>
  <c r="M60" i="43"/>
  <c r="N60" i="43" s="1"/>
  <c r="K60" i="43"/>
  <c r="J60" i="43"/>
  <c r="D60" i="43"/>
  <c r="M59" i="43"/>
  <c r="N59" i="43"/>
  <c r="K59" i="43"/>
  <c r="J59" i="43" s="1"/>
  <c r="D59" i="43"/>
  <c r="Q70" i="15"/>
  <c r="Q57" i="15"/>
  <c r="Q56" i="15"/>
  <c r="Q49" i="15"/>
  <c r="L48" i="15"/>
  <c r="D9" i="31"/>
  <c r="E9" i="31" s="1"/>
  <c r="F9" i="31" s="1"/>
  <c r="G9" i="31" s="1"/>
  <c r="H9" i="31" s="1"/>
  <c r="I9" i="3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7" i="57" s="1"/>
  <c r="D127" i="57" s="1"/>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117" i="9" s="1"/>
  <c r="C23" i="31"/>
  <c r="C2" i="31" s="1"/>
  <c r="I23" i="31" s="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R63" i="31"/>
  <c r="R64" i="31"/>
  <c r="T64" i="31" s="1"/>
  <c r="R65" i="31"/>
  <c r="R66" i="31"/>
  <c r="T66" i="31" s="1"/>
  <c r="R67" i="31"/>
  <c r="R68" i="31"/>
  <c r="T68" i="31" s="1"/>
  <c r="R69" i="31"/>
  <c r="R70" i="31"/>
  <c r="R71" i="31"/>
  <c r="R72" i="31"/>
  <c r="T72" i="31" s="1"/>
  <c r="R73" i="31"/>
  <c r="R74" i="31"/>
  <c r="T74" i="31" s="1"/>
  <c r="R75" i="31"/>
  <c r="R76" i="31"/>
  <c r="R77" i="31"/>
  <c r="T77" i="31" s="1"/>
  <c r="R78" i="31"/>
  <c r="R79" i="31"/>
  <c r="R80" i="31"/>
  <c r="R81" i="31"/>
  <c r="T81" i="31" s="1"/>
  <c r="R82" i="3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R99" i="31"/>
  <c r="T99" i="31" s="1"/>
  <c r="R100" i="31"/>
  <c r="T100" i="31" s="1"/>
  <c r="R101" i="31"/>
  <c r="T101" i="31" s="1"/>
  <c r="R102" i="31"/>
  <c r="T102" i="31" s="1"/>
  <c r="R103" i="31"/>
  <c r="T103" i="31" s="1"/>
  <c r="R104" i="31"/>
  <c r="T104" i="31" s="1"/>
  <c r="R105" i="31"/>
  <c r="T105" i="31" s="1"/>
  <c r="R106" i="31"/>
  <c r="R107" i="31"/>
  <c r="T107" i="31" s="1"/>
  <c r="R108" i="31"/>
  <c r="T108" i="31" s="1"/>
  <c r="R109" i="31"/>
  <c r="T109" i="31" s="1"/>
  <c r="R110" i="31"/>
  <c r="T110" i="31" s="1"/>
  <c r="R111" i="31"/>
  <c r="T111" i="31" s="1"/>
  <c r="R112" i="31"/>
  <c r="T112" i="31" s="1"/>
  <c r="R113" i="31"/>
  <c r="T113" i="31" s="1"/>
  <c r="R114" i="31"/>
  <c r="R115" i="31"/>
  <c r="T115" i="31" s="1"/>
  <c r="R116" i="31"/>
  <c r="T116" i="31" s="1"/>
  <c r="R117" i="31"/>
  <c r="T117" i="31" s="1"/>
  <c r="R118" i="31"/>
  <c r="R119" i="31"/>
  <c r="T119" i="31" s="1"/>
  <c r="R120" i="31"/>
  <c r="T120" i="31" s="1"/>
  <c r="R121" i="31"/>
  <c r="T121" i="31" s="1"/>
  <c r="R122" i="31"/>
  <c r="T122" i="31" s="1"/>
  <c r="R123" i="31"/>
  <c r="T123" i="31" s="1"/>
  <c r="R124" i="31"/>
  <c r="T124" i="31" s="1"/>
  <c r="R125" i="31"/>
  <c r="T125" i="31" s="1"/>
  <c r="R126" i="31"/>
  <c r="R127" i="31"/>
  <c r="T127" i="31" s="1"/>
  <c r="R128" i="31"/>
  <c r="T128" i="31" s="1"/>
  <c r="R129" i="31"/>
  <c r="T129" i="31" s="1"/>
  <c r="R130" i="31"/>
  <c r="T130" i="31" s="1"/>
  <c r="R131" i="31"/>
  <c r="T131" i="31" s="1"/>
  <c r="R132" i="31"/>
  <c r="T132" i="31" s="1"/>
  <c r="R133" i="31"/>
  <c r="T133" i="31" s="1"/>
  <c r="R134" i="31"/>
  <c r="R135" i="31"/>
  <c r="T135" i="31" s="1"/>
  <c r="R136" i="31"/>
  <c r="T136" i="31" s="1"/>
  <c r="R137" i="31"/>
  <c r="T137" i="31" s="1"/>
  <c r="R138" i="31"/>
  <c r="T138" i="31" s="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T162" i="31" s="1"/>
  <c r="R163" i="31"/>
  <c r="T163" i="31"/>
  <c r="R164" i="31"/>
  <c r="S164" i="31" s="1"/>
  <c r="T164" i="31"/>
  <c r="R165" i="31"/>
  <c r="T165" i="31"/>
  <c r="R166" i="31"/>
  <c r="S166" i="31" s="1"/>
  <c r="T166" i="31"/>
  <c r="R167" i="31"/>
  <c r="T167" i="31"/>
  <c r="R168" i="31"/>
  <c r="S168" i="31" s="1"/>
  <c r="T168" i="31"/>
  <c r="R169" i="31"/>
  <c r="T169" i="31"/>
  <c r="R170" i="31"/>
  <c r="T170" i="31"/>
  <c r="R171" i="31"/>
  <c r="T171" i="31"/>
  <c r="R172" i="31"/>
  <c r="T172" i="31"/>
  <c r="R173" i="31"/>
  <c r="T173" i="31"/>
  <c r="R174" i="31"/>
  <c r="S174" i="31" s="1"/>
  <c r="T174" i="31"/>
  <c r="R175" i="31"/>
  <c r="T175" i="31"/>
  <c r="R176" i="31"/>
  <c r="S176" i="31" s="1"/>
  <c r="T176" i="31"/>
  <c r="R177" i="31"/>
  <c r="T177" i="31"/>
  <c r="R178" i="31"/>
  <c r="S178" i="31" s="1"/>
  <c r="T178" i="31"/>
  <c r="R179" i="31"/>
  <c r="T179" i="31"/>
  <c r="R180" i="31"/>
  <c r="T180" i="31"/>
  <c r="R181" i="31"/>
  <c r="T181" i="31"/>
  <c r="R182" i="31"/>
  <c r="S182" i="31" s="1"/>
  <c r="T182" i="31"/>
  <c r="R183" i="31"/>
  <c r="T183" i="31"/>
  <c r="R184" i="31"/>
  <c r="T184" i="31"/>
  <c r="R185" i="31"/>
  <c r="T185" i="31"/>
  <c r="R186" i="31"/>
  <c r="S186" i="31" s="1"/>
  <c r="T186" i="31"/>
  <c r="R187" i="31"/>
  <c r="T187" i="31"/>
  <c r="R188" i="31"/>
  <c r="S188" i="31" s="1"/>
  <c r="T188" i="31"/>
  <c r="R189" i="31"/>
  <c r="T189" i="31"/>
  <c r="R190" i="31"/>
  <c r="S190" i="31" s="1"/>
  <c r="T190" i="31"/>
  <c r="R191" i="31"/>
  <c r="T191" i="31"/>
  <c r="R192" i="31"/>
  <c r="T192" i="31"/>
  <c r="R193" i="31"/>
  <c r="T193" i="31"/>
  <c r="R194" i="31"/>
  <c r="T194" i="31"/>
  <c r="R195" i="31"/>
  <c r="T195" i="31"/>
  <c r="R196" i="31"/>
  <c r="S196" i="31" s="1"/>
  <c r="T196" i="31"/>
  <c r="R197" i="31"/>
  <c r="T197" i="31"/>
  <c r="R198" i="31"/>
  <c r="S198" i="31" s="1"/>
  <c r="T198" i="31"/>
  <c r="R199" i="31"/>
  <c r="T199" i="31"/>
  <c r="R200" i="31"/>
  <c r="S200" i="31" s="1"/>
  <c r="T200" i="31"/>
  <c r="R201" i="31"/>
  <c r="T201" i="31"/>
  <c r="R202" i="31"/>
  <c r="T202" i="31"/>
  <c r="R203" i="31"/>
  <c r="T203" i="31"/>
  <c r="R204" i="31"/>
  <c r="T204" i="31"/>
  <c r="R205" i="31"/>
  <c r="T205" i="31"/>
  <c r="R206" i="31"/>
  <c r="S206" i="31" s="1"/>
  <c r="T206" i="31"/>
  <c r="R207" i="31"/>
  <c r="T207" i="31"/>
  <c r="R208" i="31"/>
  <c r="S208" i="31" s="1"/>
  <c r="T208" i="31"/>
  <c r="R209" i="31"/>
  <c r="T209" i="31"/>
  <c r="R210" i="31"/>
  <c r="S210" i="31" s="1"/>
  <c r="T210" i="31"/>
  <c r="R211" i="31"/>
  <c r="T211" i="31"/>
  <c r="R212" i="31"/>
  <c r="T212" i="31"/>
  <c r="R213" i="31"/>
  <c r="T213" i="31"/>
  <c r="R214" i="31"/>
  <c r="S214" i="31" s="1"/>
  <c r="T214" i="31"/>
  <c r="R215" i="31"/>
  <c r="T215" i="31"/>
  <c r="R216" i="31"/>
  <c r="T216" i="31"/>
  <c r="R217" i="31"/>
  <c r="T217" i="31"/>
  <c r="R218" i="31"/>
  <c r="S218" i="31" s="1"/>
  <c r="T218" i="31"/>
  <c r="R219" i="31"/>
  <c r="T219" i="31"/>
  <c r="R220" i="31"/>
  <c r="S220" i="31" s="1"/>
  <c r="T220" i="31"/>
  <c r="R221" i="31"/>
  <c r="T221" i="31"/>
  <c r="R222" i="31"/>
  <c r="S222" i="31" s="1"/>
  <c r="T222" i="31"/>
  <c r="R223" i="31"/>
  <c r="T223" i="31"/>
  <c r="R224" i="31"/>
  <c r="T224" i="31"/>
  <c r="R225" i="31"/>
  <c r="T225" i="31"/>
  <c r="R226" i="31"/>
  <c r="S226" i="31" s="1"/>
  <c r="T226" i="31"/>
  <c r="R227" i="31"/>
  <c r="T227" i="31"/>
  <c r="R228" i="31"/>
  <c r="T228" i="31"/>
  <c r="R229" i="31"/>
  <c r="T229" i="31"/>
  <c r="R230" i="31"/>
  <c r="S230" i="31" s="1"/>
  <c r="T230" i="31"/>
  <c r="R231" i="31"/>
  <c r="T231" i="31"/>
  <c r="R232" i="31"/>
  <c r="S232" i="31" s="1"/>
  <c r="T232" i="31"/>
  <c r="R233" i="31"/>
  <c r="T233" i="31"/>
  <c r="R234" i="31"/>
  <c r="S234" i="31" s="1"/>
  <c r="T234" i="31"/>
  <c r="R235" i="31"/>
  <c r="T235" i="31"/>
  <c r="R236" i="31"/>
  <c r="S236" i="31" s="1"/>
  <c r="T236" i="31"/>
  <c r="R237" i="31"/>
  <c r="T237" i="31"/>
  <c r="R238" i="31"/>
  <c r="S238" i="31" s="1"/>
  <c r="T238" i="31"/>
  <c r="R239" i="31"/>
  <c r="T239" i="31"/>
  <c r="R240" i="31"/>
  <c r="T240" i="31"/>
  <c r="R241" i="31"/>
  <c r="T241" i="31"/>
  <c r="R242" i="31"/>
  <c r="S242" i="31" s="1"/>
  <c r="T242" i="31"/>
  <c r="R243" i="31"/>
  <c r="T243" i="31"/>
  <c r="R244" i="31"/>
  <c r="T244" i="31"/>
  <c r="R245" i="31"/>
  <c r="T245" i="31"/>
  <c r="R246" i="31"/>
  <c r="S246" i="31" s="1"/>
  <c r="T246" i="31"/>
  <c r="R247" i="31"/>
  <c r="T247" i="31"/>
  <c r="R248" i="31"/>
  <c r="S248" i="31" s="1"/>
  <c r="T248" i="31"/>
  <c r="R249" i="31"/>
  <c r="T249" i="31"/>
  <c r="R250" i="31"/>
  <c r="S250" i="31" s="1"/>
  <c r="T250" i="31"/>
  <c r="R251" i="31"/>
  <c r="T251" i="31"/>
  <c r="R252" i="31"/>
  <c r="S252" i="31" s="1"/>
  <c r="T252" i="31"/>
  <c r="R253" i="31"/>
  <c r="T253" i="31"/>
  <c r="R254" i="31"/>
  <c r="S254" i="31" s="1"/>
  <c r="T254" i="31"/>
  <c r="R255" i="31"/>
  <c r="T255" i="31"/>
  <c r="R256" i="31"/>
  <c r="T256" i="31"/>
  <c r="R257" i="31"/>
  <c r="T257" i="31"/>
  <c r="R258" i="31"/>
  <c r="S258" i="31" s="1"/>
  <c r="T258" i="31"/>
  <c r="R259" i="31"/>
  <c r="S259" i="31"/>
  <c r="R260" i="31"/>
  <c r="S260" i="31" s="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R283" i="31"/>
  <c r="S283" i="31" s="1"/>
  <c r="R284" i="31"/>
  <c r="T284" i="31" s="1"/>
  <c r="R285" i="31"/>
  <c r="S285" i="31" s="1"/>
  <c r="R286" i="31"/>
  <c r="R287" i="31"/>
  <c r="S287" i="31" s="1"/>
  <c r="R288" i="31"/>
  <c r="T288" i="31" s="1"/>
  <c r="R289" i="31"/>
  <c r="S289" i="31" s="1"/>
  <c r="R290" i="3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T336" i="31" s="1"/>
  <c r="R337" i="31"/>
  <c r="T337" i="31" s="1"/>
  <c r="R338" i="31"/>
  <c r="R339" i="31"/>
  <c r="T339" i="31" s="1"/>
  <c r="R340" i="31"/>
  <c r="R341" i="31"/>
  <c r="T341" i="31" s="1"/>
  <c r="R342" i="3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R355" i="31"/>
  <c r="T355" i="31" s="1"/>
  <c r="R356" i="31"/>
  <c r="R357" i="31"/>
  <c r="T357" i="31" s="1"/>
  <c r="R358" i="31"/>
  <c r="T358" i="31" s="1"/>
  <c r="R359" i="31"/>
  <c r="T359" i="31" s="1"/>
  <c r="R360" i="31"/>
  <c r="T360" i="31" s="1"/>
  <c r="R361" i="31"/>
  <c r="T361" i="31" s="1"/>
  <c r="R362" i="31"/>
  <c r="R363" i="31"/>
  <c r="T363" i="31" s="1"/>
  <c r="R364" i="31"/>
  <c r="R365" i="31"/>
  <c r="T365" i="31" s="1"/>
  <c r="R366" i="31"/>
  <c r="R367" i="31"/>
  <c r="T367" i="31" s="1"/>
  <c r="R368" i="31"/>
  <c r="T368" i="31" s="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R383" i="31"/>
  <c r="T383" i="31" s="1"/>
  <c r="R384" i="31"/>
  <c r="T384" i="31" s="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T400" i="31" s="1"/>
  <c r="R401" i="31"/>
  <c r="T401" i="31" s="1"/>
  <c r="R402" i="31"/>
  <c r="R403" i="31"/>
  <c r="T403" i="31" s="1"/>
  <c r="R404" i="31"/>
  <c r="R405" i="31"/>
  <c r="T405" i="31" s="1"/>
  <c r="R406" i="3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R492" i="31"/>
  <c r="R493" i="31"/>
  <c r="R494" i="31"/>
  <c r="R495" i="31"/>
  <c r="T495" i="31" s="1"/>
  <c r="R496" i="31"/>
  <c r="R497" i="31"/>
  <c r="R498" i="31"/>
  <c r="R499" i="31"/>
  <c r="R500" i="31"/>
  <c r="R501" i="31"/>
  <c r="T501" i="31" s="1"/>
  <c r="R502" i="31"/>
  <c r="T502" i="31" s="1"/>
  <c r="R503" i="31"/>
  <c r="T503" i="31" s="1"/>
  <c r="R504" i="31"/>
  <c r="T504" i="31" s="1"/>
  <c r="R505" i="31"/>
  <c r="T505" i="31" s="1"/>
  <c r="R506" i="31"/>
  <c r="T506" i="31" s="1"/>
  <c r="R507" i="31"/>
  <c r="R508" i="31"/>
  <c r="T508" i="31" s="1"/>
  <c r="R509" i="31"/>
  <c r="T509" i="31" s="1"/>
  <c r="R510" i="31"/>
  <c r="R511" i="31"/>
  <c r="T511" i="31" s="1"/>
  <c r="R512" i="31"/>
  <c r="T512" i="31" s="1"/>
  <c r="R513" i="31"/>
  <c r="T513" i="31" s="1"/>
  <c r="R514" i="31"/>
  <c r="R515" i="31"/>
  <c r="T515" i="31" s="1"/>
  <c r="R516" i="31"/>
  <c r="T516" i="31" s="1"/>
  <c r="R517" i="31"/>
  <c r="T517" i="31" s="1"/>
  <c r="R518" i="31"/>
  <c r="R519" i="31"/>
  <c r="T519" i="31" s="1"/>
  <c r="R520" i="31"/>
  <c r="T520" i="31" s="1"/>
  <c r="R521" i="31"/>
  <c r="T521" i="31" s="1"/>
  <c r="R522" i="31"/>
  <c r="R523" i="31"/>
  <c r="T523" i="31" s="1"/>
  <c r="R524" i="31"/>
  <c r="T524" i="31" s="1"/>
  <c r="R525" i="31"/>
  <c r="T525" i="31" s="1"/>
  <c r="R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c r="J30" i="47"/>
  <c r="I30" i="47"/>
  <c r="L29" i="47"/>
  <c r="M29" i="47"/>
  <c r="J29" i="47"/>
  <c r="I29" i="47"/>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J8" i="47"/>
  <c r="I8" i="47"/>
  <c r="L8" i="47"/>
  <c r="M8" i="47"/>
  <c r="J9" i="47"/>
  <c r="I9" i="47"/>
  <c r="L9" i="47"/>
  <c r="M9" i="47"/>
  <c r="J10" i="47"/>
  <c r="I10" i="47"/>
  <c r="D10" i="47"/>
  <c r="L10" i="47"/>
  <c r="M10" i="47" s="1"/>
  <c r="J11" i="47"/>
  <c r="I11" i="47"/>
  <c r="L11" i="47"/>
  <c r="M11" i="47" s="1"/>
  <c r="J12" i="47"/>
  <c r="I12" i="47"/>
  <c r="D12" i="47" s="1"/>
  <c r="L12" i="47"/>
  <c r="M12" i="47"/>
  <c r="M4" i="47"/>
  <c r="L4" i="47"/>
  <c r="J4" i="47"/>
  <c r="I4" i="47" s="1"/>
  <c r="D4" i="47"/>
  <c r="F4" i="47" s="1"/>
  <c r="B2"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C12" i="43" s="1"/>
  <c r="E15" i="43"/>
  <c r="D15" i="43"/>
  <c r="C15" i="43"/>
  <c r="C10" i="43"/>
  <c r="C11" i="43" s="1"/>
  <c r="C9" i="43"/>
  <c r="A7" i="43"/>
  <c r="E1" i="61"/>
  <c r="E31" i="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c r="H13" i="31" s="1"/>
  <c r="I13" i="31"/>
  <c r="J13" i="31" s="1"/>
  <c r="K13" i="31" s="1"/>
  <c r="L13" i="31" s="1"/>
  <c r="M13" i="31"/>
  <c r="N13" i="31" s="1"/>
  <c r="O13" i="31" s="1"/>
  <c r="P13" i="31" s="1"/>
  <c r="Q13" i="31" s="1"/>
  <c r="R13" i="31" s="1"/>
  <c r="S13" i="31" s="1"/>
  <c r="D11" i="31"/>
  <c r="E11" i="31"/>
  <c r="F11" i="3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6" i="31"/>
  <c r="S414" i="31"/>
  <c r="S410" i="31"/>
  <c r="S408" i="31"/>
  <c r="S400" i="31"/>
  <c r="S398" i="31"/>
  <c r="S392" i="31"/>
  <c r="S386" i="31"/>
  <c r="S384" i="31"/>
  <c r="S376" i="31"/>
  <c r="S370" i="31"/>
  <c r="S368" i="31"/>
  <c r="S360" i="31"/>
  <c r="S358" i="31"/>
  <c r="S352" i="31"/>
  <c r="S350" i="31"/>
  <c r="S346" i="31"/>
  <c r="S344" i="31"/>
  <c r="S336" i="31"/>
  <c r="S334" i="31"/>
  <c r="S328" i="31"/>
  <c r="S426" i="31"/>
  <c r="S320" i="31"/>
  <c r="S316" i="31"/>
  <c r="S312" i="31"/>
  <c r="S308" i="31"/>
  <c r="S304" i="31"/>
  <c r="S300" i="31"/>
  <c r="S298" i="31"/>
  <c r="S296" i="31"/>
  <c r="S292" i="31"/>
  <c r="S288" i="31"/>
  <c r="S284" i="31"/>
  <c r="S280" i="31"/>
  <c r="S276" i="31"/>
  <c r="S274" i="31"/>
  <c r="S272" i="31"/>
  <c r="S268" i="31"/>
  <c r="S266" i="31"/>
  <c r="S264" i="31"/>
  <c r="S257" i="31"/>
  <c r="S256" i="31"/>
  <c r="S255" i="31"/>
  <c r="S253" i="31"/>
  <c r="S251" i="31"/>
  <c r="S249" i="31"/>
  <c r="S247" i="31"/>
  <c r="S245" i="31"/>
  <c r="S244" i="31"/>
  <c r="S243" i="31"/>
  <c r="S241" i="31"/>
  <c r="S240" i="31"/>
  <c r="S239" i="31"/>
  <c r="S237" i="31"/>
  <c r="S235" i="31"/>
  <c r="S233" i="31"/>
  <c r="S231" i="31"/>
  <c r="S229" i="31"/>
  <c r="S228" i="31"/>
  <c r="S227" i="31"/>
  <c r="S432" i="31"/>
  <c r="S428" i="31"/>
  <c r="S224" i="31"/>
  <c r="S216" i="31"/>
  <c r="S212" i="31"/>
  <c r="S204" i="31"/>
  <c r="S202" i="31"/>
  <c r="S194" i="31"/>
  <c r="S192" i="31"/>
  <c r="S184" i="31"/>
  <c r="S180" i="31"/>
  <c r="S172" i="31"/>
  <c r="S170" i="31"/>
  <c r="S162" i="31"/>
  <c r="S160" i="31"/>
  <c r="S156" i="31"/>
  <c r="S152" i="31"/>
  <c r="S148" i="31"/>
  <c r="S144" i="31"/>
  <c r="S140" i="31"/>
  <c r="S138" i="31"/>
  <c r="S136" i="31"/>
  <c r="S132" i="31"/>
  <c r="S130" i="31"/>
  <c r="S128" i="31"/>
  <c r="S483" i="31"/>
  <c r="S444" i="31"/>
  <c r="S440" i="31"/>
  <c r="S436" i="31"/>
  <c r="S124" i="31"/>
  <c r="S122" i="31"/>
  <c r="S120" i="31"/>
  <c r="S116" i="31"/>
  <c r="S503" i="31"/>
  <c r="S468" i="31"/>
  <c r="S464" i="31"/>
  <c r="S460" i="31"/>
  <c r="S456" i="31"/>
  <c r="S51" i="31"/>
  <c r="S43" i="31"/>
  <c r="S35" i="31"/>
  <c r="S74" i="31"/>
  <c r="S72" i="31"/>
  <c r="S68" i="31"/>
  <c r="S66" i="31"/>
  <c r="S64" i="31"/>
  <c r="S60" i="31"/>
  <c r="S58" i="31"/>
  <c r="S100" i="31"/>
  <c r="S96" i="31"/>
  <c r="S94" i="31"/>
  <c r="S92" i="31"/>
  <c r="S88" i="31"/>
  <c r="S86" i="31"/>
  <c r="S84" i="31"/>
  <c r="S32" i="31"/>
  <c r="S102" i="31"/>
  <c r="S104" i="31"/>
  <c r="S108" i="31"/>
  <c r="S110" i="31"/>
  <c r="S112" i="31"/>
  <c r="S448" i="31"/>
  <c r="S452" i="31"/>
  <c r="S512" i="31"/>
  <c r="S516" i="31"/>
  <c r="I48" i="37"/>
  <c r="J48" i="37"/>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c r="G44" i="35"/>
  <c r="H44" i="35" s="1"/>
  <c r="E44" i="35"/>
  <c r="F44" i="35"/>
  <c r="I54" i="33"/>
  <c r="J54" i="33" s="1"/>
  <c r="G54" i="33"/>
  <c r="H54" i="33"/>
  <c r="E54" i="33"/>
  <c r="G111" i="21"/>
  <c r="H111" i="21"/>
  <c r="B109" i="39"/>
  <c r="F35" i="39" s="1"/>
  <c r="S35" i="39" s="1"/>
  <c r="B111" i="39"/>
  <c r="J30" i="36"/>
  <c r="H30" i="36"/>
  <c r="F30" i="36"/>
  <c r="AA30" i="36" s="1"/>
  <c r="C79" i="35"/>
  <c r="J31" i="35"/>
  <c r="H31" i="35"/>
  <c r="AB31" i="35" s="1"/>
  <c r="F31" i="35"/>
  <c r="D87" i="35"/>
  <c r="E87" i="35" s="1"/>
  <c r="F87" i="35" s="1"/>
  <c r="G87" i="35" s="1"/>
  <c r="H87" i="35"/>
  <c r="I87" i="35" s="1"/>
  <c r="J87" i="35" s="1"/>
  <c r="K87" i="35" s="1"/>
  <c r="L87" i="35" s="1"/>
  <c r="M87" i="35" s="1"/>
  <c r="H29" i="35"/>
  <c r="U29" i="35" s="1"/>
  <c r="H34" i="37"/>
  <c r="AB34" i="37" s="1"/>
  <c r="D101" i="37"/>
  <c r="F34" i="37"/>
  <c r="AA34" i="37"/>
  <c r="D99" i="37"/>
  <c r="E99" i="37"/>
  <c r="F99" i="37"/>
  <c r="G99" i="37"/>
  <c r="H99" i="37" s="1"/>
  <c r="I99" i="37" s="1"/>
  <c r="H42" i="34"/>
  <c r="J42" i="34"/>
  <c r="F42" i="34"/>
  <c r="J38" i="34"/>
  <c r="D114" i="34"/>
  <c r="D112" i="34"/>
  <c r="E112" i="34"/>
  <c r="F112" i="34" s="1"/>
  <c r="G112" i="34"/>
  <c r="H112" i="34" s="1"/>
  <c r="I112" i="34" s="1"/>
  <c r="J112" i="34" s="1"/>
  <c r="K112" i="34" s="1"/>
  <c r="L112" i="34" s="1"/>
  <c r="M112" i="34" s="1"/>
  <c r="F40" i="33"/>
  <c r="J41" i="33"/>
  <c r="W41" i="33" s="1"/>
  <c r="D113" i="33"/>
  <c r="F37" i="33"/>
  <c r="S37" i="33"/>
  <c r="D111" i="33"/>
  <c r="E111" i="33" s="1"/>
  <c r="F111" i="33" s="1"/>
  <c r="G111" i="33" s="1"/>
  <c r="H111" i="33" s="1"/>
  <c r="I111" i="33" s="1"/>
  <c r="J111" i="33" s="1"/>
  <c r="K111" i="33" s="1"/>
  <c r="L111" i="33" s="1"/>
  <c r="M111" i="33" s="1"/>
  <c r="S519" i="31"/>
  <c r="S520" i="31"/>
  <c r="S521" i="31"/>
  <c r="S523" i="31"/>
  <c r="S524" i="31"/>
  <c r="S525" i="31"/>
  <c r="F41" i="21"/>
  <c r="J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B100" i="40"/>
  <c r="J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F89" i="40" s="1"/>
  <c r="D87" i="40"/>
  <c r="E87" i="40"/>
  <c r="F87" i="40" s="1"/>
  <c r="G87" i="40" s="1"/>
  <c r="D85" i="40"/>
  <c r="E85" i="40" s="1"/>
  <c r="D83" i="40"/>
  <c r="E83" i="40"/>
  <c r="F83" i="40" s="1"/>
  <c r="G83" i="40" s="1"/>
  <c r="B80" i="40"/>
  <c r="B78" i="40"/>
  <c r="B76" i="40"/>
  <c r="J12" i="40"/>
  <c r="W12" i="40" s="1"/>
  <c r="M73" i="40"/>
  <c r="L73" i="40"/>
  <c r="K73" i="40"/>
  <c r="J73" i="40"/>
  <c r="I73" i="40"/>
  <c r="H73" i="40"/>
  <c r="G73" i="40"/>
  <c r="F73" i="40"/>
  <c r="E73" i="40"/>
  <c r="D73" i="40"/>
  <c r="C73"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s="1"/>
  <c r="Q41" i="39"/>
  <c r="Z41" i="39"/>
  <c r="Q42" i="39"/>
  <c r="Z42" i="39" s="1"/>
  <c r="Q43" i="39"/>
  <c r="Z43" i="39" s="1"/>
  <c r="Q44" i="39"/>
  <c r="Z44" i="39" s="1"/>
  <c r="Q45" i="39"/>
  <c r="Z45" i="39" s="1"/>
  <c r="Q38" i="39"/>
  <c r="Z38" i="39" s="1"/>
  <c r="Q36" i="39"/>
  <c r="Z36" i="39"/>
  <c r="Q37" i="39"/>
  <c r="Z37" i="39" s="1"/>
  <c r="M115" i="39"/>
  <c r="L115" i="39"/>
  <c r="K115" i="39"/>
  <c r="J115" i="39"/>
  <c r="I115" i="39"/>
  <c r="H115" i="39"/>
  <c r="G115" i="39"/>
  <c r="F115" i="39"/>
  <c r="E115" i="39"/>
  <c r="D115" i="39"/>
  <c r="C115" i="39"/>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c r="Q10" i="39"/>
  <c r="Z10" i="39"/>
  <c r="Q9" i="39"/>
  <c r="Z9" i="39"/>
  <c r="J9" i="39"/>
  <c r="AC9" i="39"/>
  <c r="H9" i="39"/>
  <c r="AB9" i="39"/>
  <c r="F9" i="39"/>
  <c r="J8" i="39"/>
  <c r="H8" i="39"/>
  <c r="F8" i="39"/>
  <c r="AA8" i="39" s="1"/>
  <c r="C20" i="36"/>
  <c r="C20" i="35"/>
  <c r="C16" i="36"/>
  <c r="C16" i="35"/>
  <c r="C14" i="36"/>
  <c r="C14" i="35"/>
  <c r="B80" i="37"/>
  <c r="J25" i="37" s="1"/>
  <c r="B110" i="37"/>
  <c r="J39" i="37"/>
  <c r="AC39" i="37" s="1"/>
  <c r="B108" i="37"/>
  <c r="J38" i="37" s="1"/>
  <c r="C23" i="37"/>
  <c r="C19" i="37"/>
  <c r="C17" i="37"/>
  <c r="C15" i="37"/>
  <c r="B112" i="37"/>
  <c r="H40" i="37"/>
  <c r="D107" i="37"/>
  <c r="E107" i="37"/>
  <c r="F107" i="37" s="1"/>
  <c r="G107" i="37" s="1"/>
  <c r="H107" i="37" s="1"/>
  <c r="I107" i="37" s="1"/>
  <c r="J107" i="37" s="1"/>
  <c r="K107" i="37" s="1"/>
  <c r="L107" i="37"/>
  <c r="M107" i="37" s="1"/>
  <c r="D105" i="37"/>
  <c r="E105" i="37"/>
  <c r="F105" i="37"/>
  <c r="G105" i="37" s="1"/>
  <c r="D103" i="37"/>
  <c r="J35" i="37"/>
  <c r="W35" i="37" s="1"/>
  <c r="G97" i="37"/>
  <c r="F97" i="37"/>
  <c r="E97" i="37"/>
  <c r="D97" i="37"/>
  <c r="C97" i="37"/>
  <c r="D96" i="37"/>
  <c r="E96" i="37" s="1"/>
  <c r="F96" i="37" s="1"/>
  <c r="G96" i="37"/>
  <c r="H96" i="37"/>
  <c r="I96" i="37" s="1"/>
  <c r="J96" i="37" s="1"/>
  <c r="K96" i="37" s="1"/>
  <c r="L96" i="37" s="1"/>
  <c r="M96" i="37" s="1"/>
  <c r="D94" i="37"/>
  <c r="E94" i="37" s="1"/>
  <c r="F94" i="37" s="1"/>
  <c r="G94" i="37" s="1"/>
  <c r="H94" i="37"/>
  <c r="I94" i="37"/>
  <c r="J94" i="37" s="1"/>
  <c r="K94" i="37" s="1"/>
  <c r="L94" i="37" s="1"/>
  <c r="M94" i="37" s="1"/>
  <c r="M90" i="37"/>
  <c r="L90" i="37"/>
  <c r="K90" i="37"/>
  <c r="J90" i="37"/>
  <c r="I90" i="37"/>
  <c r="H90" i="37"/>
  <c r="G90" i="37"/>
  <c r="F90" i="37"/>
  <c r="E90" i="37"/>
  <c r="D90" i="37"/>
  <c r="C90" i="37"/>
  <c r="D89" i="37"/>
  <c r="E89" i="37"/>
  <c r="F89" i="37" s="1"/>
  <c r="G89" i="37" s="1"/>
  <c r="H89" i="37" s="1"/>
  <c r="I89" i="37"/>
  <c r="J89" i="37" s="1"/>
  <c r="K89" i="37" s="1"/>
  <c r="L89" i="37" s="1"/>
  <c r="M89" i="37" s="1"/>
  <c r="B86" i="37"/>
  <c r="B84" i="37"/>
  <c r="B82" i="37"/>
  <c r="D79" i="37"/>
  <c r="E79" i="37" s="1"/>
  <c r="F79" i="37"/>
  <c r="G79" i="37"/>
  <c r="D75" i="37"/>
  <c r="E75" i="37" s="1"/>
  <c r="F75" i="37" s="1"/>
  <c r="D73" i="37"/>
  <c r="E73" i="37" s="1"/>
  <c r="J17" i="37"/>
  <c r="D71" i="37"/>
  <c r="E71" i="37"/>
  <c r="F71" i="37" s="1"/>
  <c r="G71" i="37" s="1"/>
  <c r="B68" i="37"/>
  <c r="H14" i="37" s="1"/>
  <c r="AB14" i="37"/>
  <c r="B66" i="37"/>
  <c r="B64" i="37"/>
  <c r="H12" i="37" s="1"/>
  <c r="U12" i="37"/>
  <c r="D63" i="37"/>
  <c r="E63" i="37"/>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AC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U29" i="36"/>
  <c r="D81" i="36"/>
  <c r="E81" i="36"/>
  <c r="F81" i="36" s="1"/>
  <c r="G81" i="36"/>
  <c r="H81" i="36" s="1"/>
  <c r="I81" i="36" s="1"/>
  <c r="J81" i="36" s="1"/>
  <c r="K81" i="36" s="1"/>
  <c r="L81" i="36" s="1"/>
  <c r="M81" i="36" s="1"/>
  <c r="G79" i="36"/>
  <c r="F79" i="36"/>
  <c r="E79" i="36"/>
  <c r="D79" i="36"/>
  <c r="C79" i="36"/>
  <c r="B93" i="36"/>
  <c r="B91" i="36"/>
  <c r="F32" i="36"/>
  <c r="B95" i="36"/>
  <c r="H34" i="36" s="1"/>
  <c r="U34" i="36" s="1"/>
  <c r="D83" i="36"/>
  <c r="E83" i="36"/>
  <c r="D78" i="36"/>
  <c r="E78" i="36" s="1"/>
  <c r="F78" i="36" s="1"/>
  <c r="G78" i="36" s="1"/>
  <c r="H78" i="36"/>
  <c r="I78" i="36" s="1"/>
  <c r="J78" i="36" s="1"/>
  <c r="K78" i="36" s="1"/>
  <c r="L78" i="36" s="1"/>
  <c r="M78" i="36" s="1"/>
  <c r="B75" i="36"/>
  <c r="B73" i="36"/>
  <c r="B71" i="36"/>
  <c r="H23" i="36" s="1"/>
  <c r="D70" i="36"/>
  <c r="H22" i="36"/>
  <c r="AB22" i="36"/>
  <c r="D68" i="36"/>
  <c r="E68" i="36" s="1"/>
  <c r="F68" i="36" s="1"/>
  <c r="G68" i="36" s="1"/>
  <c r="D64" i="36"/>
  <c r="E64" i="36" s="1"/>
  <c r="F64" i="36" s="1"/>
  <c r="G64" i="36" s="1"/>
  <c r="J16" i="36"/>
  <c r="D62" i="36"/>
  <c r="E62" i="36" s="1"/>
  <c r="F62" i="36" s="1"/>
  <c r="G62" i="36" s="1"/>
  <c r="H14" i="36"/>
  <c r="AB14" i="36"/>
  <c r="B59" i="36"/>
  <c r="B57" i="36"/>
  <c r="B55" i="36"/>
  <c r="F54" i="36"/>
  <c r="G54" i="36" s="1"/>
  <c r="H54" i="36" s="1"/>
  <c r="I54" i="36" s="1"/>
  <c r="C51" i="36"/>
  <c r="H9" i="36" s="1"/>
  <c r="P37" i="36"/>
  <c r="P36" i="36"/>
  <c r="V35" i="36"/>
  <c r="T35" i="36"/>
  <c r="R35" i="36"/>
  <c r="P35" i="36"/>
  <c r="Q34" i="36"/>
  <c r="Z34" i="36" s="1"/>
  <c r="Q33" i="36"/>
  <c r="Z33" i="36" s="1"/>
  <c r="Q32" i="36"/>
  <c r="Z32" i="36" s="1"/>
  <c r="Q31" i="36"/>
  <c r="Z31" i="36"/>
  <c r="Q30" i="36"/>
  <c r="Z30" i="36" s="1"/>
  <c r="Q29" i="36"/>
  <c r="Z29" i="36"/>
  <c r="Q28" i="36"/>
  <c r="Z28" i="36" s="1"/>
  <c r="J28" i="36"/>
  <c r="AC28" i="36" s="1"/>
  <c r="Q27" i="36"/>
  <c r="Z27" i="36" s="1"/>
  <c r="Q26" i="36"/>
  <c r="Z26" i="36" s="1"/>
  <c r="H26" i="36"/>
  <c r="Q25" i="36"/>
  <c r="Z25" i="36"/>
  <c r="Q24" i="36"/>
  <c r="Z24" i="36" s="1"/>
  <c r="Q23" i="36"/>
  <c r="Z23" i="36"/>
  <c r="J23" i="36"/>
  <c r="AC23" i="36" s="1"/>
  <c r="F23" i="36"/>
  <c r="AA23" i="36"/>
  <c r="Q22" i="36"/>
  <c r="Z22" i="36" s="1"/>
  <c r="J22" i="36"/>
  <c r="AC22" i="36"/>
  <c r="Q20" i="36"/>
  <c r="Z20" i="36" s="1"/>
  <c r="Q16" i="36"/>
  <c r="Z16" i="36" s="1"/>
  <c r="Q14" i="36"/>
  <c r="Z14" i="36" s="1"/>
  <c r="Q13" i="36"/>
  <c r="Z13" i="36" s="1"/>
  <c r="Q12" i="36"/>
  <c r="Z12" i="36" s="1"/>
  <c r="Q11" i="36"/>
  <c r="Z11" i="36" s="1"/>
  <c r="Q10" i="36"/>
  <c r="Z10" i="36" s="1"/>
  <c r="F10" i="36"/>
  <c r="AA10" i="36"/>
  <c r="Q9" i="36"/>
  <c r="Z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s="1"/>
  <c r="AB36" i="35" s="1"/>
  <c r="B99" i="35"/>
  <c r="F35" i="35" s="1"/>
  <c r="AA35" i="35" s="1"/>
  <c r="B97" i="35"/>
  <c r="J34" i="35" s="1"/>
  <c r="AC34" i="35" s="1"/>
  <c r="B77" i="35"/>
  <c r="B75" i="35"/>
  <c r="B7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c r="M80" i="35" s="1"/>
  <c r="D72" i="35"/>
  <c r="E72" i="35" s="1"/>
  <c r="F72" i="35" s="1"/>
  <c r="G72" i="35" s="1"/>
  <c r="D70" i="35"/>
  <c r="E70" i="35"/>
  <c r="F70" i="35" s="1"/>
  <c r="G70" i="35" s="1"/>
  <c r="D66" i="35"/>
  <c r="E66" i="35"/>
  <c r="F66" i="35" s="1"/>
  <c r="G66" i="35" s="1"/>
  <c r="F16" i="35"/>
  <c r="S16" i="35" s="1"/>
  <c r="D64" i="35"/>
  <c r="E64" i="35" s="1"/>
  <c r="F64" i="35"/>
  <c r="G64" i="35" s="1"/>
  <c r="J14" i="35"/>
  <c r="AC14" i="35" s="1"/>
  <c r="F56" i="35"/>
  <c r="G56" i="35"/>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s="1"/>
  <c r="Q29" i="35"/>
  <c r="Z29" i="35"/>
  <c r="Q28" i="35"/>
  <c r="Z28" i="35" s="1"/>
  <c r="J28" i="35"/>
  <c r="AC28" i="35"/>
  <c r="H28" i="35"/>
  <c r="AB28" i="35" s="1"/>
  <c r="F28" i="35"/>
  <c r="AA28" i="35"/>
  <c r="Q27" i="35"/>
  <c r="Z27" i="35" s="1"/>
  <c r="Q26" i="35"/>
  <c r="Z26" i="35" s="1"/>
  <c r="Q25" i="35"/>
  <c r="Z25" i="35" s="1"/>
  <c r="Q24" i="35"/>
  <c r="Z24" i="35" s="1"/>
  <c r="Q23" i="35"/>
  <c r="Z23" i="35" s="1"/>
  <c r="Q22" i="35"/>
  <c r="Z22" i="35" s="1"/>
  <c r="Q20" i="35"/>
  <c r="Z20" i="35"/>
  <c r="Q16" i="35"/>
  <c r="Z16" i="35" s="1"/>
  <c r="Q14" i="35"/>
  <c r="Z14" i="35" s="1"/>
  <c r="Q13" i="35"/>
  <c r="Z13" i="35" s="1"/>
  <c r="Q12" i="35"/>
  <c r="Z12" i="35"/>
  <c r="Q11" i="35"/>
  <c r="Z11" i="35" s="1"/>
  <c r="Q10" i="35"/>
  <c r="Z10" i="35" s="1"/>
  <c r="Q9" i="35"/>
  <c r="Z9" i="35"/>
  <c r="J9" i="35"/>
  <c r="AC9" i="35" s="1"/>
  <c r="H9" i="35"/>
  <c r="AB9" i="35"/>
  <c r="F9" i="35"/>
  <c r="AA9" i="35" s="1"/>
  <c r="J8" i="35"/>
  <c r="H8" i="35"/>
  <c r="AB8" i="35" s="1"/>
  <c r="F8" i="35"/>
  <c r="S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c r="H124" i="34"/>
  <c r="I124" i="34" s="1"/>
  <c r="J124" i="34" s="1"/>
  <c r="K124" i="34" s="1"/>
  <c r="L124" i="34" s="1"/>
  <c r="M124" i="34" s="1"/>
  <c r="D118" i="34"/>
  <c r="E118" i="34"/>
  <c r="F118" i="34" s="1"/>
  <c r="G118" i="34" s="1"/>
  <c r="D116" i="34"/>
  <c r="E116" i="34" s="1"/>
  <c r="F116" i="34" s="1"/>
  <c r="G116" i="34" s="1"/>
  <c r="H116" i="34" s="1"/>
  <c r="I116" i="34" s="1"/>
  <c r="J116" i="34" s="1"/>
  <c r="K116" i="34" s="1"/>
  <c r="L116" i="34" s="1"/>
  <c r="M116" i="34" s="1"/>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c r="F88" i="34"/>
  <c r="G88" i="34" s="1"/>
  <c r="H88" i="34" s="1"/>
  <c r="I88" i="34" s="1"/>
  <c r="J88" i="34" s="1"/>
  <c r="K88" i="34" s="1"/>
  <c r="L88" i="34" s="1"/>
  <c r="M88" i="34"/>
  <c r="D86" i="34"/>
  <c r="E86" i="34" s="1"/>
  <c r="F86" i="34" s="1"/>
  <c r="G86" i="34" s="1"/>
  <c r="F23" i="34"/>
  <c r="AA23" i="34" s="1"/>
  <c r="D82" i="34"/>
  <c r="E82" i="34"/>
  <c r="F82" i="34" s="1"/>
  <c r="G82" i="34" s="1"/>
  <c r="F19" i="34"/>
  <c r="D80" i="34"/>
  <c r="E80" i="34"/>
  <c r="F80" i="34" s="1"/>
  <c r="G80" i="34" s="1"/>
  <c r="D78" i="34"/>
  <c r="E78" i="34" s="1"/>
  <c r="F78" i="34"/>
  <c r="G78" i="34"/>
  <c r="F15" i="34"/>
  <c r="AA15" i="34" s="1"/>
  <c r="D70" i="34"/>
  <c r="E70" i="34"/>
  <c r="F70" i="34" s="1"/>
  <c r="G70" i="34" s="1"/>
  <c r="H70" i="34"/>
  <c r="I70" i="34"/>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c r="Q40" i="34"/>
  <c r="Z40" i="34" s="1"/>
  <c r="Q39" i="34"/>
  <c r="Z39" i="34"/>
  <c r="H39" i="34"/>
  <c r="AB39" i="34" s="1"/>
  <c r="F39" i="34"/>
  <c r="AA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s="1"/>
  <c r="J12" i="34"/>
  <c r="H12" i="34"/>
  <c r="U12" i="34"/>
  <c r="F12" i="34"/>
  <c r="Q11" i="34"/>
  <c r="Z11" i="34" s="1"/>
  <c r="Q10" i="34"/>
  <c r="Z10" i="34"/>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c r="K123" i="33" s="1"/>
  <c r="L123" i="33" s="1"/>
  <c r="M123" i="33"/>
  <c r="D117" i="33"/>
  <c r="D115" i="33"/>
  <c r="E115" i="33" s="1"/>
  <c r="F115" i="33"/>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W10" i="33" s="1"/>
  <c r="AC10" i="33"/>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A40" i="33"/>
  <c r="Q39" i="33"/>
  <c r="Z39" i="33" s="1"/>
  <c r="Q38" i="33"/>
  <c r="Z38" i="33" s="1"/>
  <c r="J38" i="33"/>
  <c r="AC38" i="33" s="1"/>
  <c r="H38" i="33"/>
  <c r="AB38" i="33" s="1"/>
  <c r="F38" i="33"/>
  <c r="Q37" i="33"/>
  <c r="Z37" i="33"/>
  <c r="Q36" i="33"/>
  <c r="Z36" i="33" s="1"/>
  <c r="Q35" i="33"/>
  <c r="Z35" i="33"/>
  <c r="H35" i="33"/>
  <c r="AB35" i="33" s="1"/>
  <c r="F35" i="33"/>
  <c r="S35" i="33" s="1"/>
  <c r="Q34" i="33"/>
  <c r="Z34" i="33" s="1"/>
  <c r="H34" i="33"/>
  <c r="AB34" i="33" s="1"/>
  <c r="F34" i="33"/>
  <c r="AA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c r="J12" i="33"/>
  <c r="W12" i="33" s="1"/>
  <c r="H12" i="33"/>
  <c r="U12" i="33"/>
  <c r="F12" i="33"/>
  <c r="S12" i="33" s="1"/>
  <c r="Q11" i="33"/>
  <c r="Z11" i="33" s="1"/>
  <c r="Q10" i="33"/>
  <c r="Z10" i="33" s="1"/>
  <c r="F10" i="33"/>
  <c r="Q9" i="33"/>
  <c r="Z9" i="33" s="1"/>
  <c r="J8" i="33"/>
  <c r="AC8" i="33" s="1"/>
  <c r="H8" i="33"/>
  <c r="AB8" i="33" s="1"/>
  <c r="F8" i="33"/>
  <c r="AA8" i="33"/>
  <c r="M102" i="21"/>
  <c r="D102" i="21"/>
  <c r="E102" i="21"/>
  <c r="F102" i="21"/>
  <c r="G102" i="21"/>
  <c r="H102" i="21"/>
  <c r="I102" i="21"/>
  <c r="J102" i="21"/>
  <c r="K102" i="21"/>
  <c r="L102" i="21"/>
  <c r="C102" i="21"/>
  <c r="C63" i="21"/>
  <c r="G18" i="20"/>
  <c r="B88" i="43"/>
  <c r="G19" i="20"/>
  <c r="B85" i="43" s="1"/>
  <c r="G16" i="20"/>
  <c r="B82" i="43"/>
  <c r="G15" i="20"/>
  <c r="B81" i="43" s="1"/>
  <c r="C24" i="20"/>
  <c r="B73" i="43"/>
  <c r="C21" i="20"/>
  <c r="C20" i="20"/>
  <c r="B77" i="43"/>
  <c r="C18" i="20"/>
  <c r="B71" i="43" s="1"/>
  <c r="C17" i="20"/>
  <c r="B59" i="43"/>
  <c r="C16" i="20"/>
  <c r="B48" i="43" s="1"/>
  <c r="C15" i="20"/>
  <c r="B70" i="43"/>
  <c r="E54" i="21"/>
  <c r="F54" i="21" s="1"/>
  <c r="I54" i="21"/>
  <c r="J54" i="21"/>
  <c r="G54" i="21"/>
  <c r="H54" i="21" s="1"/>
  <c r="D125" i="21"/>
  <c r="E125" i="21"/>
  <c r="F125" i="21"/>
  <c r="G125" i="21" s="1"/>
  <c r="D123" i="21"/>
  <c r="E123" i="21"/>
  <c r="F123" i="21" s="1"/>
  <c r="G123" i="21" s="1"/>
  <c r="H123" i="21" s="1"/>
  <c r="I123" i="21"/>
  <c r="J123" i="21"/>
  <c r="K123" i="21" s="1"/>
  <c r="L123" i="21" s="1"/>
  <c r="M123" i="21" s="1"/>
  <c r="F42" i="21"/>
  <c r="AA42" i="21" s="1"/>
  <c r="D119" i="21"/>
  <c r="D117" i="21"/>
  <c r="E117" i="21" s="1"/>
  <c r="F117" i="21" s="1"/>
  <c r="G117" i="21" s="1"/>
  <c r="D115" i="21"/>
  <c r="E115" i="21" s="1"/>
  <c r="F115" i="21"/>
  <c r="G115" i="21"/>
  <c r="H115" i="21" s="1"/>
  <c r="I115" i="21" s="1"/>
  <c r="J115" i="21" s="1"/>
  <c r="K115" i="21" s="1"/>
  <c r="L115" i="21"/>
  <c r="M115" i="21" s="1"/>
  <c r="D113" i="21"/>
  <c r="E113" i="21" s="1"/>
  <c r="F113" i="21" s="1"/>
  <c r="G113" i="21" s="1"/>
  <c r="H113" i="21" s="1"/>
  <c r="F37" i="21"/>
  <c r="D110" i="21"/>
  <c r="E110" i="21"/>
  <c r="F110" i="21" s="1"/>
  <c r="G110" i="21" s="1"/>
  <c r="H110" i="21" s="1"/>
  <c r="I110" i="21" s="1"/>
  <c r="J110" i="21" s="1"/>
  <c r="K110" i="21" s="1"/>
  <c r="L110" i="21" s="1"/>
  <c r="M110" i="21" s="1"/>
  <c r="J36" i="21"/>
  <c r="D108" i="21"/>
  <c r="E108" i="21" s="1"/>
  <c r="F108" i="21"/>
  <c r="G108" i="21" s="1"/>
  <c r="H108" i="21" s="1"/>
  <c r="I108" i="21" s="1"/>
  <c r="J108" i="21"/>
  <c r="K108" i="21"/>
  <c r="L108" i="21" s="1"/>
  <c r="M108" i="21" s="1"/>
  <c r="D106" i="21"/>
  <c r="D101" i="21"/>
  <c r="E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66" i="21"/>
  <c r="E66" i="21"/>
  <c r="F66" i="21" s="1"/>
  <c r="G66" i="2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c r="F10" i="21"/>
  <c r="AA10"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Q39" i="21"/>
  <c r="Z39" i="21"/>
  <c r="Q40" i="21"/>
  <c r="Z40" i="21" s="1"/>
  <c r="Q41" i="21"/>
  <c r="Z41" i="21" s="1"/>
  <c r="Q42" i="21"/>
  <c r="Z42" i="21" s="1"/>
  <c r="J43" i="21"/>
  <c r="W43" i="21" s="1"/>
  <c r="Q43" i="21"/>
  <c r="Z43" i="21" s="1"/>
  <c r="Q44" i="21"/>
  <c r="Z44" i="21"/>
  <c r="Q45" i="21"/>
  <c r="Z45" i="21" s="1"/>
  <c r="Q46" i="21"/>
  <c r="Z46" i="21"/>
  <c r="P47" i="21"/>
  <c r="R47" i="21"/>
  <c r="T47" i="21"/>
  <c r="V47" i="21"/>
  <c r="P48" i="21"/>
  <c r="P49" i="21"/>
  <c r="F8" i="21"/>
  <c r="AA8" i="21" s="1"/>
  <c r="E10" i="11"/>
  <c r="E9" i="11"/>
  <c r="F43" i="21"/>
  <c r="S43" i="21" s="1"/>
  <c r="H38" i="21"/>
  <c r="U38" i="21" s="1"/>
  <c r="H43" i="21"/>
  <c r="AB43" i="21" s="1"/>
  <c r="F38" i="21"/>
  <c r="F36" i="21"/>
  <c r="S36" i="21"/>
  <c r="F39" i="21"/>
  <c r="S39" i="21" s="1"/>
  <c r="H35" i="21"/>
  <c r="AB35" i="21"/>
  <c r="J8" i="21"/>
  <c r="AC8" i="21" s="1"/>
  <c r="H8" i="21"/>
  <c r="H10" i="21"/>
  <c r="AB10" i="21"/>
  <c r="H36" i="21"/>
  <c r="U36" i="21"/>
  <c r="F35" i="21"/>
  <c r="AA35" i="21"/>
  <c r="J33" i="21"/>
  <c r="W33" i="21"/>
  <c r="H33" i="21"/>
  <c r="U33" i="21" s="1"/>
  <c r="AB33" i="21"/>
  <c r="F33" i="21"/>
  <c r="AA33" i="21"/>
  <c r="J10" i="21"/>
  <c r="W10" i="21" s="1"/>
  <c r="AC10" i="21"/>
  <c r="H26" i="21"/>
  <c r="AB26" i="21"/>
  <c r="F19" i="21"/>
  <c r="AA19" i="21" s="1"/>
  <c r="H19" i="21"/>
  <c r="AB19" i="21"/>
  <c r="J19" i="21"/>
  <c r="W19" i="21" s="1"/>
  <c r="J12" i="21"/>
  <c r="AC12" i="21" s="1"/>
  <c r="H12" i="21"/>
  <c r="U12" i="21" s="1"/>
  <c r="J26" i="21"/>
  <c r="W26" i="21" s="1"/>
  <c r="F26" i="21"/>
  <c r="AA26" i="21" s="1"/>
  <c r="S26" i="21"/>
  <c r="AB41" i="21"/>
  <c r="U41" i="21"/>
  <c r="S41" i="21"/>
  <c r="AA41" i="21"/>
  <c r="F45" i="39"/>
  <c r="J45" i="39"/>
  <c r="AC45" i="39" s="1"/>
  <c r="W45" i="39"/>
  <c r="J44" i="39"/>
  <c r="F36" i="39"/>
  <c r="S36" i="39" s="1"/>
  <c r="H36" i="39"/>
  <c r="J36" i="39"/>
  <c r="AC36" i="39" s="1"/>
  <c r="S8" i="39"/>
  <c r="U38" i="39"/>
  <c r="H32" i="37"/>
  <c r="U8" i="37"/>
  <c r="F39" i="37"/>
  <c r="S39" i="37" s="1"/>
  <c r="U14" i="37"/>
  <c r="W30" i="37"/>
  <c r="F29" i="36"/>
  <c r="AA29" i="36" s="1"/>
  <c r="F16" i="36"/>
  <c r="AA16" i="36" s="1"/>
  <c r="U22" i="36"/>
  <c r="S23" i="36"/>
  <c r="W23" i="36"/>
  <c r="W22" i="36"/>
  <c r="AA31" i="36"/>
  <c r="W31" i="36"/>
  <c r="U31" i="36"/>
  <c r="H22" i="35"/>
  <c r="AB22" i="35" s="1"/>
  <c r="U9" i="35"/>
  <c r="U31" i="35"/>
  <c r="S32" i="35"/>
  <c r="S31" i="35"/>
  <c r="U32" i="35"/>
  <c r="F36" i="34"/>
  <c r="U39" i="34"/>
  <c r="H39" i="33"/>
  <c r="U39" i="33" s="1"/>
  <c r="AB39" i="33"/>
  <c r="F26" i="33"/>
  <c r="AA26" i="33" s="1"/>
  <c r="S40" i="33"/>
  <c r="W8" i="21"/>
  <c r="AC38" i="21"/>
  <c r="H39" i="37"/>
  <c r="AB39" i="37"/>
  <c r="S27" i="35"/>
  <c r="F11" i="40"/>
  <c r="AA11" i="40" s="1"/>
  <c r="S8" i="40"/>
  <c r="H11" i="40"/>
  <c r="U11" i="40" s="1"/>
  <c r="U9" i="40"/>
  <c r="U34" i="40"/>
  <c r="F42" i="39"/>
  <c r="AA42" i="39" s="1"/>
  <c r="F41" i="39"/>
  <c r="AA41" i="39"/>
  <c r="H40" i="39"/>
  <c r="AB40" i="39" s="1"/>
  <c r="H39" i="39"/>
  <c r="U39" i="39"/>
  <c r="S38" i="39"/>
  <c r="H34" i="39"/>
  <c r="AB34" i="39" s="1"/>
  <c r="E108" i="39"/>
  <c r="F108" i="39" s="1"/>
  <c r="G108" i="39" s="1"/>
  <c r="H108" i="39" s="1"/>
  <c r="I108" i="39" s="1"/>
  <c r="J108" i="39" s="1"/>
  <c r="K108" i="39" s="1"/>
  <c r="L108" i="39" s="1"/>
  <c r="M108" i="39" s="1"/>
  <c r="H31" i="39"/>
  <c r="F31" i="39"/>
  <c r="AA31" i="39" s="1"/>
  <c r="E102" i="39"/>
  <c r="H19" i="39"/>
  <c r="AB19" i="39"/>
  <c r="F19" i="39"/>
  <c r="H17" i="39"/>
  <c r="U17" i="39"/>
  <c r="F17" i="39"/>
  <c r="J23" i="40"/>
  <c r="AC23" i="40" s="1"/>
  <c r="H42" i="39"/>
  <c r="AB42" i="39" s="1"/>
  <c r="J34" i="39"/>
  <c r="AC34" i="39" s="1"/>
  <c r="J31" i="39"/>
  <c r="F102" i="39"/>
  <c r="H29" i="39"/>
  <c r="U29" i="39" s="1"/>
  <c r="J19" i="39"/>
  <c r="J17" i="39"/>
  <c r="W17" i="39" s="1"/>
  <c r="J29" i="39"/>
  <c r="AC29" i="39" s="1"/>
  <c r="F29" i="39"/>
  <c r="F11" i="21"/>
  <c r="S11" i="21" s="1"/>
  <c r="C25" i="39"/>
  <c r="C21" i="39"/>
  <c r="H11" i="39"/>
  <c r="AB39" i="39"/>
  <c r="H11" i="21"/>
  <c r="U11" i="21"/>
  <c r="J11" i="21"/>
  <c r="AC11" i="21" s="1"/>
  <c r="H36" i="40"/>
  <c r="AB36" i="40" s="1"/>
  <c r="U36" i="40"/>
  <c r="F35" i="40"/>
  <c r="S35" i="40" s="1"/>
  <c r="J30" i="40"/>
  <c r="AC30" i="40" s="1"/>
  <c r="F30" i="40"/>
  <c r="AA30" i="40" s="1"/>
  <c r="H27" i="40"/>
  <c r="U27" i="40" s="1"/>
  <c r="H23" i="40"/>
  <c r="AB23" i="40" s="1"/>
  <c r="J11" i="40"/>
  <c r="W11" i="40"/>
  <c r="AB12" i="33"/>
  <c r="AA12" i="33"/>
  <c r="F37" i="39"/>
  <c r="S37" i="39" s="1"/>
  <c r="U30" i="36"/>
  <c r="F22" i="35"/>
  <c r="AA22" i="35"/>
  <c r="H10" i="35"/>
  <c r="AB29" i="36"/>
  <c r="F33" i="36"/>
  <c r="S33" i="36" s="1"/>
  <c r="F85" i="36"/>
  <c r="G85" i="36" s="1"/>
  <c r="H85" i="36" s="1"/>
  <c r="I85" i="36" s="1"/>
  <c r="J85" i="36" s="1"/>
  <c r="K85" i="36" s="1"/>
  <c r="L85" i="36" s="1"/>
  <c r="M85" i="36" s="1"/>
  <c r="J29" i="36"/>
  <c r="AC29" i="36" s="1"/>
  <c r="F12" i="36"/>
  <c r="AA12" i="36" s="1"/>
  <c r="F34" i="36"/>
  <c r="AA34" i="36" s="1"/>
  <c r="H20" i="36"/>
  <c r="J20" i="36"/>
  <c r="W20" i="36"/>
  <c r="AB8" i="36"/>
  <c r="W9" i="35"/>
  <c r="F14" i="35"/>
  <c r="F23" i="35"/>
  <c r="S23" i="35" s="1"/>
  <c r="J32" i="35"/>
  <c r="AC32" i="35" s="1"/>
  <c r="J16" i="35"/>
  <c r="AC16" i="35" s="1"/>
  <c r="W16" i="35"/>
  <c r="H14" i="35"/>
  <c r="AB14" i="35" s="1"/>
  <c r="H33" i="35"/>
  <c r="AB33" i="35"/>
  <c r="S9" i="35"/>
  <c r="J20" i="35"/>
  <c r="W20" i="35" s="1"/>
  <c r="H20" i="35"/>
  <c r="U20" i="35"/>
  <c r="F20" i="35"/>
  <c r="E101" i="37"/>
  <c r="F101" i="37"/>
  <c r="G101" i="37"/>
  <c r="H101" i="37" s="1"/>
  <c r="I101" i="37" s="1"/>
  <c r="J101" i="37"/>
  <c r="K101" i="37" s="1"/>
  <c r="L101" i="37" s="1"/>
  <c r="M101" i="37" s="1"/>
  <c r="J34" i="37"/>
  <c r="AA39" i="37"/>
  <c r="J43" i="34"/>
  <c r="AC43" i="34" s="1"/>
  <c r="H43" i="34"/>
  <c r="U43" i="34" s="1"/>
  <c r="U42" i="34"/>
  <c r="H40" i="34"/>
  <c r="U40" i="34" s="1"/>
  <c r="E114" i="34"/>
  <c r="F38" i="34"/>
  <c r="AA38" i="34"/>
  <c r="F114" i="34"/>
  <c r="G114" i="34" s="1"/>
  <c r="H114" i="34" s="1"/>
  <c r="I114" i="34" s="1"/>
  <c r="J114" i="34" s="1"/>
  <c r="K114" i="34" s="1"/>
  <c r="L114" i="34" s="1"/>
  <c r="M114" i="34" s="1"/>
  <c r="J19" i="34"/>
  <c r="W19" i="34"/>
  <c r="J15" i="34"/>
  <c r="AC15" i="34" s="1"/>
  <c r="H15" i="34"/>
  <c r="AB15" i="34"/>
  <c r="J10" i="34"/>
  <c r="H10" i="34"/>
  <c r="AB10" i="34"/>
  <c r="F41" i="33"/>
  <c r="S41" i="33" s="1"/>
  <c r="E113" i="33"/>
  <c r="J34" i="33"/>
  <c r="AC34" i="33" s="1"/>
  <c r="F36" i="33"/>
  <c r="S36" i="33" s="1"/>
  <c r="F25" i="33"/>
  <c r="AA25" i="33"/>
  <c r="J25" i="33"/>
  <c r="H25" i="33"/>
  <c r="AB25" i="33"/>
  <c r="J23" i="33"/>
  <c r="F23" i="33"/>
  <c r="AA23" i="33"/>
  <c r="H23" i="33"/>
  <c r="U23" i="33" s="1"/>
  <c r="F19" i="33"/>
  <c r="S19" i="33"/>
  <c r="J19" i="33"/>
  <c r="W19" i="33" s="1"/>
  <c r="J17" i="33"/>
  <c r="AC17" i="33"/>
  <c r="H17" i="33"/>
  <c r="AB17" i="33" s="1"/>
  <c r="J15" i="33"/>
  <c r="AC15" i="33"/>
  <c r="F11" i="33"/>
  <c r="S11" i="33" s="1"/>
  <c r="H10" i="33"/>
  <c r="U10" i="33"/>
  <c r="S10" i="21"/>
  <c r="S26" i="33"/>
  <c r="U8" i="33"/>
  <c r="S8" i="33"/>
  <c r="F37" i="40"/>
  <c r="AA37" i="40"/>
  <c r="F36" i="40"/>
  <c r="S36" i="40" s="1"/>
  <c r="AA36" i="40"/>
  <c r="J27" i="40"/>
  <c r="W27" i="40" s="1"/>
  <c r="F27" i="40"/>
  <c r="S27" i="40" s="1"/>
  <c r="F23" i="40"/>
  <c r="AA23" i="40" s="1"/>
  <c r="AC11" i="40"/>
  <c r="AB30" i="36"/>
  <c r="W32" i="35"/>
  <c r="F29" i="35"/>
  <c r="U34" i="37"/>
  <c r="AB42" i="34"/>
  <c r="H38" i="34"/>
  <c r="U15" i="34"/>
  <c r="F113" i="33"/>
  <c r="G113" i="33"/>
  <c r="H113" i="33" s="1"/>
  <c r="I113" i="33" s="1"/>
  <c r="J113" i="33" s="1"/>
  <c r="K113" i="33" s="1"/>
  <c r="L113" i="33" s="1"/>
  <c r="M113" i="33" s="1"/>
  <c r="H37" i="33"/>
  <c r="AB37" i="33"/>
  <c r="AA37" i="33"/>
  <c r="H36" i="33"/>
  <c r="U36" i="33"/>
  <c r="S25" i="33"/>
  <c r="F17" i="33"/>
  <c r="AA17" i="33" s="1"/>
  <c r="H15" i="33"/>
  <c r="AB15" i="33"/>
  <c r="AB11" i="33"/>
  <c r="AC42" i="34"/>
  <c r="W42" i="34"/>
  <c r="AA42" i="34"/>
  <c r="S42" i="34"/>
  <c r="J37" i="33"/>
  <c r="AC37" i="33"/>
  <c r="J36" i="33"/>
  <c r="J11" i="33"/>
  <c r="AC11" i="33"/>
  <c r="J42" i="21"/>
  <c r="AC42" i="21" s="1"/>
  <c r="H42" i="21"/>
  <c r="AB42" i="21"/>
  <c r="J10" i="35"/>
  <c r="F14" i="21"/>
  <c r="S14" i="21" s="1"/>
  <c r="H28" i="21"/>
  <c r="AB28" i="21" s="1"/>
  <c r="F28" i="21"/>
  <c r="AA28" i="21"/>
  <c r="J28" i="21"/>
  <c r="W28" i="21" s="1"/>
  <c r="F30" i="21"/>
  <c r="S30" i="21" s="1"/>
  <c r="J44" i="21"/>
  <c r="H44" i="21"/>
  <c r="U44" i="21"/>
  <c r="F44" i="21"/>
  <c r="J46" i="21"/>
  <c r="W46" i="21" s="1"/>
  <c r="E119" i="21"/>
  <c r="F119" i="21" s="1"/>
  <c r="G119" i="21" s="1"/>
  <c r="H119" i="21" s="1"/>
  <c r="I119" i="21" s="1"/>
  <c r="J119" i="21" s="1"/>
  <c r="K119" i="21" s="1"/>
  <c r="L119" i="21" s="1"/>
  <c r="M119" i="21" s="1"/>
  <c r="H26" i="33"/>
  <c r="U26" i="33"/>
  <c r="H28" i="33"/>
  <c r="U28" i="33" s="1"/>
  <c r="F28" i="33"/>
  <c r="S28" i="33"/>
  <c r="J28" i="33"/>
  <c r="AC28" i="33" s="1"/>
  <c r="F33" i="35"/>
  <c r="S33" i="35"/>
  <c r="J33" i="35"/>
  <c r="W33" i="35" s="1"/>
  <c r="F30" i="35"/>
  <c r="S30" i="35"/>
  <c r="E89" i="35"/>
  <c r="F89" i="35" s="1"/>
  <c r="G89" i="35" s="1"/>
  <c r="H89" i="35" s="1"/>
  <c r="I89" i="35" s="1"/>
  <c r="J89" i="35" s="1"/>
  <c r="K89" i="35" s="1"/>
  <c r="L89" i="35" s="1"/>
  <c r="M89" i="35" s="1"/>
  <c r="H10" i="36"/>
  <c r="F83" i="36"/>
  <c r="G83" i="36"/>
  <c r="H83" i="36"/>
  <c r="I83" i="36" s="1"/>
  <c r="J83" i="36" s="1"/>
  <c r="K83" i="36" s="1"/>
  <c r="L83" i="36" s="1"/>
  <c r="M83" i="36" s="1"/>
  <c r="F28" i="36"/>
  <c r="AA28" i="36"/>
  <c r="J13" i="33"/>
  <c r="H13" i="33"/>
  <c r="AB13" i="33"/>
  <c r="F13" i="33"/>
  <c r="J31" i="33"/>
  <c r="AC31" i="33" s="1"/>
  <c r="W31" i="33"/>
  <c r="H31" i="33"/>
  <c r="AB31" i="33"/>
  <c r="F31" i="33"/>
  <c r="S31" i="33" s="1"/>
  <c r="AA31" i="33"/>
  <c r="J14" i="34"/>
  <c r="AC14" i="34" s="1"/>
  <c r="W14" i="34"/>
  <c r="H30" i="34"/>
  <c r="F30" i="34"/>
  <c r="S30" i="34"/>
  <c r="J30" i="34"/>
  <c r="W30" i="34" s="1"/>
  <c r="H46" i="34"/>
  <c r="U46" i="34" s="1"/>
  <c r="F46" i="34"/>
  <c r="S46" i="34"/>
  <c r="J46" i="34"/>
  <c r="W46" i="34" s="1"/>
  <c r="H11" i="35"/>
  <c r="U11" i="35"/>
  <c r="J11" i="35"/>
  <c r="AC11" i="35" s="1"/>
  <c r="F11" i="35"/>
  <c r="S11" i="35"/>
  <c r="J26" i="36"/>
  <c r="AC26" i="36" s="1"/>
  <c r="H28" i="36"/>
  <c r="U28" i="36"/>
  <c r="H32" i="36"/>
  <c r="AB32" i="36" s="1"/>
  <c r="J32" i="36"/>
  <c r="W32" i="36"/>
  <c r="J11" i="36"/>
  <c r="AC11" i="36" s="1"/>
  <c r="H11" i="36"/>
  <c r="AB11" i="36"/>
  <c r="F11" i="36"/>
  <c r="S11" i="36" s="1"/>
  <c r="H13" i="36"/>
  <c r="AB13" i="36"/>
  <c r="J13" i="36"/>
  <c r="AC13" i="36" s="1"/>
  <c r="F13" i="36"/>
  <c r="S13" i="36"/>
  <c r="H36" i="37"/>
  <c r="U36" i="37" s="1"/>
  <c r="H37" i="37"/>
  <c r="U37" i="37"/>
  <c r="AC12" i="40"/>
  <c r="H14" i="33"/>
  <c r="U14" i="33"/>
  <c r="F14" i="33"/>
  <c r="AA14" i="33" s="1"/>
  <c r="J14" i="33"/>
  <c r="AC14" i="33"/>
  <c r="H30" i="33"/>
  <c r="U30" i="33" s="1"/>
  <c r="F30" i="33"/>
  <c r="S30" i="33"/>
  <c r="J30" i="33"/>
  <c r="AC30" i="33" s="1"/>
  <c r="H44" i="33"/>
  <c r="AB44" i="33"/>
  <c r="J44" i="33"/>
  <c r="W44" i="33" s="1"/>
  <c r="F44" i="33"/>
  <c r="S44" i="33"/>
  <c r="J46" i="33"/>
  <c r="AC46" i="33" s="1"/>
  <c r="F46" i="33"/>
  <c r="AA46" i="33"/>
  <c r="H46" i="33"/>
  <c r="U46" i="33" s="1"/>
  <c r="H13" i="34"/>
  <c r="U13" i="34"/>
  <c r="J13" i="34"/>
  <c r="W13" i="34" s="1"/>
  <c r="F13" i="34"/>
  <c r="AA13" i="34"/>
  <c r="J29" i="34"/>
  <c r="W29" i="34" s="1"/>
  <c r="F29" i="34"/>
  <c r="S29" i="34"/>
  <c r="H29" i="34"/>
  <c r="AB29" i="34" s="1"/>
  <c r="J31" i="34"/>
  <c r="AC31" i="34"/>
  <c r="H31" i="34"/>
  <c r="AB31" i="34" s="1"/>
  <c r="F31" i="34"/>
  <c r="S31" i="34"/>
  <c r="H45" i="34"/>
  <c r="U45" i="34" s="1"/>
  <c r="J45" i="34"/>
  <c r="W45" i="34"/>
  <c r="F45" i="34"/>
  <c r="AA45" i="34" s="1"/>
  <c r="H47" i="34"/>
  <c r="U47" i="34"/>
  <c r="F47" i="34"/>
  <c r="S47" i="34" s="1"/>
  <c r="J47" i="34"/>
  <c r="AC47" i="34"/>
  <c r="F13" i="35"/>
  <c r="AA13" i="35" s="1"/>
  <c r="J13" i="35"/>
  <c r="AC13" i="35"/>
  <c r="H13" i="35"/>
  <c r="U13" i="35" s="1"/>
  <c r="J25" i="35"/>
  <c r="W25" i="35"/>
  <c r="F25" i="35"/>
  <c r="S25" i="35" s="1"/>
  <c r="H25" i="35"/>
  <c r="AB25" i="35"/>
  <c r="J35" i="35"/>
  <c r="W35" i="35" s="1"/>
  <c r="J25" i="36"/>
  <c r="AC25" i="36"/>
  <c r="F25" i="36"/>
  <c r="AA25" i="36" s="1"/>
  <c r="S25" i="36"/>
  <c r="H25" i="36"/>
  <c r="AB25" i="36"/>
  <c r="H13" i="37"/>
  <c r="AB13" i="37" s="1"/>
  <c r="U13" i="37"/>
  <c r="F13" i="37"/>
  <c r="S13" i="37"/>
  <c r="J13" i="37"/>
  <c r="W13" i="37"/>
  <c r="F28" i="37"/>
  <c r="AA28" i="37"/>
  <c r="J28" i="37"/>
  <c r="W28" i="37" s="1"/>
  <c r="AC28" i="37"/>
  <c r="H28" i="37"/>
  <c r="U28" i="37"/>
  <c r="H38" i="37"/>
  <c r="AB38" i="37"/>
  <c r="F38" i="37"/>
  <c r="AA38" i="37" s="1"/>
  <c r="J14" i="39"/>
  <c r="H14" i="39"/>
  <c r="AB14" i="39" s="1"/>
  <c r="F12" i="40"/>
  <c r="AA12" i="40" s="1"/>
  <c r="H12" i="40"/>
  <c r="AB12" i="40" s="1"/>
  <c r="H30" i="40"/>
  <c r="AB30" i="40"/>
  <c r="F33" i="40"/>
  <c r="AA33" i="40"/>
  <c r="H33" i="40"/>
  <c r="U33" i="40" s="1"/>
  <c r="AB33" i="40"/>
  <c r="J35" i="40"/>
  <c r="AC35" i="40"/>
  <c r="H13" i="40"/>
  <c r="U13" i="40"/>
  <c r="J13" i="40"/>
  <c r="W13" i="40"/>
  <c r="F13" i="40"/>
  <c r="S13" i="40" s="1"/>
  <c r="AA13" i="40"/>
  <c r="F14" i="37"/>
  <c r="S14" i="37"/>
  <c r="F13" i="39"/>
  <c r="AA13" i="39"/>
  <c r="J13" i="39"/>
  <c r="W13" i="39"/>
  <c r="H13" i="39"/>
  <c r="AB13" i="39" s="1"/>
  <c r="U13" i="39"/>
  <c r="H14" i="40"/>
  <c r="AB14" i="40"/>
  <c r="J14" i="40"/>
  <c r="W14" i="40"/>
  <c r="F14" i="40"/>
  <c r="AA14" i="40"/>
  <c r="J14" i="37"/>
  <c r="AC14" i="37"/>
  <c r="W13" i="35"/>
  <c r="AA44" i="33"/>
  <c r="AB14" i="33"/>
  <c r="AB37" i="37"/>
  <c r="W30" i="33"/>
  <c r="J10" i="36"/>
  <c r="W10" i="36" s="1"/>
  <c r="AC10" i="36"/>
  <c r="S46" i="33"/>
  <c r="U31" i="33"/>
  <c r="U42" i="21"/>
  <c r="S33" i="21"/>
  <c r="S19" i="21"/>
  <c r="J41" i="39"/>
  <c r="W41" i="39" s="1"/>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c r="J25" i="21"/>
  <c r="H17" i="37"/>
  <c r="U17" i="37"/>
  <c r="F73" i="37"/>
  <c r="G73" i="37" s="1"/>
  <c r="F23" i="37"/>
  <c r="S23" i="37"/>
  <c r="F32" i="37"/>
  <c r="S32" i="37" s="1"/>
  <c r="AA36" i="39"/>
  <c r="F39" i="33"/>
  <c r="AA39" i="33"/>
  <c r="F42" i="33"/>
  <c r="F14" i="36"/>
  <c r="AA14" i="36"/>
  <c r="F22" i="36"/>
  <c r="AA22" i="36" s="1"/>
  <c r="F26" i="36"/>
  <c r="AA26" i="36"/>
  <c r="H27" i="34"/>
  <c r="U27" i="34" s="1"/>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J36" i="40"/>
  <c r="W36" i="40" s="1"/>
  <c r="H42" i="33"/>
  <c r="U42" i="33"/>
  <c r="J23" i="37"/>
  <c r="W23" i="37" s="1"/>
  <c r="S30" i="31"/>
  <c r="AB20" i="35"/>
  <c r="AA11" i="35"/>
  <c r="S28" i="37"/>
  <c r="U39" i="37"/>
  <c r="W47" i="34"/>
  <c r="AB8" i="34"/>
  <c r="W14" i="33"/>
  <c r="AA30" i="33"/>
  <c r="AB10" i="33"/>
  <c r="AC33" i="21"/>
  <c r="AB38" i="21"/>
  <c r="AA23" i="37"/>
  <c r="H37" i="21"/>
  <c r="U37" i="21" s="1"/>
  <c r="J37" i="21"/>
  <c r="W37" i="21"/>
  <c r="H19" i="34"/>
  <c r="U19" i="34" s="1"/>
  <c r="F36" i="35"/>
  <c r="AA36" i="35"/>
  <c r="J9" i="37"/>
  <c r="AC9" i="37" s="1"/>
  <c r="H9" i="37"/>
  <c r="AB9" i="37"/>
  <c r="F9" i="37"/>
  <c r="AA9" i="37" s="1"/>
  <c r="F11" i="37"/>
  <c r="S11" i="37"/>
  <c r="J42" i="39"/>
  <c r="AC42" i="39" s="1"/>
  <c r="AB37" i="21"/>
  <c r="AB27" i="40"/>
  <c r="D15" i="47"/>
  <c r="D17" i="47"/>
  <c r="D19" i="47"/>
  <c r="D21" i="47"/>
  <c r="D23" i="47"/>
  <c r="D27" i="47"/>
  <c r="D33" i="47"/>
  <c r="D37" i="47"/>
  <c r="D39" i="47"/>
  <c r="D41" i="47"/>
  <c r="D43" i="47"/>
  <c r="D16" i="47"/>
  <c r="D18" i="47"/>
  <c r="D20" i="47"/>
  <c r="D22" i="47"/>
  <c r="D26" i="47"/>
  <c r="D28" i="47"/>
  <c r="D30" i="47"/>
  <c r="F26" i="47" s="1"/>
  <c r="D32" i="47"/>
  <c r="D34" i="47"/>
  <c r="D38" i="47"/>
  <c r="D40" i="47"/>
  <c r="D42" i="47"/>
  <c r="D44" i="47"/>
  <c r="D9" i="47"/>
  <c r="D8" i="47"/>
  <c r="D6" i="47"/>
  <c r="H19" i="40"/>
  <c r="AB19" i="40" s="1"/>
  <c r="F19" i="40"/>
  <c r="U45" i="39"/>
  <c r="AB45" i="39"/>
  <c r="G102" i="39"/>
  <c r="AC13" i="39"/>
  <c r="H37" i="39"/>
  <c r="U37" i="39" s="1"/>
  <c r="AC37" i="39"/>
  <c r="H25" i="39"/>
  <c r="U25" i="39"/>
  <c r="J25" i="39"/>
  <c r="F25" i="39"/>
  <c r="S25" i="39" s="1"/>
  <c r="F15" i="39"/>
  <c r="S15" i="39" s="1"/>
  <c r="H15" i="39"/>
  <c r="U15" i="39" s="1"/>
  <c r="J15" i="39"/>
  <c r="W15" i="39" s="1"/>
  <c r="H41" i="39"/>
  <c r="AB41" i="39" s="1"/>
  <c r="F11" i="39"/>
  <c r="AA11" i="39" s="1"/>
  <c r="H21" i="39"/>
  <c r="U21" i="39" s="1"/>
  <c r="F32" i="39"/>
  <c r="S32" i="39" s="1"/>
  <c r="W29" i="39"/>
  <c r="U34" i="39"/>
  <c r="S42" i="39"/>
  <c r="S41" i="39"/>
  <c r="AB25" i="39"/>
  <c r="W21" i="39"/>
  <c r="J11" i="39"/>
  <c r="W11" i="39"/>
  <c r="J32" i="39"/>
  <c r="W32" i="39" s="1"/>
  <c r="AC32" i="39"/>
  <c r="E65" i="39"/>
  <c r="E60" i="40"/>
  <c r="F34" i="43"/>
  <c r="C21" i="11"/>
  <c r="H55" i="39"/>
  <c r="S30" i="40"/>
  <c r="H16" i="44"/>
  <c r="D17" i="43"/>
  <c r="I17" i="43"/>
  <c r="D108" i="9"/>
  <c r="F22" i="43"/>
  <c r="G22" i="43"/>
  <c r="H14" i="44"/>
  <c r="W40" i="39"/>
  <c r="AC20" i="35"/>
  <c r="S39" i="34"/>
  <c r="AB12" i="34"/>
  <c r="AC30" i="34"/>
  <c r="H23" i="34"/>
  <c r="AB23" i="34"/>
  <c r="F33" i="34"/>
  <c r="AA33" i="34" s="1"/>
  <c r="H36" i="34"/>
  <c r="AB36" i="34"/>
  <c r="F35" i="34"/>
  <c r="AA35" i="34" s="1"/>
  <c r="J35" i="34"/>
  <c r="AC35" i="34"/>
  <c r="F27" i="34"/>
  <c r="S27" i="34" s="1"/>
  <c r="J33" i="34"/>
  <c r="W33" i="34"/>
  <c r="J37" i="34"/>
  <c r="W37" i="34" s="1"/>
  <c r="S23" i="34"/>
  <c r="AB33" i="34"/>
  <c r="AC37" i="34"/>
  <c r="J26" i="35"/>
  <c r="W26" i="35"/>
  <c r="F26" i="35"/>
  <c r="AA26" i="35" s="1"/>
  <c r="H26" i="35"/>
  <c r="U26" i="35"/>
  <c r="U28" i="21"/>
  <c r="K145" i="21"/>
  <c r="K144" i="21"/>
  <c r="K141" i="21"/>
  <c r="K143" i="21"/>
  <c r="B101" i="9"/>
  <c r="C112" i="9" s="1"/>
  <c r="H110" i="9" s="1"/>
  <c r="F23" i="21"/>
  <c r="S23" i="21" s="1"/>
  <c r="J23" i="21"/>
  <c r="AC23" i="21"/>
  <c r="H23" i="21"/>
  <c r="AB23" i="21" s="1"/>
  <c r="F17" i="21"/>
  <c r="AA17" i="21"/>
  <c r="J17" i="21"/>
  <c r="W17" i="21" s="1"/>
  <c r="H17" i="21"/>
  <c r="AB17" i="21" s="1"/>
  <c r="J15" i="21"/>
  <c r="W15" i="21" s="1"/>
  <c r="U35" i="21"/>
  <c r="H103" i="57"/>
  <c r="A131" i="9"/>
  <c r="A135" i="57"/>
  <c r="A14" i="52" s="1"/>
  <c r="B61" i="60" s="1"/>
  <c r="B103" i="57"/>
  <c r="B107" i="57" s="1"/>
  <c r="C112" i="57"/>
  <c r="H107" i="57" s="1"/>
  <c r="D128" i="57"/>
  <c r="D7" i="52" s="1"/>
  <c r="T27" i="31"/>
  <c r="S27" i="31"/>
  <c r="B113" i="43"/>
  <c r="D117" i="43" s="1"/>
  <c r="E117" i="43" s="1"/>
  <c r="F117" i="43" s="1"/>
  <c r="G117" i="43" s="1"/>
  <c r="H117" i="43" s="1"/>
  <c r="M101" i="43"/>
  <c r="M109" i="43" s="1"/>
  <c r="K101" i="43"/>
  <c r="K107" i="43" s="1"/>
  <c r="I101" i="43"/>
  <c r="I102" i="43" s="1"/>
  <c r="G101" i="43"/>
  <c r="G105" i="43" s="1"/>
  <c r="E101" i="43"/>
  <c r="C101" i="43"/>
  <c r="N101" i="43"/>
  <c r="N107" i="43" s="1"/>
  <c r="L101" i="43"/>
  <c r="L109" i="43" s="1"/>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AB40" i="37"/>
  <c r="U40" i="37"/>
  <c r="U15" i="21"/>
  <c r="AB15" i="21"/>
  <c r="AA16" i="35"/>
  <c r="S14" i="39"/>
  <c r="AB29" i="35"/>
  <c r="AA35" i="39"/>
  <c r="AB21" i="39"/>
  <c r="U25" i="35"/>
  <c r="AB46" i="34"/>
  <c r="AB38" i="34"/>
  <c r="U38" i="34"/>
  <c r="F40" i="34"/>
  <c r="AA40" i="34" s="1"/>
  <c r="U20" i="36"/>
  <c r="AB20" i="36"/>
  <c r="AC44" i="39"/>
  <c r="W44" i="39"/>
  <c r="H13" i="21"/>
  <c r="U13" i="21" s="1"/>
  <c r="J13" i="21"/>
  <c r="W13" i="21" s="1"/>
  <c r="F13" i="21"/>
  <c r="J45" i="21"/>
  <c r="F45" i="21"/>
  <c r="AA45" i="21"/>
  <c r="S42" i="21"/>
  <c r="B41" i="47"/>
  <c r="C23" i="40"/>
  <c r="W12" i="34"/>
  <c r="AC12" i="34"/>
  <c r="J9" i="34"/>
  <c r="F9" i="34"/>
  <c r="S9" i="34"/>
  <c r="AA19" i="34"/>
  <c r="S19" i="34"/>
  <c r="AB23" i="36"/>
  <c r="U23" i="36"/>
  <c r="J12" i="36"/>
  <c r="W12" i="36"/>
  <c r="H12" i="36"/>
  <c r="AB12" i="36" s="1"/>
  <c r="AA9" i="39"/>
  <c r="S9" i="39"/>
  <c r="AB12" i="39"/>
  <c r="F12" i="39"/>
  <c r="R29" i="31"/>
  <c r="T29" i="31" s="1"/>
  <c r="F15" i="21"/>
  <c r="S15" i="21" s="1"/>
  <c r="C106" i="9"/>
  <c r="H102" i="9" s="1"/>
  <c r="AA30" i="21"/>
  <c r="J36" i="34"/>
  <c r="W36" i="34" s="1"/>
  <c r="J19" i="40"/>
  <c r="W9" i="39"/>
  <c r="H32" i="39"/>
  <c r="F21" i="39"/>
  <c r="AA21" i="39" s="1"/>
  <c r="F31" i="37"/>
  <c r="U25" i="36"/>
  <c r="AC36" i="40"/>
  <c r="F17" i="37"/>
  <c r="AA17" i="37" s="1"/>
  <c r="AB28" i="36"/>
  <c r="AB13" i="40"/>
  <c r="U44" i="33"/>
  <c r="U11" i="36"/>
  <c r="AB11" i="35"/>
  <c r="AA30" i="34"/>
  <c r="H45" i="21"/>
  <c r="AB45" i="21" s="1"/>
  <c r="J14" i="36"/>
  <c r="W14" i="36" s="1"/>
  <c r="S15" i="34"/>
  <c r="J40" i="34"/>
  <c r="W40" i="34" s="1"/>
  <c r="S37" i="40"/>
  <c r="H19" i="33"/>
  <c r="AB19" i="33"/>
  <c r="AB23" i="33"/>
  <c r="AA41" i="33"/>
  <c r="J23" i="34"/>
  <c r="W23" i="34" s="1"/>
  <c r="AB17" i="39"/>
  <c r="W22" i="35"/>
  <c r="S30" i="36"/>
  <c r="S38" i="21"/>
  <c r="AA38" i="21"/>
  <c r="E106" i="21"/>
  <c r="F106" i="21" s="1"/>
  <c r="G106" i="21" s="1"/>
  <c r="H106" i="21" s="1"/>
  <c r="I106" i="21" s="1"/>
  <c r="J106" i="21" s="1"/>
  <c r="K106" i="21" s="1"/>
  <c r="L106" i="21" s="1"/>
  <c r="M106" i="21" s="1"/>
  <c r="F34" i="21"/>
  <c r="S34" i="21" s="1"/>
  <c r="H34" i="21"/>
  <c r="AB34" i="21" s="1"/>
  <c r="U34" i="21"/>
  <c r="J34" i="21"/>
  <c r="AC34" i="21" s="1"/>
  <c r="AC36" i="21"/>
  <c r="W36" i="21"/>
  <c r="F32" i="33"/>
  <c r="AA32" i="33"/>
  <c r="H9" i="34"/>
  <c r="AB9" i="34" s="1"/>
  <c r="J39" i="34"/>
  <c r="AC39" i="34" s="1"/>
  <c r="W39" i="34"/>
  <c r="J27" i="36"/>
  <c r="F37" i="34"/>
  <c r="S37" i="34" s="1"/>
  <c r="AA37" i="34"/>
  <c r="H37" i="34"/>
  <c r="U37" i="34" s="1"/>
  <c r="B24" i="47"/>
  <c r="AA32" i="37"/>
  <c r="U12" i="40"/>
  <c r="AA14" i="35"/>
  <c r="S14" i="35"/>
  <c r="W11" i="21"/>
  <c r="S45" i="39"/>
  <c r="AA45" i="39"/>
  <c r="H27" i="21"/>
  <c r="AB27" i="21" s="1"/>
  <c r="J27" i="21"/>
  <c r="W27" i="21" s="1"/>
  <c r="F27" i="21"/>
  <c r="S27" i="21" s="1"/>
  <c r="AA27" i="21"/>
  <c r="J29" i="21"/>
  <c r="AC29" i="21" s="1"/>
  <c r="H29" i="21"/>
  <c r="AB29" i="21" s="1"/>
  <c r="U29" i="21"/>
  <c r="F29" i="21"/>
  <c r="J31" i="21"/>
  <c r="W31" i="21"/>
  <c r="H31" i="21"/>
  <c r="U31" i="21" s="1"/>
  <c r="F31" i="21"/>
  <c r="AA31" i="21" s="1"/>
  <c r="H39" i="21"/>
  <c r="U39" i="21" s="1"/>
  <c r="AA15" i="33"/>
  <c r="S15" i="33"/>
  <c r="AA35" i="33"/>
  <c r="E117" i="33"/>
  <c r="F117" i="33" s="1"/>
  <c r="G117" i="33" s="1"/>
  <c r="J39" i="33"/>
  <c r="AC39" i="33" s="1"/>
  <c r="E125" i="33"/>
  <c r="H43" i="33"/>
  <c r="U43" i="33"/>
  <c r="E91" i="33"/>
  <c r="F91" i="33" s="1"/>
  <c r="G91" i="33" s="1"/>
  <c r="H91" i="33"/>
  <c r="I91" i="33"/>
  <c r="J91" i="33" s="1"/>
  <c r="K91" i="33" s="1"/>
  <c r="L91" i="33" s="1"/>
  <c r="M91" i="33" s="1"/>
  <c r="F27" i="33"/>
  <c r="S27" i="33" s="1"/>
  <c r="H41" i="33"/>
  <c r="AB41" i="33" s="1"/>
  <c r="S12" i="34"/>
  <c r="AA12" i="34"/>
  <c r="AA11" i="34"/>
  <c r="H17" i="34"/>
  <c r="U17" i="34"/>
  <c r="H16" i="35"/>
  <c r="J24" i="35"/>
  <c r="AC24" i="35"/>
  <c r="F24" i="35"/>
  <c r="H24" i="35"/>
  <c r="U24" i="35"/>
  <c r="H34" i="35"/>
  <c r="U34" i="35" s="1"/>
  <c r="F34" i="35"/>
  <c r="G60" i="37"/>
  <c r="H60" i="37" s="1"/>
  <c r="I60" i="37" s="1"/>
  <c r="F10" i="37"/>
  <c r="AA10" i="37" s="1"/>
  <c r="J12" i="37"/>
  <c r="W12" i="37"/>
  <c r="F12" i="37"/>
  <c r="S12" i="37" s="1"/>
  <c r="H27" i="37"/>
  <c r="U27" i="37"/>
  <c r="F27" i="37"/>
  <c r="J27" i="37"/>
  <c r="AC27" i="37"/>
  <c r="J29" i="37"/>
  <c r="F29" i="37"/>
  <c r="S29" i="37" s="1"/>
  <c r="H31" i="37"/>
  <c r="AB31" i="37" s="1"/>
  <c r="J36" i="37"/>
  <c r="W36" i="37" s="1"/>
  <c r="J40" i="37"/>
  <c r="W40" i="37" s="1"/>
  <c r="F40" i="37"/>
  <c r="AA40" i="37"/>
  <c r="U8" i="39"/>
  <c r="AB8" i="39"/>
  <c r="J29" i="35"/>
  <c r="AC29" i="35" s="1"/>
  <c r="AC30" i="36"/>
  <c r="W30" i="36"/>
  <c r="H35" i="39"/>
  <c r="U35" i="39" s="1"/>
  <c r="J35" i="39"/>
  <c r="AC35" i="39" s="1"/>
  <c r="H16" i="36"/>
  <c r="U16" i="36" s="1"/>
  <c r="F101" i="21"/>
  <c r="G101" i="21"/>
  <c r="H101" i="21" s="1"/>
  <c r="I101" i="21" s="1"/>
  <c r="J101" i="21"/>
  <c r="K101" i="21" s="1"/>
  <c r="L101" i="21" s="1"/>
  <c r="M101" i="21" s="1"/>
  <c r="F32" i="21"/>
  <c r="AA32" i="21" s="1"/>
  <c r="S32" i="21"/>
  <c r="J32" i="21"/>
  <c r="W32" i="21" s="1"/>
  <c r="H32" i="21"/>
  <c r="U32" i="21" s="1"/>
  <c r="F40" i="21"/>
  <c r="AA40" i="21" s="1"/>
  <c r="H40" i="21"/>
  <c r="U40" i="21" s="1"/>
  <c r="J40" i="21"/>
  <c r="AC40" i="21" s="1"/>
  <c r="B44" i="47"/>
  <c r="C21" i="40"/>
  <c r="AC33" i="33"/>
  <c r="W33" i="33"/>
  <c r="S34" i="33"/>
  <c r="AA38" i="33"/>
  <c r="S38" i="33"/>
  <c r="W38" i="33"/>
  <c r="J9" i="33"/>
  <c r="AC9" i="33" s="1"/>
  <c r="F9" i="33"/>
  <c r="AA9" i="33"/>
  <c r="AA10" i="34"/>
  <c r="S10" i="34"/>
  <c r="F25" i="34"/>
  <c r="S25" i="34"/>
  <c r="E126" i="34"/>
  <c r="F126" i="34" s="1"/>
  <c r="H44" i="34"/>
  <c r="U44" i="34" s="1"/>
  <c r="AB26" i="36"/>
  <c r="U26" i="36"/>
  <c r="F20" i="36"/>
  <c r="AA20" i="36"/>
  <c r="H24" i="36"/>
  <c r="AB24" i="36" s="1"/>
  <c r="AA32" i="36"/>
  <c r="S32" i="36"/>
  <c r="J26" i="37"/>
  <c r="AC26" i="37" s="1"/>
  <c r="H26" i="37"/>
  <c r="AB26" i="37"/>
  <c r="F26" i="37"/>
  <c r="AA26" i="37" s="1"/>
  <c r="J23" i="39"/>
  <c r="W23" i="39" s="1"/>
  <c r="H15" i="37"/>
  <c r="AB15" i="37"/>
  <c r="F15" i="37"/>
  <c r="F38" i="40"/>
  <c r="AA38" i="40"/>
  <c r="J38" i="40"/>
  <c r="H38" i="40"/>
  <c r="AB38" i="40"/>
  <c r="J40" i="40"/>
  <c r="AC40" i="40" s="1"/>
  <c r="H40" i="40"/>
  <c r="AB40" i="40"/>
  <c r="F40" i="40"/>
  <c r="AA40" i="40" s="1"/>
  <c r="N6" i="43"/>
  <c r="M1" i="43"/>
  <c r="F101" i="9"/>
  <c r="C25" i="57"/>
  <c r="N102" i="43"/>
  <c r="G103" i="43"/>
  <c r="F59" i="43"/>
  <c r="H63" i="43" s="1"/>
  <c r="G15" i="47"/>
  <c r="W40" i="40"/>
  <c r="U15" i="37"/>
  <c r="H25" i="34"/>
  <c r="U25" i="34"/>
  <c r="AB35" i="39"/>
  <c r="AC40" i="37"/>
  <c r="AA34" i="35"/>
  <c r="S34" i="35"/>
  <c r="AB24" i="35"/>
  <c r="J17" i="34"/>
  <c r="W17" i="34" s="1"/>
  <c r="AC17" i="34"/>
  <c r="F17" i="34"/>
  <c r="AA17" i="34"/>
  <c r="H27" i="33"/>
  <c r="F43" i="33"/>
  <c r="S43" i="33"/>
  <c r="F125" i="33"/>
  <c r="G125" i="33" s="1"/>
  <c r="J43" i="33"/>
  <c r="AC43" i="33"/>
  <c r="AB31" i="21"/>
  <c r="AA29" i="21"/>
  <c r="S29" i="21"/>
  <c r="W29" i="21"/>
  <c r="AC27" i="21"/>
  <c r="H27" i="36"/>
  <c r="AB27" i="36"/>
  <c r="F27" i="36"/>
  <c r="AA27" i="36"/>
  <c r="H11" i="34"/>
  <c r="U11" i="34" s="1"/>
  <c r="J11" i="37"/>
  <c r="AC11" i="37"/>
  <c r="AC36" i="34"/>
  <c r="W12" i="39"/>
  <c r="S45" i="21"/>
  <c r="AB13" i="21"/>
  <c r="U38" i="40"/>
  <c r="F23" i="39"/>
  <c r="S23" i="39" s="1"/>
  <c r="AA23" i="39"/>
  <c r="S26" i="37"/>
  <c r="F44" i="34"/>
  <c r="G126" i="34"/>
  <c r="J44" i="34"/>
  <c r="AC44" i="34" s="1"/>
  <c r="S40" i="21"/>
  <c r="W27" i="37"/>
  <c r="AB27" i="37"/>
  <c r="H10" i="37"/>
  <c r="U10" i="37" s="1"/>
  <c r="AA27" i="33"/>
  <c r="AB43" i="33"/>
  <c r="S31" i="21"/>
  <c r="AC27" i="36"/>
  <c r="W27" i="36"/>
  <c r="U9" i="34"/>
  <c r="H101" i="33"/>
  <c r="I101" i="33" s="1"/>
  <c r="J101" i="33" s="1"/>
  <c r="K101" i="33" s="1"/>
  <c r="L101" i="33" s="1"/>
  <c r="M101" i="33" s="1"/>
  <c r="J32" i="33"/>
  <c r="W32" i="33"/>
  <c r="H32" i="33"/>
  <c r="U32" i="33" s="1"/>
  <c r="AB32" i="33"/>
  <c r="U45" i="21"/>
  <c r="AC45" i="21"/>
  <c r="W45" i="21"/>
  <c r="AA44" i="34"/>
  <c r="S44" i="34"/>
  <c r="S27" i="36"/>
  <c r="AB25" i="34"/>
  <c r="J10" i="37"/>
  <c r="AC10" i="37"/>
  <c r="H23" i="39"/>
  <c r="AB23" i="39" s="1"/>
  <c r="J11" i="34"/>
  <c r="W11" i="34" s="1"/>
  <c r="J27" i="33"/>
  <c r="W27" i="33" s="1"/>
  <c r="J25" i="34"/>
  <c r="W25" i="34"/>
  <c r="U23" i="39"/>
  <c r="AC11" i="34"/>
  <c r="K53" i="43"/>
  <c r="J53" i="43"/>
  <c r="D53" i="43"/>
  <c r="M53" i="43"/>
  <c r="N53" i="43"/>
  <c r="K49" i="43"/>
  <c r="J49" i="43" s="1"/>
  <c r="D49" i="43"/>
  <c r="M49" i="43"/>
  <c r="N49" i="43"/>
  <c r="K54" i="43"/>
  <c r="J54" i="43" s="1"/>
  <c r="D54" i="43"/>
  <c r="M54" i="43"/>
  <c r="N54" i="43"/>
  <c r="K50" i="43"/>
  <c r="J50" i="43"/>
  <c r="D50" i="43"/>
  <c r="M50" i="43"/>
  <c r="N50" i="43" s="1"/>
  <c r="K55" i="43"/>
  <c r="J55" i="43"/>
  <c r="D55" i="43"/>
  <c r="M55" i="43"/>
  <c r="N55" i="43"/>
  <c r="K51" i="43"/>
  <c r="J51" i="43"/>
  <c r="D51" i="43"/>
  <c r="M51" i="43"/>
  <c r="N51" i="43"/>
  <c r="K48" i="43"/>
  <c r="J48" i="43" s="1"/>
  <c r="D48" i="43"/>
  <c r="M48" i="43"/>
  <c r="N48" i="43" s="1"/>
  <c r="K52" i="43"/>
  <c r="J52" i="43"/>
  <c r="D52" i="43"/>
  <c r="M52" i="43"/>
  <c r="N52" i="43" s="1"/>
  <c r="K56" i="43"/>
  <c r="J56" i="43"/>
  <c r="D56" i="43"/>
  <c r="M56" i="43"/>
  <c r="N56" i="43"/>
  <c r="F43" i="15"/>
  <c r="F72" i="15" s="1"/>
  <c r="D37" i="11"/>
  <c r="M29" i="15"/>
  <c r="D10" i="11"/>
  <c r="P60" i="15"/>
  <c r="D3" i="35"/>
  <c r="D3" i="34"/>
  <c r="A16" i="55"/>
  <c r="B46" i="60" s="1"/>
  <c r="D3" i="33"/>
  <c r="D3" i="37"/>
  <c r="D3" i="36"/>
  <c r="AC9" i="40"/>
  <c r="S9" i="40"/>
  <c r="AA27" i="40"/>
  <c r="S40" i="40"/>
  <c r="W35" i="40"/>
  <c r="W33" i="40"/>
  <c r="W34" i="40"/>
  <c r="J37" i="40"/>
  <c r="AC37" i="40" s="1"/>
  <c r="H35" i="40"/>
  <c r="H37" i="40"/>
  <c r="H28" i="40"/>
  <c r="AB28" i="40" s="1"/>
  <c r="F28" i="40"/>
  <c r="S28" i="40" s="1"/>
  <c r="J28" i="40"/>
  <c r="G97" i="40"/>
  <c r="H97" i="40" s="1"/>
  <c r="I97" i="40"/>
  <c r="J97" i="40" s="1"/>
  <c r="K97" i="40" s="1"/>
  <c r="L97" i="40" s="1"/>
  <c r="M97" i="40" s="1"/>
  <c r="F21" i="40"/>
  <c r="AA21" i="40" s="1"/>
  <c r="H21" i="40"/>
  <c r="G89" i="40"/>
  <c r="J21" i="40"/>
  <c r="W21" i="40" s="1"/>
  <c r="F85" i="40"/>
  <c r="G85" i="40" s="1"/>
  <c r="H17" i="40"/>
  <c r="U17" i="40" s="1"/>
  <c r="J17" i="40"/>
  <c r="F17" i="40"/>
  <c r="S17" i="40"/>
  <c r="F15" i="40"/>
  <c r="J15" i="40"/>
  <c r="W15" i="40" s="1"/>
  <c r="H15" i="40"/>
  <c r="AB15" i="40" s="1"/>
  <c r="AC25" i="40"/>
  <c r="W25" i="40"/>
  <c r="U19" i="40"/>
  <c r="U14" i="40"/>
  <c r="U8" i="40"/>
  <c r="AA35" i="40"/>
  <c r="AC38" i="39"/>
  <c r="AC17" i="39"/>
  <c r="AB29" i="39"/>
  <c r="AC23" i="39"/>
  <c r="W27" i="39"/>
  <c r="AC27" i="39"/>
  <c r="W35" i="39"/>
  <c r="U41" i="39"/>
  <c r="U42" i="39"/>
  <c r="U19" i="39"/>
  <c r="AB27" i="39"/>
  <c r="U27" i="39"/>
  <c r="AA27" i="39"/>
  <c r="S27" i="39"/>
  <c r="S40" i="39"/>
  <c r="S31" i="39"/>
  <c r="AC11" i="39"/>
  <c r="S13" i="39"/>
  <c r="S12" i="36"/>
  <c r="S26" i="36"/>
  <c r="U27" i="36"/>
  <c r="S14" i="36"/>
  <c r="U14" i="36"/>
  <c r="S10" i="36"/>
  <c r="W18" i="36"/>
  <c r="AC18" i="36"/>
  <c r="AC12" i="36"/>
  <c r="W25" i="36"/>
  <c r="AC32" i="36"/>
  <c r="AC20" i="36"/>
  <c r="W29" i="36"/>
  <c r="W28" i="36"/>
  <c r="W8" i="36"/>
  <c r="AB16" i="36"/>
  <c r="U13" i="36"/>
  <c r="AB18" i="36"/>
  <c r="U18" i="36"/>
  <c r="S28" i="36"/>
  <c r="S29" i="36"/>
  <c r="W24" i="35"/>
  <c r="AC25" i="35"/>
  <c r="W14" i="35"/>
  <c r="W34" i="35"/>
  <c r="AC26" i="35"/>
  <c r="W28" i="35"/>
  <c r="AC27" i="35"/>
  <c r="U14" i="35"/>
  <c r="U8" i="35"/>
  <c r="S10" i="35"/>
  <c r="S34" i="37"/>
  <c r="W32" i="37"/>
  <c r="W26" i="37"/>
  <c r="AB28" i="37"/>
  <c r="AC12" i="37"/>
  <c r="J33" i="37"/>
  <c r="AC33" i="37" s="1"/>
  <c r="F33" i="37"/>
  <c r="AA33" i="37"/>
  <c r="J99" i="37"/>
  <c r="K99" i="37" s="1"/>
  <c r="L99" i="37" s="1"/>
  <c r="M99" i="37" s="1"/>
  <c r="H33" i="37"/>
  <c r="U33" i="37" s="1"/>
  <c r="AC35" i="37"/>
  <c r="H35" i="37"/>
  <c r="AB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W14" i="37"/>
  <c r="AC19" i="37"/>
  <c r="W39" i="37"/>
  <c r="S37" i="37"/>
  <c r="AA14" i="37"/>
  <c r="W35" i="34"/>
  <c r="AB11" i="34"/>
  <c r="S40" i="34"/>
  <c r="AB41" i="34"/>
  <c r="S38" i="34"/>
  <c r="S43" i="34"/>
  <c r="AB19" i="34"/>
  <c r="S17" i="34"/>
  <c r="AB17" i="34"/>
  <c r="AA9" i="34"/>
  <c r="W31" i="34"/>
  <c r="U23" i="34"/>
  <c r="U36" i="34"/>
  <c r="U21" i="34"/>
  <c r="AB21" i="34"/>
  <c r="AA25" i="34"/>
  <c r="AA41" i="34"/>
  <c r="AA46" i="34"/>
  <c r="W42" i="33"/>
  <c r="U25" i="33"/>
  <c r="W11" i="33"/>
  <c r="U17" i="33"/>
  <c r="U34" i="33"/>
  <c r="U38" i="33"/>
  <c r="W37" i="33"/>
  <c r="W43" i="33"/>
  <c r="AC27" i="33"/>
  <c r="S23" i="33"/>
  <c r="W17" i="33"/>
  <c r="U15" i="33"/>
  <c r="AB9" i="33"/>
  <c r="U9" i="33"/>
  <c r="AC12" i="33"/>
  <c r="W39" i="33"/>
  <c r="W9" i="33"/>
  <c r="AC19" i="33"/>
  <c r="W21" i="33"/>
  <c r="AC21" i="33"/>
  <c r="AB42" i="33"/>
  <c r="U13" i="33"/>
  <c r="S9" i="33"/>
  <c r="AA39" i="21"/>
  <c r="AA34" i="21"/>
  <c r="AA15" i="21"/>
  <c r="AC26" i="21"/>
  <c r="AC32" i="21"/>
  <c r="AB39" i="21"/>
  <c r="W40" i="21"/>
  <c r="AC37" i="21"/>
  <c r="W34" i="21"/>
  <c r="AC28" i="21"/>
  <c r="U19" i="21"/>
  <c r="U43" i="21"/>
  <c r="U26" i="21"/>
  <c r="AB44" i="21"/>
  <c r="AB36" i="21"/>
  <c r="S17" i="21"/>
  <c r="AA36" i="21"/>
  <c r="AA43" i="21"/>
  <c r="AB32" i="21"/>
  <c r="S28" i="21"/>
  <c r="AB21" i="21"/>
  <c r="U21" i="21"/>
  <c r="AC19" i="21"/>
  <c r="U17" i="21"/>
  <c r="AB11" i="21"/>
  <c r="U10"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V25" i="31"/>
  <c r="H102" i="43"/>
  <c r="D3" i="21"/>
  <c r="M6" i="43"/>
  <c r="M5" i="43"/>
  <c r="F81" i="43"/>
  <c r="H13" i="44"/>
  <c r="H11" i="44"/>
  <c r="C51" i="10"/>
  <c r="A8" i="54"/>
  <c r="B8" i="60" s="1"/>
  <c r="F2" i="34"/>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D9" i="11"/>
  <c r="C9" i="11" s="1"/>
  <c r="D19" i="11"/>
  <c r="C20"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53" i="10"/>
  <c r="D123" i="9"/>
  <c r="D6" i="52" s="1"/>
  <c r="D124" i="9"/>
  <c r="K106" i="43"/>
  <c r="C104" i="43"/>
  <c r="A125" i="57"/>
  <c r="N104" i="46"/>
  <c r="J17" i="43"/>
  <c r="C7" i="21"/>
  <c r="C58" i="21" s="1"/>
  <c r="D58" i="21" s="1"/>
  <c r="C7" i="37"/>
  <c r="C52" i="37" s="1"/>
  <c r="D52" i="37" s="1"/>
  <c r="E52" i="37" s="1"/>
  <c r="F52" i="37" s="1"/>
  <c r="L104" i="43"/>
  <c r="H104"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E81" i="43" s="1"/>
  <c r="B79" i="43" s="1"/>
  <c r="M83" i="43"/>
  <c r="N83" i="43" s="1"/>
  <c r="H65" i="43"/>
  <c r="B116" i="43"/>
  <c r="C116" i="43" s="1"/>
  <c r="F106" i="43"/>
  <c r="M12" i="43"/>
  <c r="M8" i="43"/>
  <c r="N7" i="43"/>
  <c r="M3" i="43"/>
  <c r="M11" i="43"/>
  <c r="N8" i="43"/>
  <c r="H8" i="44"/>
  <c r="H12" i="44"/>
  <c r="C62" i="39"/>
  <c r="M85" i="43"/>
  <c r="N85" i="43" s="1"/>
  <c r="K85" i="43"/>
  <c r="J85" i="43"/>
  <c r="D85" i="43"/>
  <c r="M82" i="43"/>
  <c r="N82" i="43"/>
  <c r="K83" i="43"/>
  <c r="J83" i="43" s="1"/>
  <c r="D83" i="43"/>
  <c r="H81" i="43"/>
  <c r="F103" i="43"/>
  <c r="J107" i="43"/>
  <c r="N109" i="43"/>
  <c r="N105" i="43"/>
  <c r="E102" i="43"/>
  <c r="I103" i="43"/>
  <c r="M107" i="43"/>
  <c r="M104" i="43"/>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7" i="39"/>
  <c r="W42" i="39"/>
  <c r="W34" i="39"/>
  <c r="AA32" i="39"/>
  <c r="AA25" i="39"/>
  <c r="U40" i="39"/>
  <c r="AC41" i="39"/>
  <c r="W36" i="39"/>
  <c r="S34" i="39"/>
  <c r="S39" i="39"/>
  <c r="U9" i="39"/>
  <c r="S20" i="36"/>
  <c r="AA13" i="36"/>
  <c r="S8" i="36"/>
  <c r="AB34" i="35"/>
  <c r="U33" i="35"/>
  <c r="S36" i="35"/>
  <c r="U22" i="35"/>
  <c r="AA33" i="35"/>
  <c r="S22" i="35"/>
  <c r="U28" i="35"/>
  <c r="AB27" i="35"/>
  <c r="U36" i="35"/>
  <c r="W36" i="35"/>
  <c r="S26" i="35"/>
  <c r="AB26" i="35"/>
  <c r="S28" i="35"/>
  <c r="U29" i="37"/>
  <c r="U30" i="37"/>
  <c r="S40" i="37"/>
  <c r="U26" i="37"/>
  <c r="AC13" i="37"/>
  <c r="U38" i="37"/>
  <c r="AA13" i="37"/>
  <c r="W25" i="37"/>
  <c r="S9" i="37"/>
  <c r="G84" i="34"/>
  <c r="J21" i="34"/>
  <c r="AB40" i="34"/>
  <c r="AC19" i="34"/>
  <c r="W41" i="34"/>
  <c r="AB35" i="34"/>
  <c r="AC25" i="34"/>
  <c r="AB44" i="34"/>
  <c r="AC33" i="34"/>
  <c r="S35" i="34"/>
  <c r="AB47" i="34"/>
  <c r="AC45" i="34"/>
  <c r="AA29" i="34"/>
  <c r="AB13" i="34"/>
  <c r="U10" i="34"/>
  <c r="S13" i="34"/>
  <c r="AA31" i="34"/>
  <c r="U37" i="33"/>
  <c r="U19" i="33"/>
  <c r="AC32" i="33"/>
  <c r="AA43" i="33"/>
  <c r="S32" i="33"/>
  <c r="U33" i="33"/>
  <c r="AA28" i="33"/>
  <c r="S39" i="33"/>
  <c r="AB26" i="33"/>
  <c r="AA36" i="33"/>
  <c r="W35" i="33"/>
  <c r="W40" i="33"/>
  <c r="W26" i="33"/>
  <c r="U35" i="33"/>
  <c r="AB36" i="33"/>
  <c r="W15" i="33"/>
  <c r="AA19" i="33"/>
  <c r="G83" i="21"/>
  <c r="J21" i="21"/>
  <c r="AC21" i="21" s="1"/>
  <c r="AC31" i="21"/>
  <c r="W23" i="21"/>
  <c r="AA25" i="21"/>
  <c r="AC46" i="21"/>
  <c r="W12" i="21"/>
  <c r="S35" i="21"/>
  <c r="C15" i="39"/>
  <c r="C17" i="39"/>
  <c r="C19" i="39"/>
  <c r="C15" i="40"/>
  <c r="C17" i="40"/>
  <c r="B65" i="43"/>
  <c r="U30" i="40"/>
  <c r="B52" i="43"/>
  <c r="B56" i="43"/>
  <c r="B63" i="43"/>
  <c r="B67" i="43"/>
  <c r="U35" i="40"/>
  <c r="AB35" i="40"/>
  <c r="U37" i="40"/>
  <c r="AB37" i="40"/>
  <c r="AA28" i="40"/>
  <c r="AC28" i="40"/>
  <c r="W28" i="40"/>
  <c r="U28" i="40"/>
  <c r="AB21" i="40"/>
  <c r="U21" i="40"/>
  <c r="S21" i="40"/>
  <c r="AA17" i="40"/>
  <c r="W17" i="40"/>
  <c r="AC17" i="40"/>
  <c r="AA15" i="40"/>
  <c r="S15" i="40"/>
  <c r="AC15" i="40"/>
  <c r="U35" i="37"/>
  <c r="S33" i="37"/>
  <c r="AA35" i="37"/>
  <c r="S35" i="37"/>
  <c r="W33" i="37"/>
  <c r="AA19" i="37"/>
  <c r="S19" i="37"/>
  <c r="AC15" i="37"/>
  <c r="W15" i="37"/>
  <c r="AC21" i="34"/>
  <c r="W21" i="34"/>
  <c r="W21" i="21"/>
  <c r="M86" i="43"/>
  <c r="N86" i="43" s="1"/>
  <c r="E19" i="1"/>
  <c r="F50" i="11"/>
  <c r="F18" i="1"/>
  <c r="C11" i="12" s="1"/>
  <c r="C15" i="12" s="1"/>
  <c r="K87" i="43"/>
  <c r="J87" i="43" s="1"/>
  <c r="D87" i="43"/>
  <c r="C3" i="4"/>
  <c r="B4" i="55" s="1"/>
  <c r="B53" i="60" s="1"/>
  <c r="L106" i="9"/>
  <c r="A18" i="55" s="1"/>
  <c r="B48" i="60" s="1"/>
  <c r="J22" i="43"/>
  <c r="M84" i="43"/>
  <c r="N84" i="43" s="1"/>
  <c r="K84" i="43"/>
  <c r="J84" i="43" s="1"/>
  <c r="D84" i="43"/>
  <c r="M81" i="43"/>
  <c r="N81" i="43"/>
  <c r="K81" i="43"/>
  <c r="J81" i="43" s="1"/>
  <c r="D81" i="43"/>
  <c r="M88" i="43"/>
  <c r="N88" i="43" s="1"/>
  <c r="K88" i="43"/>
  <c r="J88" i="43" s="1"/>
  <c r="D88" i="43"/>
  <c r="I114" i="57"/>
  <c r="D131" i="57" s="1"/>
  <c r="B41" i="1"/>
  <c r="M27" i="15" s="1"/>
  <c r="C24" i="43"/>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c r="Y21" i="59"/>
  <c r="Z21" i="59" s="1"/>
  <c r="AB19" i="59"/>
  <c r="X19" i="59"/>
  <c r="AA21" i="59"/>
  <c r="AA19" i="59"/>
  <c r="AB20" i="59"/>
  <c r="X20" i="59"/>
  <c r="U21" i="59"/>
  <c r="J30" i="35"/>
  <c r="W30" i="35" s="1"/>
  <c r="H30" i="35"/>
  <c r="AA30" i="35"/>
  <c r="N56" i="9"/>
  <c r="O56" i="9"/>
  <c r="O58" i="57"/>
  <c r="K58" i="57"/>
  <c r="K59" i="57" s="1"/>
  <c r="K61" i="57" s="1"/>
  <c r="K63" i="57" s="1"/>
  <c r="N58" i="57"/>
  <c r="K56" i="9"/>
  <c r="K57" i="9" s="1"/>
  <c r="K59" i="9" s="1"/>
  <c r="K61" i="9" s="1"/>
  <c r="L58" i="57"/>
  <c r="X3" i="59"/>
  <c r="Y3" i="59"/>
  <c r="Z3" i="59" s="1"/>
  <c r="F48" i="43"/>
  <c r="H50" i="43" s="1"/>
  <c r="G4" i="47"/>
  <c r="AB30" i="35"/>
  <c r="U30" i="35"/>
  <c r="I116" i="57"/>
  <c r="D133" i="57" s="1"/>
  <c r="D120" i="57"/>
  <c r="I114" i="9"/>
  <c r="D129" i="9" s="1"/>
  <c r="I112" i="9"/>
  <c r="D116" i="9"/>
  <c r="D114" i="9"/>
  <c r="D115" i="9"/>
  <c r="I113" i="9" s="1"/>
  <c r="H23" i="31"/>
  <c r="F5" i="61"/>
  <c r="E2" i="37"/>
  <c r="C20" i="57"/>
  <c r="E2" i="35"/>
  <c r="E2" i="33"/>
  <c r="E2" i="21"/>
  <c r="E2" i="36"/>
  <c r="D20" i="57"/>
  <c r="E2" i="11"/>
  <c r="D7" i="61"/>
  <c r="F6" i="61"/>
  <c r="D4" i="61"/>
  <c r="F3" i="61"/>
  <c r="E2" i="34"/>
  <c r="C19" i="57"/>
  <c r="D19" i="57"/>
  <c r="F4" i="61"/>
  <c r="F7" i="61"/>
  <c r="D5" i="61"/>
  <c r="C29" i="11" l="1"/>
  <c r="D27" i="11" s="1"/>
  <c r="U34" i="34"/>
  <c r="W43" i="34"/>
  <c r="C18" i="9"/>
  <c r="D18" i="9" s="1"/>
  <c r="AB37" i="34"/>
  <c r="S34" i="34"/>
  <c r="W34" i="34"/>
  <c r="AC27" i="34"/>
  <c r="AB27" i="34"/>
  <c r="S8" i="34"/>
  <c r="C7" i="34"/>
  <c r="C59" i="34" s="1"/>
  <c r="C7" i="33"/>
  <c r="C58" i="33" s="1"/>
  <c r="D58" i="33" s="1"/>
  <c r="E58" i="33" s="1"/>
  <c r="F58" i="33" s="1"/>
  <c r="G58" i="33" s="1"/>
  <c r="H58" i="33" s="1"/>
  <c r="I58" i="33" s="1"/>
  <c r="J58" i="33" s="1"/>
  <c r="K58" i="33" s="1"/>
  <c r="L58" i="33" s="1"/>
  <c r="M58" i="33" s="1"/>
  <c r="N58" i="33" s="1"/>
  <c r="O58" i="33" s="1"/>
  <c r="N47" i="9"/>
  <c r="N49" i="57"/>
  <c r="C7" i="39"/>
  <c r="C67" i="39" s="1"/>
  <c r="C69" i="39" s="1"/>
  <c r="C7" i="35"/>
  <c r="C48" i="35" s="1"/>
  <c r="D48" i="35" s="1"/>
  <c r="E48" i="35" s="1"/>
  <c r="F48" i="35" s="1"/>
  <c r="G48" i="35" s="1"/>
  <c r="H48" i="35" s="1"/>
  <c r="J52" i="15"/>
  <c r="N60" i="15" s="1"/>
  <c r="F7" i="15"/>
  <c r="F51" i="15" s="1"/>
  <c r="E13" i="1"/>
  <c r="C8" i="11" s="1"/>
  <c r="N46" i="9"/>
  <c r="A2" i="9"/>
  <c r="C27" i="15"/>
  <c r="C5" i="11"/>
  <c r="B58" i="60"/>
  <c r="F19" i="1"/>
  <c r="F34" i="11"/>
  <c r="D20" i="1"/>
  <c r="D19" i="1"/>
  <c r="D24" i="15"/>
  <c r="F33" i="9"/>
  <c r="A132" i="9"/>
  <c r="C110" i="57"/>
  <c r="H104" i="57" s="1"/>
  <c r="D47" i="15"/>
  <c r="C120" i="57"/>
  <c r="H116" i="57" s="1"/>
  <c r="P51" i="15"/>
  <c r="D42" i="50"/>
  <c r="D43" i="50" s="1"/>
  <c r="C19" i="12"/>
  <c r="C18" i="12" s="1"/>
  <c r="AA28" i="34"/>
  <c r="S28" i="34"/>
  <c r="AB9" i="36"/>
  <c r="U9" i="36"/>
  <c r="S32" i="34"/>
  <c r="AA32" i="34"/>
  <c r="W38" i="40"/>
  <c r="AC38" i="40"/>
  <c r="U16" i="35"/>
  <c r="AB16" i="35"/>
  <c r="S12" i="39"/>
  <c r="AA12" i="39"/>
  <c r="AA13" i="21"/>
  <c r="S13" i="21"/>
  <c r="S13" i="33"/>
  <c r="AA13" i="33"/>
  <c r="S19" i="39"/>
  <c r="AA19" i="39"/>
  <c r="U8" i="21"/>
  <c r="AB8" i="21"/>
  <c r="H23" i="35"/>
  <c r="J23" i="35"/>
  <c r="W42" i="21"/>
  <c r="AB13" i="35"/>
  <c r="S34" i="36"/>
  <c r="E48" i="43"/>
  <c r="B46" i="43" s="1"/>
  <c r="AA27" i="37"/>
  <c r="S27" i="37"/>
  <c r="AA24" i="35"/>
  <c r="S24" i="35"/>
  <c r="AC19" i="40"/>
  <c r="W19" i="40"/>
  <c r="AC8" i="34"/>
  <c r="AC25" i="21"/>
  <c r="W25" i="21"/>
  <c r="AC10" i="35"/>
  <c r="W10" i="35"/>
  <c r="W10" i="34"/>
  <c r="AC10" i="34"/>
  <c r="W31" i="39"/>
  <c r="AC31" i="39"/>
  <c r="AB31" i="39"/>
  <c r="U31" i="39"/>
  <c r="AC31" i="40"/>
  <c r="W31" i="40"/>
  <c r="F34" i="15"/>
  <c r="F63" i="15" s="1"/>
  <c r="C63" i="15" s="1"/>
  <c r="M20" i="15"/>
  <c r="E29" i="1"/>
  <c r="F55" i="57" s="1"/>
  <c r="D78" i="9"/>
  <c r="D95" i="57"/>
  <c r="M19" i="43"/>
  <c r="U41" i="59"/>
  <c r="C56" i="59"/>
  <c r="D55" i="59"/>
  <c r="C60" i="59"/>
  <c r="D59" i="59"/>
  <c r="E16" i="59"/>
  <c r="E15" i="59" s="1"/>
  <c r="E14" i="59" s="1"/>
  <c r="E13" i="59" s="1"/>
  <c r="U13" i="59" s="1"/>
  <c r="U17" i="59"/>
  <c r="B24" i="59"/>
  <c r="B23" i="59" s="1"/>
  <c r="B22" i="59" s="1"/>
  <c r="B21" i="59" s="1"/>
  <c r="AB21" i="59"/>
  <c r="AB33" i="37"/>
  <c r="AB17" i="40"/>
  <c r="AC21" i="40"/>
  <c r="B60" i="43"/>
  <c r="U31" i="34"/>
  <c r="AB45" i="34"/>
  <c r="AC23" i="34"/>
  <c r="AA33" i="36"/>
  <c r="G104" i="43"/>
  <c r="H85" i="43"/>
  <c r="H84" i="43"/>
  <c r="H87" i="43"/>
  <c r="U27" i="21"/>
  <c r="AC41" i="33"/>
  <c r="AB10" i="37"/>
  <c r="AA37" i="39"/>
  <c r="D80" i="57"/>
  <c r="U12" i="36"/>
  <c r="U31" i="37"/>
  <c r="S17" i="37"/>
  <c r="J28" i="34"/>
  <c r="AB27" i="33"/>
  <c r="U27" i="33"/>
  <c r="AA12" i="37"/>
  <c r="U24" i="36"/>
  <c r="W29" i="37"/>
  <c r="AC29" i="37"/>
  <c r="W34" i="33"/>
  <c r="AC14" i="36"/>
  <c r="U32" i="39"/>
  <c r="AB32" i="39"/>
  <c r="AC9" i="34"/>
  <c r="W9" i="34"/>
  <c r="J102" i="43"/>
  <c r="J104" i="43"/>
  <c r="E105" i="43"/>
  <c r="E106" i="43"/>
  <c r="AC17" i="21"/>
  <c r="U23" i="21"/>
  <c r="AA23" i="21"/>
  <c r="F15" i="47"/>
  <c r="B13" i="47" s="1"/>
  <c r="W9" i="37"/>
  <c r="U23" i="37"/>
  <c r="AB28" i="33"/>
  <c r="U32" i="36"/>
  <c r="W14" i="39"/>
  <c r="AC14" i="39"/>
  <c r="H35" i="35"/>
  <c r="U30" i="34"/>
  <c r="AB30" i="34"/>
  <c r="AC44" i="21"/>
  <c r="W44" i="21"/>
  <c r="AA11" i="33"/>
  <c r="AB43" i="34"/>
  <c r="W34" i="37"/>
  <c r="AC34" i="37"/>
  <c r="U10" i="35"/>
  <c r="AB10" i="35"/>
  <c r="W30" i="40"/>
  <c r="AC19" i="39"/>
  <c r="W19" i="39"/>
  <c r="AB11" i="40"/>
  <c r="AB32" i="37"/>
  <c r="U32" i="37"/>
  <c r="AB36" i="39"/>
  <c r="U36" i="39"/>
  <c r="AC39" i="21"/>
  <c r="W39" i="21"/>
  <c r="W35" i="21"/>
  <c r="AC35" i="21"/>
  <c r="J14" i="21"/>
  <c r="H14" i="21"/>
  <c r="H30" i="21"/>
  <c r="J30" i="21"/>
  <c r="H46" i="21"/>
  <c r="F46" i="21"/>
  <c r="AA37" i="21"/>
  <c r="S37" i="21"/>
  <c r="AA10" i="33"/>
  <c r="S10" i="33"/>
  <c r="AB40" i="33"/>
  <c r="U40" i="33"/>
  <c r="AC8" i="35"/>
  <c r="W8" i="35"/>
  <c r="J24" i="36"/>
  <c r="F24" i="36"/>
  <c r="U11" i="37"/>
  <c r="AB11" i="37"/>
  <c r="AC38" i="37"/>
  <c r="W38" i="37"/>
  <c r="AC8" i="39"/>
  <c r="W8" i="39"/>
  <c r="AC39" i="39"/>
  <c r="W39" i="39"/>
  <c r="J43" i="39"/>
  <c r="F43" i="39"/>
  <c r="H43" i="39"/>
  <c r="J32" i="40"/>
  <c r="W32" i="40" s="1"/>
  <c r="H32" i="40"/>
  <c r="AC41" i="21"/>
  <c r="W41" i="21"/>
  <c r="X38" i="59"/>
  <c r="B39" i="59"/>
  <c r="B40" i="59" s="1"/>
  <c r="B41" i="59" s="1"/>
  <c r="S41" i="59" s="1"/>
  <c r="X30" i="59"/>
  <c r="X21" i="59"/>
  <c r="C48" i="59"/>
  <c r="D48" i="59" s="1"/>
  <c r="D47" i="59"/>
  <c r="C52" i="59"/>
  <c r="D51" i="59"/>
  <c r="AC30" i="35"/>
  <c r="S19" i="40"/>
  <c r="AA19" i="40"/>
  <c r="AC25" i="33"/>
  <c r="W25" i="33"/>
  <c r="AA20" i="35"/>
  <c r="S20" i="35"/>
  <c r="AA36" i="34"/>
  <c r="S36" i="34"/>
  <c r="F9" i="21"/>
  <c r="J9" i="21"/>
  <c r="H9" i="21"/>
  <c r="AC31" i="35"/>
  <c r="W31" i="35"/>
  <c r="W37" i="40"/>
  <c r="B49" i="43"/>
  <c r="W8" i="33"/>
  <c r="S33" i="33"/>
  <c r="AA25" i="35"/>
  <c r="S35" i="35"/>
  <c r="AC46" i="34"/>
  <c r="S29" i="35"/>
  <c r="AA29" i="35"/>
  <c r="AC23" i="33"/>
  <c r="W23" i="33"/>
  <c r="AA17" i="39"/>
  <c r="S17" i="39"/>
  <c r="F29" i="33"/>
  <c r="J29" i="33"/>
  <c r="H45" i="33"/>
  <c r="F45" i="33"/>
  <c r="F14" i="34"/>
  <c r="H14" i="34"/>
  <c r="J32" i="34"/>
  <c r="H32" i="34"/>
  <c r="J12" i="35"/>
  <c r="F12" i="35"/>
  <c r="H12" i="35"/>
  <c r="D39" i="50"/>
  <c r="D40" i="50" s="1"/>
  <c r="I14" i="62"/>
  <c r="B8" i="62" s="1"/>
  <c r="C8" i="62" s="1"/>
  <c r="B23" i="60"/>
  <c r="AB25" i="21"/>
  <c r="AC13" i="34"/>
  <c r="W44" i="34"/>
  <c r="AA27" i="34"/>
  <c r="W29" i="35"/>
  <c r="S17" i="33"/>
  <c r="W15" i="34"/>
  <c r="U19" i="37"/>
  <c r="AB19" i="37"/>
  <c r="W11" i="35"/>
  <c r="S22" i="36"/>
  <c r="D93" i="9"/>
  <c r="AC13" i="21"/>
  <c r="AA15" i="37"/>
  <c r="S15" i="37"/>
  <c r="AB40" i="21"/>
  <c r="U41" i="33"/>
  <c r="W28" i="33"/>
  <c r="H28" i="34"/>
  <c r="AC40" i="34"/>
  <c r="AA31" i="37"/>
  <c r="S31" i="37"/>
  <c r="U14" i="39"/>
  <c r="W37" i="37"/>
  <c r="AC37" i="37"/>
  <c r="C114" i="57"/>
  <c r="H109" i="57" s="1"/>
  <c r="D103" i="43"/>
  <c r="D105" i="43"/>
  <c r="D102" i="43"/>
  <c r="I118" i="43"/>
  <c r="J118" i="43" s="1"/>
  <c r="K118" i="43" s="1"/>
  <c r="L118" i="43" s="1"/>
  <c r="M118" i="43" s="1"/>
  <c r="B115" i="43"/>
  <c r="C115" i="43" s="1"/>
  <c r="D115" i="43"/>
  <c r="E115" i="43" s="1"/>
  <c r="F115" i="43" s="1"/>
  <c r="G115" i="43" s="1"/>
  <c r="H115" i="43" s="1"/>
  <c r="AC15" i="21"/>
  <c r="S33" i="34"/>
  <c r="W25" i="39"/>
  <c r="AC25" i="39"/>
  <c r="F37" i="47"/>
  <c r="B35" i="47" s="1"/>
  <c r="AA42" i="33"/>
  <c r="S42" i="33"/>
  <c r="S14" i="33"/>
  <c r="S38" i="37"/>
  <c r="AC35" i="35"/>
  <c r="S13" i="35"/>
  <c r="AA47" i="34"/>
  <c r="S45" i="34"/>
  <c r="U29" i="34"/>
  <c r="AC29" i="34"/>
  <c r="AB46" i="33"/>
  <c r="W46" i="33"/>
  <c r="AC44" i="33"/>
  <c r="AB30" i="33"/>
  <c r="AB36" i="37"/>
  <c r="W13" i="36"/>
  <c r="AA11" i="36"/>
  <c r="W11" i="36"/>
  <c r="W26" i="36"/>
  <c r="J45" i="33"/>
  <c r="H29" i="33"/>
  <c r="AC13" i="33"/>
  <c r="W13" i="33"/>
  <c r="AB10" i="36"/>
  <c r="U10" i="36"/>
  <c r="AC33" i="35"/>
  <c r="AA44" i="21"/>
  <c r="S44" i="21"/>
  <c r="AC36" i="33"/>
  <c r="W36" i="33"/>
  <c r="AA23" i="35"/>
  <c r="J34" i="36"/>
  <c r="AB11" i="39"/>
  <c r="U11" i="39"/>
  <c r="AA29" i="39"/>
  <c r="S29" i="39"/>
  <c r="W39" i="40"/>
  <c r="AB34" i="36"/>
  <c r="S16" i="36"/>
  <c r="AB12" i="21"/>
  <c r="AC43" i="21"/>
  <c r="B74" i="43"/>
  <c r="C27" i="39"/>
  <c r="B54" i="43"/>
  <c r="AA8" i="35"/>
  <c r="J9" i="36"/>
  <c r="F9" i="36"/>
  <c r="W16" i="36"/>
  <c r="AC16" i="36"/>
  <c r="H33" i="36"/>
  <c r="J33" i="36"/>
  <c r="AC38" i="34"/>
  <c r="W38" i="34"/>
  <c r="AA18" i="35"/>
  <c r="S18" i="35"/>
  <c r="D84" i="59"/>
  <c r="C83" i="59"/>
  <c r="D83" i="59" s="1"/>
  <c r="H39" i="40"/>
  <c r="F39" i="40"/>
  <c r="AA39" i="40" s="1"/>
  <c r="T527" i="31"/>
  <c r="S527" i="31"/>
  <c r="T499" i="31"/>
  <c r="S499" i="31"/>
  <c r="T491" i="31"/>
  <c r="S491" i="31"/>
  <c r="T475" i="31"/>
  <c r="S475" i="31"/>
  <c r="T158" i="31"/>
  <c r="S158" i="31"/>
  <c r="T154" i="31"/>
  <c r="S154" i="31"/>
  <c r="T150" i="31"/>
  <c r="S150" i="31"/>
  <c r="T146" i="31"/>
  <c r="S146" i="31"/>
  <c r="T142" i="31"/>
  <c r="S142" i="31"/>
  <c r="T134" i="31"/>
  <c r="S134" i="31"/>
  <c r="T126" i="31"/>
  <c r="S126" i="31"/>
  <c r="T118" i="31"/>
  <c r="S118" i="31"/>
  <c r="T114" i="31"/>
  <c r="S114" i="31"/>
  <c r="T106" i="31"/>
  <c r="S106" i="31"/>
  <c r="T98" i="31"/>
  <c r="S98" i="31"/>
  <c r="T90" i="31"/>
  <c r="S90" i="31"/>
  <c r="T82" i="31"/>
  <c r="S82" i="31"/>
  <c r="T70" i="31"/>
  <c r="S70" i="31"/>
  <c r="T62" i="31"/>
  <c r="S62" i="31"/>
  <c r="T34" i="31"/>
  <c r="S34" i="31"/>
  <c r="X33" i="59"/>
  <c r="E48" i="59"/>
  <c r="E49" i="59" s="1"/>
  <c r="U49" i="59" s="1"/>
  <c r="X13" i="59"/>
  <c r="C37" i="11"/>
  <c r="F33" i="43"/>
  <c r="H17" i="43"/>
  <c r="T526" i="31"/>
  <c r="S526" i="31"/>
  <c r="T522" i="31"/>
  <c r="S522" i="31"/>
  <c r="T518" i="31"/>
  <c r="S518" i="31"/>
  <c r="T514" i="31"/>
  <c r="S514" i="31"/>
  <c r="T510" i="31"/>
  <c r="S510" i="31"/>
  <c r="T450" i="31"/>
  <c r="S450" i="31"/>
  <c r="T418" i="31"/>
  <c r="S418" i="31"/>
  <c r="T406" i="31"/>
  <c r="S406" i="31"/>
  <c r="T402" i="31"/>
  <c r="S402" i="31"/>
  <c r="T394" i="31"/>
  <c r="S394" i="31"/>
  <c r="T390" i="31"/>
  <c r="S390" i="31"/>
  <c r="T382" i="31"/>
  <c r="S382" i="31"/>
  <c r="T378" i="31"/>
  <c r="S378" i="31"/>
  <c r="T374" i="31"/>
  <c r="S374" i="31"/>
  <c r="T366" i="31"/>
  <c r="S366" i="31"/>
  <c r="T362" i="31"/>
  <c r="S362" i="31"/>
  <c r="T354" i="31"/>
  <c r="S354" i="31"/>
  <c r="T342" i="31"/>
  <c r="S342" i="31"/>
  <c r="T338" i="31"/>
  <c r="S338" i="31"/>
  <c r="T330" i="31"/>
  <c r="S330" i="31"/>
  <c r="T326" i="31"/>
  <c r="S326" i="31"/>
  <c r="T322" i="31"/>
  <c r="S322" i="31"/>
  <c r="T314" i="31"/>
  <c r="S314" i="31"/>
  <c r="T306" i="31"/>
  <c r="S306" i="31"/>
  <c r="T290" i="31"/>
  <c r="S290" i="31"/>
  <c r="T282" i="31"/>
  <c r="S282" i="31"/>
  <c r="B29" i="59"/>
  <c r="X28" i="59"/>
  <c r="X26" i="59"/>
  <c r="X22" i="59"/>
  <c r="X29" i="59"/>
  <c r="E31" i="59"/>
  <c r="E32" i="59" s="1"/>
  <c r="E33" i="59" s="1"/>
  <c r="U33" i="59" s="1"/>
  <c r="AA30" i="59"/>
  <c r="AA3" i="59"/>
  <c r="D63" i="59"/>
  <c r="C64" i="59"/>
  <c r="F80" i="59"/>
  <c r="F79" i="59" s="1"/>
  <c r="V81" i="59"/>
  <c r="F25" i="37"/>
  <c r="H25" i="37"/>
  <c r="H44" i="39"/>
  <c r="F44" i="39"/>
  <c r="C108" i="43"/>
  <c r="C109" i="43" s="1"/>
  <c r="E108" i="43"/>
  <c r="E109" i="43" s="1"/>
  <c r="G108" i="43"/>
  <c r="K108" i="43"/>
  <c r="K100" i="43"/>
  <c r="D45" i="59"/>
  <c r="D67" i="59"/>
  <c r="O66" i="59"/>
  <c r="E28" i="59"/>
  <c r="E27" i="59" s="1"/>
  <c r="U29" i="59"/>
  <c r="B65" i="59"/>
  <c r="S65" i="59" s="1"/>
  <c r="N66" i="59"/>
  <c r="N67" i="59"/>
  <c r="Y30" i="59"/>
  <c r="Z30" i="59" s="1"/>
  <c r="AA28" i="59"/>
  <c r="Y22" i="59"/>
  <c r="Z22" i="59" s="1"/>
  <c r="Y20" i="59"/>
  <c r="Z20" i="59" s="1"/>
  <c r="Y19" i="59"/>
  <c r="Z19" i="59" s="1"/>
  <c r="AB17" i="59"/>
  <c r="U25" i="31"/>
  <c r="C36" i="57" s="1"/>
  <c r="D125" i="57" s="1"/>
  <c r="AC18" i="35"/>
  <c r="W18" i="35"/>
  <c r="D80" i="59"/>
  <c r="C79" i="59"/>
  <c r="D79" i="59" s="1"/>
  <c r="AB28" i="59"/>
  <c r="AB31" i="59"/>
  <c r="AB29" i="59"/>
  <c r="Y29" i="59"/>
  <c r="Z29" i="59" s="1"/>
  <c r="C35" i="59"/>
  <c r="Y33" i="59"/>
  <c r="Z33" i="59" s="1"/>
  <c r="X7" i="59"/>
  <c r="X8" i="59"/>
  <c r="X9" i="59"/>
  <c r="X6" i="59"/>
  <c r="X5" i="59"/>
  <c r="X11" i="59"/>
  <c r="X40" i="59"/>
  <c r="X12" i="59"/>
  <c r="Y34" i="59"/>
  <c r="Z34" i="59" s="1"/>
  <c r="Y28" i="59"/>
  <c r="Z28" i="59" s="1"/>
  <c r="Y27" i="59"/>
  <c r="Z27" i="59" s="1"/>
  <c r="AB27" i="59"/>
  <c r="AA26" i="59"/>
  <c r="AB23" i="59"/>
  <c r="AA17" i="59"/>
  <c r="AA18" i="59"/>
  <c r="Y13" i="59"/>
  <c r="Z13" i="59" s="1"/>
  <c r="F27" i="59"/>
  <c r="O68" i="59"/>
  <c r="D68" i="59"/>
  <c r="C33" i="59"/>
  <c r="D32" i="59"/>
  <c r="AB30" i="59"/>
  <c r="X34" i="59"/>
  <c r="X35" i="59"/>
  <c r="X36" i="59"/>
  <c r="X37" i="59"/>
  <c r="AB34" i="59"/>
  <c r="AB35" i="59"/>
  <c r="F39" i="59"/>
  <c r="F40" i="59" s="1"/>
  <c r="F41" i="59" s="1"/>
  <c r="V41" i="59" s="1"/>
  <c r="E52" i="59"/>
  <c r="E53" i="59" s="1"/>
  <c r="U53" i="59" s="1"/>
  <c r="Q67" i="59"/>
  <c r="AB37" i="59"/>
  <c r="C24" i="59"/>
  <c r="D25" i="59"/>
  <c r="AA25" i="59"/>
  <c r="AA22" i="59"/>
  <c r="AA14" i="59"/>
  <c r="AA13" i="59"/>
  <c r="AA20" i="59"/>
  <c r="Y16" i="59"/>
  <c r="Z16" i="59" s="1"/>
  <c r="Y14" i="59"/>
  <c r="Z14" i="59" s="1"/>
  <c r="Y12" i="59"/>
  <c r="Z12" i="59" s="1"/>
  <c r="Y15" i="59"/>
  <c r="Z15" i="59" s="1"/>
  <c r="Y11" i="59"/>
  <c r="Z11" i="59" s="1"/>
  <c r="Y18" i="59"/>
  <c r="Z18" i="59" s="1"/>
  <c r="X25" i="31"/>
  <c r="C37" i="57" s="1"/>
  <c r="F125" i="57" s="1"/>
  <c r="G125" i="57" s="1"/>
  <c r="AA29" i="59"/>
  <c r="T29" i="59"/>
  <c r="C28" i="59"/>
  <c r="D29" i="59"/>
  <c r="F60" i="59"/>
  <c r="F61" i="59" s="1"/>
  <c r="V61" i="59" s="1"/>
  <c r="E64" i="59"/>
  <c r="E65" i="59" s="1"/>
  <c r="U65" i="59" s="1"/>
  <c r="E68" i="59"/>
  <c r="U69" i="59"/>
  <c r="D73" i="59"/>
  <c r="C72" i="59"/>
  <c r="S81" i="59"/>
  <c r="B80" i="59"/>
  <c r="B79" i="59" s="1"/>
  <c r="AB38" i="59"/>
  <c r="X31" i="59"/>
  <c r="Y25" i="59"/>
  <c r="Z25" i="59" s="1"/>
  <c r="F23" i="59"/>
  <c r="F22" i="59" s="1"/>
  <c r="F21" i="59" s="1"/>
  <c r="AB18" i="59"/>
  <c r="AB14" i="59"/>
  <c r="AB12" i="59"/>
  <c r="AB3" i="59"/>
  <c r="AB5" i="59"/>
  <c r="B55" i="43"/>
  <c r="X32" i="59"/>
  <c r="AA8" i="59"/>
  <c r="AA5" i="59"/>
  <c r="AA9" i="59"/>
  <c r="AA11" i="59"/>
  <c r="AA7" i="59"/>
  <c r="AA6" i="59"/>
  <c r="AA10" i="59"/>
  <c r="V69" i="59"/>
  <c r="V73" i="59"/>
  <c r="F72" i="59"/>
  <c r="F71" i="59" s="1"/>
  <c r="X27" i="59"/>
  <c r="X25" i="59"/>
  <c r="X23" i="59"/>
  <c r="X18" i="59"/>
  <c r="Y31" i="59"/>
  <c r="Z31" i="59" s="1"/>
  <c r="AB6" i="59"/>
  <c r="AB8" i="59"/>
  <c r="AB10" i="59"/>
  <c r="AB7" i="59"/>
  <c r="AB9" i="59"/>
  <c r="AB11" i="59"/>
  <c r="AB40" i="59"/>
  <c r="Y26" i="59"/>
  <c r="Z26" i="59" s="1"/>
  <c r="X10" i="59"/>
  <c r="AA12" i="59"/>
  <c r="Y6" i="59"/>
  <c r="Z6" i="59" s="1"/>
  <c r="Y8" i="59"/>
  <c r="Z8" i="59" s="1"/>
  <c r="Y10" i="59"/>
  <c r="Z10" i="59" s="1"/>
  <c r="Y9" i="59"/>
  <c r="Z9" i="59" s="1"/>
  <c r="Y5" i="59"/>
  <c r="Z5" i="59" s="1"/>
  <c r="AB16" i="59"/>
  <c r="AB13" i="59"/>
  <c r="X16" i="59"/>
  <c r="AA16" i="59"/>
  <c r="AB15" i="59"/>
  <c r="X14" i="59"/>
  <c r="X15" i="59"/>
  <c r="U15"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C21" i="50"/>
  <c r="M17" i="15"/>
  <c r="F15" i="48"/>
  <c r="H15" i="48" s="1"/>
  <c r="B14" i="48"/>
  <c r="D14" i="48" s="1"/>
  <c r="F13" i="48"/>
  <c r="H13" i="48" s="1"/>
  <c r="F14" i="48"/>
  <c r="H14" i="48" s="1"/>
  <c r="F126" i="57"/>
  <c r="C10" i="11"/>
  <c r="B103" i="9"/>
  <c r="C40" i="11"/>
  <c r="C47" i="11" s="1"/>
  <c r="D45" i="11" s="1"/>
  <c r="C19" i="11"/>
  <c r="B105" i="57"/>
  <c r="C118" i="57"/>
  <c r="H114" i="57" s="1"/>
  <c r="S29" i="31"/>
  <c r="T28" i="31"/>
  <c r="T25" i="31" s="1"/>
  <c r="C116" i="57"/>
  <c r="H112" i="57" s="1"/>
  <c r="C17" i="12"/>
  <c r="B36" i="50"/>
  <c r="B56" i="60"/>
  <c r="H53" i="43"/>
  <c r="C12" i="12"/>
  <c r="C16" i="12" s="1"/>
  <c r="G17" i="43"/>
  <c r="C16" i="43" s="1"/>
  <c r="C5" i="43" s="1"/>
  <c r="J20" i="15"/>
  <c r="C6" i="15"/>
  <c r="D62" i="40"/>
  <c r="C64" i="40"/>
  <c r="D127" i="9"/>
  <c r="H14" i="62" s="1"/>
  <c r="B7" i="62" s="1"/>
  <c r="H52" i="43"/>
  <c r="H56" i="43"/>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D46" i="36"/>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6" i="61"/>
  <c r="D3" i="61"/>
  <c r="M60" i="15" l="1"/>
  <c r="L60" i="15"/>
  <c r="Q72" i="15" s="1"/>
  <c r="F7" i="35"/>
  <c r="S7" i="35" s="1"/>
  <c r="D67" i="39"/>
  <c r="F31" i="15"/>
  <c r="C34" i="15"/>
  <c r="F53" i="9"/>
  <c r="F28" i="15"/>
  <c r="C28" i="15" s="1"/>
  <c r="F50" i="57"/>
  <c r="P54" i="57" s="1"/>
  <c r="F30" i="11"/>
  <c r="F48" i="11" s="1"/>
  <c r="F32" i="15"/>
  <c r="F61" i="15" s="1"/>
  <c r="D70" i="57"/>
  <c r="M18" i="15"/>
  <c r="J18" i="15" s="1"/>
  <c r="C20" i="11"/>
  <c r="C28" i="11" s="1"/>
  <c r="C27" i="11" s="1"/>
  <c r="D8" i="62"/>
  <c r="K1" i="61"/>
  <c r="AA9" i="36"/>
  <c r="S9" i="36"/>
  <c r="S12" i="35"/>
  <c r="AA12" i="35"/>
  <c r="AB14" i="34"/>
  <c r="U14" i="34"/>
  <c r="AC29" i="33"/>
  <c r="W29" i="33"/>
  <c r="S9" i="21"/>
  <c r="AA9" i="21"/>
  <c r="U32" i="40"/>
  <c r="AB32" i="40"/>
  <c r="AC43" i="39"/>
  <c r="W43" i="39"/>
  <c r="AB46" i="21"/>
  <c r="U46" i="21"/>
  <c r="W14" i="21"/>
  <c r="AC14" i="21"/>
  <c r="C57" i="59"/>
  <c r="D56" i="59"/>
  <c r="U23" i="35"/>
  <c r="AB23" i="35"/>
  <c r="F20" i="59"/>
  <c r="F19" i="59" s="1"/>
  <c r="F18" i="59" s="1"/>
  <c r="F17" i="59" s="1"/>
  <c r="V21" i="59"/>
  <c r="S25" i="37"/>
  <c r="AA25" i="37"/>
  <c r="AC9" i="36"/>
  <c r="W9" i="36"/>
  <c r="U28" i="34"/>
  <c r="AB28" i="34"/>
  <c r="W12" i="35"/>
  <c r="AC12" i="35"/>
  <c r="AA14" i="34"/>
  <c r="S14" i="34"/>
  <c r="S29" i="33"/>
  <c r="AA29" i="33"/>
  <c r="AA24" i="36"/>
  <c r="S24" i="36"/>
  <c r="AC30" i="21"/>
  <c r="W30" i="21"/>
  <c r="B20" i="59"/>
  <c r="B19" i="59" s="1"/>
  <c r="B18" i="59" s="1"/>
  <c r="B17" i="59" s="1"/>
  <c r="S21" i="59"/>
  <c r="D19" i="50"/>
  <c r="B32" i="60" s="1"/>
  <c r="H7" i="37"/>
  <c r="AB7" i="37" s="1"/>
  <c r="T42" i="37" s="1"/>
  <c r="G42" i="37" s="1"/>
  <c r="G46" i="37" s="1"/>
  <c r="H46" i="37" s="1"/>
  <c r="S25" i="31"/>
  <c r="R25" i="31" s="1"/>
  <c r="D68" i="9"/>
  <c r="F48" i="9"/>
  <c r="P52" i="9" s="1"/>
  <c r="F54" i="9"/>
  <c r="F52" i="9"/>
  <c r="S39" i="40"/>
  <c r="AC32" i="40"/>
  <c r="E67" i="59"/>
  <c r="P68" i="59"/>
  <c r="D28" i="59"/>
  <c r="C27" i="59"/>
  <c r="D27" i="59" s="1"/>
  <c r="D24" i="59"/>
  <c r="C23" i="59"/>
  <c r="AA44" i="39"/>
  <c r="S44" i="39"/>
  <c r="AB29" i="33"/>
  <c r="U29" i="33"/>
  <c r="U32" i="34"/>
  <c r="AB32" i="34"/>
  <c r="AA45" i="33"/>
  <c r="S45" i="33"/>
  <c r="U9" i="21"/>
  <c r="AB9" i="21"/>
  <c r="U43" i="39"/>
  <c r="AB43" i="39"/>
  <c r="AC24" i="36"/>
  <c r="W24" i="36"/>
  <c r="U30" i="21"/>
  <c r="AB30" i="21"/>
  <c r="C61" i="59"/>
  <c r="D60" i="59"/>
  <c r="U25" i="37"/>
  <c r="AB25" i="37"/>
  <c r="D64" i="59"/>
  <c r="C65" i="59"/>
  <c r="W33" i="36"/>
  <c r="AC33" i="36"/>
  <c r="D35" i="59"/>
  <c r="C36" i="59"/>
  <c r="B28" i="59"/>
  <c r="B27" i="59" s="1"/>
  <c r="S29" i="59"/>
  <c r="U39" i="40"/>
  <c r="AB39" i="40"/>
  <c r="AB33" i="36"/>
  <c r="U33" i="36"/>
  <c r="F54" i="57"/>
  <c r="F31" i="12"/>
  <c r="C31" i="12" s="1"/>
  <c r="F56" i="57"/>
  <c r="C71" i="59"/>
  <c r="D71" i="59" s="1"/>
  <c r="D72" i="59"/>
  <c r="T33" i="59"/>
  <c r="D33" i="59"/>
  <c r="AB44" i="39"/>
  <c r="U44" i="39"/>
  <c r="AC34" i="36"/>
  <c r="W34" i="36"/>
  <c r="W45" i="33"/>
  <c r="AC45" i="33"/>
  <c r="U12" i="35"/>
  <c r="AB12" i="35"/>
  <c r="AC32" i="34"/>
  <c r="W32" i="34"/>
  <c r="U45" i="33"/>
  <c r="AB45" i="33"/>
  <c r="AC9" i="21"/>
  <c r="W9" i="21"/>
  <c r="D52" i="59"/>
  <c r="C53" i="59"/>
  <c r="AA43" i="39"/>
  <c r="S43" i="39"/>
  <c r="S46" i="21"/>
  <c r="AA46" i="21"/>
  <c r="U14" i="21"/>
  <c r="AB14" i="21"/>
  <c r="U35" i="35"/>
  <c r="AB35" i="35"/>
  <c r="AC28" i="34"/>
  <c r="W28" i="34"/>
  <c r="W23" i="35"/>
  <c r="AC23" i="35"/>
  <c r="C7" i="43"/>
  <c r="U9" i="59"/>
  <c r="E8" i="59"/>
  <c r="C18" i="15"/>
  <c r="C16" i="15"/>
  <c r="J7" i="35"/>
  <c r="AC7" i="35" s="1"/>
  <c r="V38" i="35" s="1"/>
  <c r="I38" i="35" s="1"/>
  <c r="C48" i="11"/>
  <c r="D5" i="43"/>
  <c r="C21" i="12"/>
  <c r="C22" i="12" s="1"/>
  <c r="C30" i="12" s="1"/>
  <c r="C28" i="12" s="1"/>
  <c r="C33" i="11"/>
  <c r="C39" i="11" s="1"/>
  <c r="C46" i="11" s="1"/>
  <c r="C45" i="11" s="1"/>
  <c r="C106" i="57"/>
  <c r="D9" i="48"/>
  <c r="E3" i="4"/>
  <c r="D7" i="62"/>
  <c r="C7" i="62"/>
  <c r="C50" i="15"/>
  <c r="F60" i="15"/>
  <c r="B23"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D22" i="50"/>
  <c r="B35" i="60" s="1"/>
  <c r="B33" i="60"/>
  <c r="C19" i="43"/>
  <c r="P24" i="43"/>
  <c r="B65" i="40" s="1"/>
  <c r="P21" i="43"/>
  <c r="B70" i="39" s="1"/>
  <c r="P23" i="43"/>
  <c r="P22" i="43"/>
  <c r="P28" i="43"/>
  <c r="N28" i="43"/>
  <c r="M28" i="43"/>
  <c r="O28" i="43"/>
  <c r="G20" i="43" s="1"/>
  <c r="E41" i="43" s="1"/>
  <c r="C41" i="43" s="1"/>
  <c r="F11" i="15"/>
  <c r="M11" i="15"/>
  <c r="J10" i="15" s="1"/>
  <c r="J5" i="15" s="1"/>
  <c r="G1" i="61"/>
  <c r="Q59" i="15" l="1"/>
  <c r="E67" i="39"/>
  <c r="D69" i="39"/>
  <c r="C32" i="15"/>
  <c r="C30" i="11"/>
  <c r="C19" i="15"/>
  <c r="C20" i="15" s="1"/>
  <c r="C26" i="15" s="1"/>
  <c r="E27" i="1"/>
  <c r="F22" i="11" s="1"/>
  <c r="F41" i="11" s="1"/>
  <c r="P66" i="59"/>
  <c r="P67" i="59"/>
  <c r="W7" i="35"/>
  <c r="T57" i="59"/>
  <c r="D57" i="59"/>
  <c r="J7" i="36"/>
  <c r="W7" i="36" s="1"/>
  <c r="U7" i="37"/>
  <c r="D61" i="59"/>
  <c r="T61" i="59"/>
  <c r="D36" i="59"/>
  <c r="C37" i="59"/>
  <c r="T65" i="59"/>
  <c r="D65" i="59"/>
  <c r="F16" i="59"/>
  <c r="F15" i="59" s="1"/>
  <c r="F14" i="59" s="1"/>
  <c r="F13" i="59" s="1"/>
  <c r="V17" i="59"/>
  <c r="T53" i="59"/>
  <c r="D53" i="59"/>
  <c r="D23" i="59"/>
  <c r="C22" i="59"/>
  <c r="B16" i="59"/>
  <c r="B15" i="59" s="1"/>
  <c r="B14" i="59" s="1"/>
  <c r="B13" i="59" s="1"/>
  <c r="S1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AC7" i="36" l="1"/>
  <c r="V36" i="36" s="1"/>
  <c r="I36" i="36" s="1"/>
  <c r="E69" i="39"/>
  <c r="F67" i="39"/>
  <c r="B12" i="59"/>
  <c r="B11" i="59" s="1"/>
  <c r="B10" i="59" s="1"/>
  <c r="B9" i="59" s="1"/>
  <c r="S13" i="59"/>
  <c r="V13" i="59"/>
  <c r="F12" i="59"/>
  <c r="F11" i="59" s="1"/>
  <c r="F10" i="59" s="1"/>
  <c r="F9" i="59" s="1"/>
  <c r="F25" i="12"/>
  <c r="C27" i="12" s="1"/>
  <c r="C25" i="12" s="1"/>
  <c r="C21" i="59"/>
  <c r="D22" i="59"/>
  <c r="T37" i="59"/>
  <c r="D37" i="59"/>
  <c r="F24" i="15"/>
  <c r="C24" i="15"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G67" i="39" l="1"/>
  <c r="F69" i="39"/>
  <c r="C23" i="15"/>
  <c r="C29" i="15" s="1"/>
  <c r="J14" i="15" s="1"/>
  <c r="C26" i="12"/>
  <c r="D25" i="12" s="1"/>
  <c r="C32" i="12" s="1"/>
  <c r="B8" i="59"/>
  <c r="B7" i="59" s="1"/>
  <c r="B6" i="59" s="1"/>
  <c r="B5" i="59" s="1"/>
  <c r="S5" i="59" s="1"/>
  <c r="S9" i="59"/>
  <c r="F8" i="59"/>
  <c r="F7" i="59" s="1"/>
  <c r="F6" i="59" s="1"/>
  <c r="V9" i="59"/>
  <c r="C20" i="59"/>
  <c r="T21" i="59"/>
  <c r="D21" i="59"/>
  <c r="F5" i="59"/>
  <c r="V5" i="59" s="1"/>
  <c r="E5" i="59"/>
  <c r="U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G69" i="39" l="1"/>
  <c r="H67"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I67" i="39" l="1"/>
  <c r="H69" i="39"/>
  <c r="C18" i="59"/>
  <c r="D19" i="59"/>
  <c r="F7" i="21"/>
  <c r="H7" i="21"/>
  <c r="U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J59" i="34"/>
  <c r="S7" i="21"/>
  <c r="AA7" i="21"/>
  <c r="R48" i="21" s="1"/>
  <c r="Q46" i="15"/>
  <c r="C60" i="15"/>
  <c r="C57" i="15"/>
  <c r="C66" i="15" s="1"/>
  <c r="C37" i="15"/>
  <c r="C30" i="15" s="1"/>
  <c r="C39" i="15" s="1"/>
  <c r="Q68" i="15"/>
  <c r="J16" i="15"/>
  <c r="J25" i="15" s="1"/>
  <c r="C56" i="11"/>
  <c r="C57" i="11" s="1"/>
  <c r="B2" i="11"/>
  <c r="B3" i="11"/>
  <c r="I69" i="39" l="1"/>
  <c r="J67" i="39"/>
  <c r="D18" i="59"/>
  <c r="C17" i="59"/>
  <c r="W7" i="21"/>
  <c r="C98" i="57"/>
  <c r="E98" i="57" s="1"/>
  <c r="E99" i="57" s="1"/>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J69" i="39" l="1"/>
  <c r="K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L67" i="39" l="1"/>
  <c r="K69" i="39"/>
  <c r="D16" i="59"/>
  <c r="C15" i="59"/>
  <c r="D35" i="9"/>
  <c r="D34" i="9" s="1"/>
  <c r="L64" i="40"/>
  <c r="M62" i="40"/>
  <c r="M59" i="34"/>
  <c r="N59" i="34" s="1"/>
  <c r="O59" i="34" s="1"/>
  <c r="H7" i="34" s="1"/>
  <c r="L58" i="15"/>
  <c r="L61" i="15" s="1"/>
  <c r="L69" i="39" l="1"/>
  <c r="M67" i="39"/>
  <c r="D15" i="59"/>
  <c r="C14" i="59"/>
  <c r="Q64" i="15"/>
  <c r="Q73" i="15" s="1"/>
  <c r="L47" i="15"/>
  <c r="F7" i="34"/>
  <c r="S7" i="34" s="1"/>
  <c r="J7" i="34"/>
  <c r="W7" i="34" s="1"/>
  <c r="M64" i="40"/>
  <c r="N62" i="40"/>
  <c r="AB7" i="34"/>
  <c r="T49" i="34" s="1"/>
  <c r="G49" i="34" s="1"/>
  <c r="U7" i="34"/>
  <c r="Q55" i="15"/>
  <c r="Q60" i="15" s="1"/>
  <c r="D55" i="9"/>
  <c r="N53" i="9" s="1"/>
  <c r="D56" i="9"/>
  <c r="N54" i="9" s="1"/>
  <c r="D59" i="9"/>
  <c r="N55" i="9" s="1"/>
  <c r="N67" i="39" l="1"/>
  <c r="M69" i="39"/>
  <c r="C13" i="59"/>
  <c r="D14" i="59"/>
  <c r="AA7" i="34"/>
  <c r="R49" i="34" s="1"/>
  <c r="E49" i="34" s="1"/>
  <c r="B2" i="15"/>
  <c r="B3" i="15"/>
  <c r="AC7" i="34"/>
  <c r="V49" i="34" s="1"/>
  <c r="I49" i="34" s="1"/>
  <c r="G54" i="34" s="1"/>
  <c r="H54" i="34" s="1"/>
  <c r="O62" i="40"/>
  <c r="O64" i="40" s="1"/>
  <c r="N64" i="40"/>
  <c r="G53" i="34"/>
  <c r="H53" i="34" s="1"/>
  <c r="D19" i="9"/>
  <c r="D20" i="9"/>
  <c r="D102" i="9" l="1"/>
  <c r="D101" i="9"/>
  <c r="E53" i="34"/>
  <c r="F53" i="34" s="1"/>
  <c r="E54" i="34"/>
  <c r="F54" i="34" s="1"/>
  <c r="R50" i="34"/>
  <c r="C50" i="34" s="1"/>
  <c r="B2" i="34" s="1"/>
  <c r="H7" i="39"/>
  <c r="N69" i="39"/>
  <c r="O67" i="39"/>
  <c r="O69" i="39" s="1"/>
  <c r="D13" i="59"/>
  <c r="C12" i="59"/>
  <c r="T13" i="59"/>
  <c r="I53" i="34"/>
  <c r="J53" i="34" s="1"/>
  <c r="I54" i="34"/>
  <c r="J54" i="34" s="1"/>
  <c r="H7" i="40"/>
  <c r="J7" i="40"/>
  <c r="F7" i="40"/>
  <c r="C19" i="9"/>
  <c r="C101" i="9" l="1"/>
  <c r="G19" i="9"/>
  <c r="D22" i="9"/>
  <c r="B3" i="34"/>
  <c r="C49" i="34"/>
  <c r="F7" i="39"/>
  <c r="J7" i="39"/>
  <c r="U7" i="39"/>
  <c r="AB7" i="39"/>
  <c r="T47" i="39" s="1"/>
  <c r="G47" i="39" s="1"/>
  <c r="C11" i="59"/>
  <c r="D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AA7" i="39"/>
  <c r="R47" i="39" s="1"/>
  <c r="S7" i="39"/>
  <c r="G51" i="39"/>
  <c r="H51" i="39" s="1"/>
  <c r="AC7" i="39"/>
  <c r="V47" i="39" s="1"/>
  <c r="I47" i="39" s="1"/>
  <c r="W7" i="39"/>
  <c r="D11" i="59"/>
  <c r="C10" i="59"/>
  <c r="G47" i="40"/>
  <c r="H47" i="40" s="1"/>
  <c r="E42" i="40"/>
  <c r="I51" i="39" l="1"/>
  <c r="J51" i="39" s="1"/>
  <c r="G52" i="39"/>
  <c r="H52" i="39" s="1"/>
  <c r="R48" i="39"/>
  <c r="E47" i="39"/>
  <c r="D10" i="59"/>
  <c r="C9" i="59"/>
  <c r="I47" i="40"/>
  <c r="J47" i="40" s="1"/>
  <c r="E47" i="40"/>
  <c r="F47" i="40" s="1"/>
  <c r="E46" i="40"/>
  <c r="F46" i="40" s="1"/>
  <c r="C43" i="40"/>
  <c r="C42" i="40"/>
  <c r="C48" i="39" l="1"/>
  <c r="C47" i="39"/>
  <c r="E51" i="39"/>
  <c r="F51" i="39" s="1"/>
  <c r="E52" i="39"/>
  <c r="F52" i="39" s="1"/>
  <c r="I52" i="39"/>
  <c r="J52" i="39" s="1"/>
  <c r="C8" i="59"/>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8" i="9"/>
  <c r="N68" i="9" s="1"/>
  <c r="N49" i="9"/>
  <c r="M65" i="9" s="1"/>
  <c r="N65" i="9" s="1"/>
  <c r="M63" i="9"/>
  <c r="N63" i="9" s="1"/>
  <c r="N69" i="9" s="1"/>
  <c r="O69" i="9" s="1"/>
  <c r="B63" i="39" l="1"/>
  <c r="F63" i="39" s="1"/>
  <c r="B59" i="39"/>
  <c r="F59" i="39" s="1"/>
  <c r="B62" i="39"/>
  <c r="F62" i="39" s="1"/>
  <c r="B64" i="39"/>
  <c r="F64" i="39" s="1"/>
  <c r="B61" i="39"/>
  <c r="F61" i="39" s="1"/>
  <c r="B60" i="39"/>
  <c r="F60" i="39" s="1"/>
  <c r="B56" i="39"/>
  <c r="F56" i="39" s="1"/>
  <c r="F65" i="39" s="1"/>
  <c r="B2" i="39" s="1"/>
  <c r="B3" i="39" s="1"/>
  <c r="B57" i="39"/>
  <c r="F57" i="39" s="1"/>
  <c r="B58" i="39"/>
  <c r="F58" i="39" s="1"/>
  <c r="D8" i="59"/>
  <c r="C7" i="59"/>
  <c r="M67" i="9"/>
  <c r="N67" i="9" s="1"/>
  <c r="M64" i="9"/>
  <c r="N64" i="9" s="1"/>
  <c r="D7" i="59" l="1"/>
  <c r="C6" i="59"/>
  <c r="D6" i="59" l="1"/>
  <c r="C5" i="59"/>
  <c r="T5" i="59" l="1"/>
  <c r="D5" i="59"/>
  <c r="M20" i="43"/>
  <c r="E121" i="9"/>
  <c r="G121" i="9"/>
  <c r="I121" i="9"/>
  <c r="F121" i="9" l="1"/>
  <c r="G4" i="52"/>
  <c r="B41" i="60" s="1"/>
  <c r="D121" i="9"/>
  <c r="E4" i="52"/>
  <c r="B38" i="60" s="1"/>
  <c r="I103" i="9"/>
  <c r="I4" i="52"/>
  <c r="C104" i="9"/>
  <c r="D107" i="9"/>
  <c r="H121" i="9"/>
  <c r="H4" i="52" s="1"/>
  <c r="D30" i="50" l="1"/>
  <c r="D9" i="50"/>
  <c r="B21" i="60" s="1"/>
  <c r="F122" i="9"/>
  <c r="F5" i="52" s="1"/>
  <c r="B42" i="60" s="1"/>
  <c r="F4" i="52"/>
  <c r="B40" i="60" s="1"/>
  <c r="D122" i="9"/>
  <c r="D5" i="52" s="1"/>
  <c r="B39" i="60" s="1"/>
  <c r="D4" i="52"/>
  <c r="B37" i="60" s="1"/>
  <c r="C103" i="9"/>
  <c r="H122" i="9"/>
  <c r="H5" i="52" s="1"/>
  <c r="I102" i="9"/>
  <c r="D106" i="9"/>
  <c r="D112" i="9" s="1"/>
  <c r="D14" i="62"/>
  <c r="D28" i="50" l="1"/>
  <c r="D29" i="50" s="1"/>
  <c r="D7" i="50"/>
  <c r="D113" i="9"/>
  <c r="D117" i="9"/>
  <c r="B5" i="62"/>
  <c r="E14" i="62"/>
  <c r="F14" i="62"/>
  <c r="I110" i="9"/>
  <c r="N48" i="9"/>
  <c r="D45" i="9"/>
  <c r="D125" i="9" l="1"/>
  <c r="D15" i="50"/>
  <c r="D36" i="50"/>
  <c r="D37" i="50" s="1"/>
  <c r="I115" i="9"/>
  <c r="D23" i="50" s="1"/>
  <c r="B34" i="60" s="1"/>
  <c r="D44" i="50"/>
  <c r="I111" i="9"/>
  <c r="D38" i="50"/>
  <c r="B62" i="60" s="1"/>
  <c r="D8" i="50"/>
  <c r="B22" i="60" s="1"/>
  <c r="B19" i="60"/>
  <c r="D5" i="62"/>
  <c r="C5" i="62"/>
  <c r="C93" i="9"/>
  <c r="C86" i="9" s="1"/>
  <c r="C72" i="9"/>
  <c r="C85" i="9"/>
  <c r="D53" i="9"/>
  <c r="D48" i="9" s="1"/>
  <c r="N52" i="9" s="1"/>
  <c r="O57" i="9" s="1"/>
  <c r="C78" i="9"/>
  <c r="C73" i="9" s="1"/>
  <c r="C64" i="9"/>
  <c r="C63" i="9" s="1"/>
  <c r="C67" i="9" s="1"/>
  <c r="C68" i="9" s="1"/>
  <c r="D54" i="9" s="1"/>
  <c r="D52" i="9"/>
  <c r="D126" i="9" l="1"/>
  <c r="D9" i="52" s="1"/>
  <c r="D17" i="50"/>
  <c r="B29" i="60"/>
  <c r="D16" i="50"/>
  <c r="B30" i="60" s="1"/>
  <c r="G14" i="62"/>
  <c r="B6" i="62" s="1"/>
  <c r="D8" i="52"/>
  <c r="C95" i="9"/>
  <c r="C96" i="9" s="1"/>
  <c r="E96" i="9" s="1"/>
  <c r="E97" i="9" s="1"/>
  <c r="C79" i="9"/>
  <c r="C80" i="9" s="1"/>
  <c r="E80" i="9" s="1"/>
  <c r="E81" i="9" s="1"/>
  <c r="O58" i="9"/>
  <c r="O59" i="9"/>
  <c r="Q57" i="9"/>
  <c r="C81" i="9" l="1"/>
  <c r="D6" i="62"/>
  <c r="C6" i="62"/>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<sst xmlns="http://schemas.openxmlformats.org/spreadsheetml/2006/main" count="6923" uniqueCount="3054">
  <si>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</si>
  <si>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</si>
  <si>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</si>
  <si>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</si>
  <si>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</si>
  <si>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</si>
  <si>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</si>
  <si>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</si>
  <si>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</si>
  <si>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</si>
  <si>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</si>
  <si>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</si>
  <si>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</si>
  <si>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</si>
  <si>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</si>
  <si>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</si>
  <si>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</si>
  <si>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</si>
  <si>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</si>
  <si>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</si>
  <si>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</si>
  <si>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</si>
  <si>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</si>
  <si>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</si>
  <si>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</si>
  <si>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</si>
  <si>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</si>
  <si>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</si>
  <si>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</si>
  <si>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</si>
  <si>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</si>
  <si>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</si>
  <si>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</si>
  <si>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</si>
  <si>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</si>
  <si>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</si>
  <si>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</si>
  <si>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</si>
  <si>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</si>
  <si>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</si>
  <si>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</si>
  <si>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</si>
  <si>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</si>
  <si>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</si>
  <si>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</si>
  <si>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</si>
  <si>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</si>
  <si>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</si>
  <si>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</si>
  <si>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</si>
  <si>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</si>
  <si>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</si>
  <si>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</si>
  <si>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</si>
  <si>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</si>
  <si>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</si>
  <si>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</si>
  <si>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</si>
  <si>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</si>
  <si>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</si>
  <si>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</si>
  <si>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</si>
  <si>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</si>
  <si>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</si>
  <si>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</si>
  <si>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</si>
  <si>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</si>
  <si>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</si>
  <si>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</si>
  <si>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</si>
  <si>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</si>
  <si>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</si>
  <si>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</si>
  <si>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</si>
  <si>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</si>
  <si>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</si>
  <si>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</si>
  <si>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</si>
  <si>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</si>
  <si>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</si>
  <si>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</si>
  <si>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</si>
  <si>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</si>
  <si>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</si>
  <si>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</si>
  <si>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</si>
  <si>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</si>
  <si>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</si>
  <si>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</si>
  <si>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</si>
  <si>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</si>
  <si>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</si>
  <si>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</si>
  <si>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</si>
  <si>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</si>
  <si>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</si>
  <si>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</si>
  <si>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</si>
  <si>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</si>
  <si>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</si>
  <si>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</si>
  <si>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</si>
  <si>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</si>
  <si>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</si>
  <si>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</si>
  <si>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</si>
  <si>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</si>
  <si>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</si>
  <si>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</si>
  <si>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</si>
  <si>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</si>
  <si>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</si>
  <si>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</si>
  <si>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</si>
  <si>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</si>
  <si>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</si>
  <si>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</si>
  <si>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</si>
  <si>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</si>
  <si>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</si>
  <si>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</si>
  <si>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</si>
  <si>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</si>
  <si>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</si>
  <si>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</si>
  <si>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</si>
  <si>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</si>
  <si>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</si>
  <si>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</si>
  <si>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</si>
  <si>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</si>
  <si>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</si>
  <si>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</si>
  <si>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</si>
  <si>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</si>
  <si>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</si>
  <si>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</si>
  <si>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</si>
  <si>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</si>
  <si>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</si>
  <si>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</si>
  <si>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</si>
  <si>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</si>
  <si>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</si>
  <si>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</si>
  <si>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</si>
  <si>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</si>
  <si>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</si>
  <si>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</si>
  <si>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</si>
  <si>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</si>
  <si>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</si>
  <si>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</si>
  <si>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</si>
  <si>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</si>
  <si>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</si>
  <si>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</si>
  <si>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</si>
  <si>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</si>
  <si>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</si>
  <si>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</si>
  <si>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</si>
  <si>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</si>
  <si>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</si>
  <si>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</si>
  <si>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</si>
  <si>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</si>
  <si>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</si>
  <si>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</si>
  <si>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</si>
  <si>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</si>
  <si>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</si>
  <si>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</si>
  <si>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</si>
  <si>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</si>
  <si>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</si>
  <si>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</si>
  <si>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</si>
  <si>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</si>
  <si>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</si>
  <si>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</si>
  <si>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</si>
  <si>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</si>
  <si>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</si>
  <si>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</si>
  <si>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</si>
  <si>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</si>
  <si>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</si>
  <si>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</si>
  <si>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</si>
  <si>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</si>
  <si>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</si>
  <si>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</si>
  <si>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</si>
  <si>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</si>
  <si>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</si>
  <si>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</si>
  <si>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</si>
  <si>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</si>
  <si>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</si>
  <si>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</si>
  <si>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</si>
  <si>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</si>
  <si>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</si>
  <si>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</si>
  <si>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</si>
  <si>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</si>
  <si>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</si>
  <si>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</si>
  <si>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</si>
  <si>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</si>
  <si>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</si>
  <si>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</si>
  <si>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</si>
  <si>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</si>
  <si>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</si>
  <si>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</si>
  <si>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</si>
  <si>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</si>
  <si>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</si>
  <si>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</si>
  <si>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</si>
  <si>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</si>
  <si>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</si>
  <si>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</si>
  <si>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</si>
  <si>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</si>
  <si>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</si>
  <si>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</si>
  <si>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</si>
  <si>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</si>
  <si>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</si>
  <si>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</si>
  <si>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</si>
  <si>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</si>
  <si>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</si>
  <si>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</si>
  <si>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</si>
  <si>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</si>
  <si>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</si>
  <si>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</si>
  <si>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</si>
  <si>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</si>
  <si>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</si>
  <si>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</si>
  <si>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</si>
  <si>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</si>
  <si>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</si>
  <si>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</si>
  <si>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</si>
  <si>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</si>
  <si>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</si>
  <si>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</si>
  <si>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</si>
  <si>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</si>
  <si>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</si>
  <si>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</si>
  <si>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</si>
  <si>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</si>
  <si>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</si>
  <si>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</si>
  <si>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</si>
  <si>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</si>
  <si>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</si>
  <si>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</si>
  <si>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</si>
  <si>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</si>
  <si>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</si>
  <si>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</si>
  <si>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</si>
  <si>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</si>
  <si>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</si>
  <si>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</si>
  <si>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</si>
  <si>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</si>
  <si>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</si>
  <si>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</si>
  <si>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</si>
  <si>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</si>
  <si>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</si>
  <si>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</si>
  <si>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</si>
  <si>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</si>
  <si>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</si>
  <si>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</si>
  <si>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</si>
  <si>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</si>
  <si>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</si>
  <si>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</si>
  <si>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</si>
  <si>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</si>
  <si>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</si>
  <si>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</si>
  <si>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</si>
  <si>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</si>
  <si>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</si>
  <si>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</si>
  <si>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</si>
  <si>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</si>
  <si>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</si>
  <si>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</si>
  <si>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</si>
  <si>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</si>
  <si>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</si>
  <si>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</si>
  <si>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</si>
  <si>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</si>
  <si>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</si>
  <si>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</si>
  <si>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</si>
  <si>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</si>
  <si>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</si>
  <si>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</si>
  <si>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</si>
  <si>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</si>
  <si>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</si>
  <si>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</si>
  <si>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</si>
  <si>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</si>
  <si>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</si>
  <si>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</si>
  <si>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</si>
  <si>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</si>
  <si>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</si>
  <si>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</si>
  <si>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</si>
  <si>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</si>
  <si>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</si>
  <si>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</si>
  <si>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</si>
  <si>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</si>
  <si>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</si>
  <si>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</si>
  <si>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</si>
  <si>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</si>
  <si>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</si>
  <si>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</si>
  <si>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</si>
  <si>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</si>
  <si>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</si>
  <si>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</si>
  <si>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</si>
  <si>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</si>
  <si>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</si>
  <si>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</si>
  <si>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</si>
  <si>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</si>
  <si>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</si>
  <si>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</si>
  <si>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</si>
  <si>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</si>
  <si>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</si>
  <si>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</si>
  <si>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</si>
  <si>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</si>
  <si>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</si>
  <si>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</si>
  <si>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</si>
  <si>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</si>
  <si>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</si>
  <si>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</si>
  <si>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</si>
  <si>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</si>
  <si>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</si>
  <si>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</si>
  <si>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</si>
  <si>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</si>
  <si>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</si>
  <si>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</si>
  <si>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</si>
  <si>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</si>
  <si>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</si>
  <si>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</si>
  <si>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</si>
  <si>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</si>
  <si>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</si>
  <si>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</si>
  <si>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</si>
  <si>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</si>
  <si>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</si>
  <si>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</si>
  <si>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</si>
  <si>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</si>
  <si>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</si>
  <si>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</si>
  <si>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</si>
  <si>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</si>
  <si>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</si>
  <si>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</si>
  <si>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</si>
  <si>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</si>
  <si>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</si>
  <si>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</si>
  <si>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</si>
  <si>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</si>
  <si>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</si>
  <si>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</si>
  <si>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</si>
  <si>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</si>
  <si>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</si>
  <si>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</si>
  <si>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</si>
  <si>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</si>
  <si>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</si>
  <si>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</si>
  <si>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</si>
  <si>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</si>
  <si>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</si>
  <si>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</si>
  <si>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</si>
  <si>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</si>
  <si>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</si>
  <si>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</si>
  <si>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</si>
  <si>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</si>
  <si>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</si>
  <si>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</si>
  <si>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</si>
  <si>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</si>
  <si>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</si>
  <si>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</si>
  <si>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</si>
  <si>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</si>
  <si>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</si>
  <si>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</si>
  <si>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</si>
  <si>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</si>
  <si>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</si>
  <si>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</si>
  <si>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</si>
  <si>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</si>
  <si>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</si>
  <si>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</si>
  <si>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</si>
  <si>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</si>
  <si>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</si>
  <si>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</si>
  <si>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</si>
  <si>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</si>
  <si>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</si>
  <si>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</si>
  <si>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</si>
  <si>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</si>
  <si>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</si>
  <si>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</si>
  <si>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</si>
  <si>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</si>
  <si>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</si>
  <si>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</si>
  <si>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</si>
  <si>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</si>
  <si>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</si>
  <si>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</si>
  <si>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</si>
  <si>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</si>
  <si>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</si>
  <si>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</si>
  <si>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</si>
  <si>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</si>
  <si>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</si>
  <si>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</si>
  <si>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</si>
  <si>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</si>
  <si>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</si>
  <si>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</si>
  <si>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</si>
  <si>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</si>
  <si>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</si>
  <si>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</si>
  <si>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</si>
  <si>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</si>
  <si>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</si>
  <si>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</si>
  <si>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</si>
  <si>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</si>
  <si>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</si>
  <si>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</si>
  <si>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</si>
  <si>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</si>
  <si>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</si>
  <si>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</si>
  <si>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</si>
  <si>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</si>
  <si>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</si>
  <si>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</si>
  <si>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</si>
  <si>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</si>
  <si>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</si>
  <si>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</si>
  <si>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</si>
  <si>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</si>
  <si>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</si>
  <si>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</si>
  <si>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</si>
  <si>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</si>
  <si>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</si>
  <si>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</si>
  <si>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</si>
  <si>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</si>
  <si>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</si>
  <si>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</si>
  <si>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</si>
  <si>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</si>
  <si>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</si>
  <si>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</si>
  <si>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</si>
  <si>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</si>
  <si>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</si>
  <si>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</si>
  <si>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</si>
  <si>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</si>
  <si>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</si>
  <si>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</si>
  <si>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</si>
  <si>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</si>
  <si>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</si>
  <si>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</si>
  <si>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</si>
  <si>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</si>
  <si>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</si>
  <si>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</si>
  <si>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</si>
  <si>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</si>
  <si>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</si>
  <si>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</si>
  <si>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</si>
  <si>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</si>
  <si>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</si>
  <si>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</si>
  <si>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</si>
  <si>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</si>
  <si>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</si>
  <si>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</si>
  <si>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</si>
  <si>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</si>
  <si>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</si>
  <si>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</si>
  <si>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</si>
  <si>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</si>
  <si>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</si>
  <si>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</si>
  <si>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</si>
  <si>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</si>
  <si>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</si>
  <si>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</si>
  <si>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</si>
  <si>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</si>
  <si>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</si>
  <si>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</si>
  <si>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</si>
  <si>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</si>
  <si>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</si>
  <si>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</si>
  <si>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</si>
  <si>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</si>
  <si>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</si>
  <si>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</si>
  <si>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</si>
  <si>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</si>
  <si>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</si>
  <si>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</si>
  <si>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</si>
  <si>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</si>
  <si>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</si>
  <si>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</si>
  <si>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</si>
  <si>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</si>
  <si>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</si>
  <si>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</si>
  <si>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</si>
  <si>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</si>
  <si>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</si>
  <si>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</si>
  <si>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</si>
  <si>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</si>
  <si>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</si>
  <si>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</si>
  <si>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</si>
  <si>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</si>
  <si>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</si>
  <si>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</si>
  <si>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</si>
  <si>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</si>
  <si>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</si>
  <si>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</si>
  <si>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</si>
  <si>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</si>
  <si>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</si>
  <si>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</si>
  <si>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</si>
  <si>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</si>
  <si>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</si>
  <si>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</si>
  <si>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</si>
  <si>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</si>
  <si>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</si>
  <si>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</si>
  <si>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</si>
  <si>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</si>
  <si>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</si>
  <si>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</si>
  <si>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</si>
  <si>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</si>
  <si>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</si>
  <si>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</si>
  <si>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</si>
  <si>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</si>
  <si>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</si>
  <si>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</si>
  <si>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</si>
  <si>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</si>
  <si>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</si>
  <si>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</si>
  <si>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</si>
  <si>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</si>
  <si>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</si>
  <si>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</si>
  <si>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</si>
  <si>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</si>
  <si>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</si>
  <si>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</si>
  <si>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</si>
  <si>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</si>
  <si>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</si>
  <si>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</si>
  <si>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</si>
  <si>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</si>
  <si>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</si>
  <si>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</si>
  <si>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</si>
  <si>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</si>
  <si>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</si>
  <si>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</si>
  <si>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</si>
  <si>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</si>
  <si>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</si>
  <si>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</si>
  <si>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</si>
  <si>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</si>
  <si>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</si>
  <si>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</si>
  <si>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</si>
  <si>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</si>
  <si>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</si>
  <si>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</si>
  <si>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</si>
  <si>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</si>
  <si>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</si>
  <si>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</si>
  <si>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</si>
  <si>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</si>
  <si>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</si>
  <si>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</si>
  <si>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</si>
  <si>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</si>
  <si>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</si>
  <si>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</si>
  <si>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</si>
  <si>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</si>
  <si>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</si>
  <si>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</si>
  <si>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</si>
  <si>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</si>
  <si>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</si>
  <si>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</si>
  <si>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</si>
  <si>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</si>
  <si>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</si>
  <si>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</si>
  <si>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</si>
  <si>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</si>
  <si>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</si>
  <si>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</si>
  <si>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</si>
  <si>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</si>
  <si>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</si>
  <si>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</si>
  <si>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</si>
  <si>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</si>
  <si>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</si>
  <si>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</si>
  <si>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</si>
  <si>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</si>
  <si>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</si>
  <si>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</si>
  <si>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</si>
  <si>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</si>
  <si>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</si>
  <si>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</si>
  <si>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</si>
  <si>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</si>
  <si>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</si>
  <si>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</si>
  <si>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</si>
  <si>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</si>
  <si>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</si>
  <si>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</si>
  <si>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</si>
  <si>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</si>
  <si>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</si>
  <si>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</si>
  <si>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</si>
  <si>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</si>
  <si>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</si>
  <si>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</si>
  <si>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</si>
  <si>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</si>
  <si>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</si>
  <si>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</si>
  <si>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</si>
  <si>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</si>
  <si>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</si>
  <si>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</si>
  <si>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</si>
  <si>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</si>
  <si>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</si>
  <si>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</si>
  <si>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</si>
  <si>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</si>
  <si>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</si>
  <si>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</si>
  <si>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</si>
  <si>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</si>
  <si>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</si>
  <si>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</si>
  <si>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</si>
  <si>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</si>
  <si>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</si>
  <si>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</si>
  <si>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</si>
  <si>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</si>
  <si>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</si>
  <si>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</si>
  <si>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</si>
  <si>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</si>
  <si>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</si>
  <si>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</si>
  <si>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</si>
  <si>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</si>
  <si>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</si>
  <si>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</si>
  <si>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</si>
  <si>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</si>
  <si>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</si>
  <si>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</si>
  <si>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</si>
  <si>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</si>
  <si>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</si>
  <si>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</si>
  <si>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</si>
  <si>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</si>
  <si>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</si>
  <si>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</si>
  <si>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</si>
  <si>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</si>
  <si>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</si>
  <si>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</si>
  <si>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</si>
  <si>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</si>
  <si>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</si>
  <si>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</si>
  <si>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</si>
  <si>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</si>
  <si>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</si>
  <si>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</si>
  <si>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</si>
  <si>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</si>
  <si>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</si>
  <si>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</si>
  <si>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</si>
  <si>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</si>
  <si>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</si>
  <si>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</si>
  <si>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</si>
  <si>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</si>
  <si>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</si>
  <si>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</si>
  <si>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</si>
  <si>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</si>
  <si>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</si>
  <si>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</si>
  <si>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</si>
  <si>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</si>
  <si>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</si>
  <si>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</si>
  <si>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</si>
  <si>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</si>
  <si>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</si>
  <si>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</si>
  <si>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</si>
  <si>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</si>
  <si>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</si>
  <si>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</si>
  <si>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</si>
  <si>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</si>
  <si>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</si>
  <si>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</si>
  <si>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</si>
  <si>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</si>
  <si>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</si>
  <si>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</si>
  <si>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</si>
  <si>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</si>
  <si>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</si>
  <si>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</si>
  <si>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</si>
  <si>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</si>
  <si>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</si>
  <si>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</si>
  <si>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</si>
  <si>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</si>
  <si>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</si>
  <si>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</si>
  <si>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</si>
  <si>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</si>
  <si>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</si>
  <si>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</si>
  <si>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</si>
  <si>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</si>
  <si>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</si>
  <si>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</si>
  <si>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</si>
  <si>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</si>
  <si>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</si>
  <si>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</si>
  <si>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</si>
  <si>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</si>
  <si>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</si>
  <si>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</si>
  <si>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</si>
  <si>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</si>
  <si>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</si>
  <si>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</si>
  <si>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</si>
  <si>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</si>
  <si>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</si>
  <si>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</si>
  <si>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</si>
  <si>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</si>
  <si>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</si>
  <si>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</si>
  <si>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</si>
  <si>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</si>
  <si>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</si>
  <si>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</si>
  <si>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</si>
  <si>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</si>
  <si>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</si>
  <si>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</si>
  <si>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</si>
  <si>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</si>
  <si>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</si>
  <si>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</si>
  <si>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</si>
  <si>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</si>
  <si>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</si>
  <si>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</si>
  <si>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</si>
  <si>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</si>
  <si>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</si>
  <si>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</si>
  <si>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</si>
  <si>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</si>
  <si>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</si>
  <si>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</si>
  <si>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</si>
  <si>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</si>
  <si>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</si>
  <si>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</si>
  <si>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</si>
  <si>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</si>
  <si>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</si>
  <si>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</si>
  <si>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</si>
  <si>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</si>
  <si>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</si>
  <si>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</si>
  <si>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</si>
  <si>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</si>
  <si>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</si>
  <si>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</si>
  <si>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</si>
  <si>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</si>
  <si>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</si>
  <si>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</si>
  <si>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</si>
  <si>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</si>
  <si>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</si>
  <si>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</si>
  <si>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</si>
  <si>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</si>
  <si>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</si>
  <si>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</si>
  <si>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</si>
  <si>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</si>
  <si>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</si>
  <si>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</si>
  <si>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</si>
  <si>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</si>
  <si>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</si>
  <si>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</si>
  <si>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</si>
  <si>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</si>
  <si>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</si>
  <si>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</si>
  <si>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</si>
  <si>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</si>
  <si>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</si>
  <si>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</si>
  <si>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</si>
  <si>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</si>
  <si>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</si>
  <si>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</si>
  <si>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</si>
  <si>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</si>
  <si>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</si>
  <si>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</si>
  <si>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</si>
  <si>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</si>
  <si>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</si>
  <si>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</si>
  <si>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</si>
  <si>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</si>
  <si>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</si>
  <si>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</si>
  <si>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</si>
  <si>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</si>
  <si>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</si>
  <si>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</si>
  <si>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</si>
  <si>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</si>
  <si>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</si>
  <si>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</si>
  <si>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</si>
  <si>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</si>
  <si>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</si>
  <si>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</si>
  <si>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</si>
  <si>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</si>
  <si>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</si>
  <si>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</si>
  <si>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</si>
  <si>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</si>
  <si>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</si>
  <si>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</si>
  <si>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</si>
  <si>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</si>
  <si>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</si>
  <si>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</si>
  <si>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</si>
  <si>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</si>
  <si>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</si>
  <si>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</si>
  <si>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</si>
  <si>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</si>
  <si>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</si>
  <si>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</si>
  <si>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</si>
  <si>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</si>
  <si>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</si>
  <si>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</si>
  <si>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</si>
  <si>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</si>
  <si>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</si>
  <si>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</si>
  <si>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</si>
  <si>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</si>
  <si>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</si>
  <si>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</si>
  <si>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</si>
  <si>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</si>
  <si>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</si>
  <si>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</si>
  <si>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</si>
  <si>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</si>
  <si>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</si>
  <si>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</si>
  <si>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</si>
  <si>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</si>
  <si>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</si>
  <si>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</si>
  <si>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</si>
  <si>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</si>
  <si>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</si>
  <si>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</si>
  <si>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</si>
  <si>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</si>
  <si>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</si>
  <si>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</si>
  <si>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</si>
  <si>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</si>
  <si>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</si>
  <si>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</si>
  <si>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</si>
  <si>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</si>
  <si>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</si>
  <si>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</si>
  <si>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</si>
  <si>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</si>
  <si>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</si>
  <si>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</si>
  <si>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</si>
  <si>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</si>
  <si>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</si>
  <si>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</si>
  <si>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</si>
  <si>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</si>
  <si>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</si>
  <si>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</si>
  <si>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</si>
  <si>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</si>
  <si>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</si>
  <si>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</si>
  <si>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</si>
  <si>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</si>
  <si>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</si>
  <si>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</si>
  <si>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</si>
  <si>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</si>
  <si>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</si>
  <si>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</si>
  <si>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</si>
  <si>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</si>
  <si>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</si>
  <si>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</si>
  <si>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</si>
  <si>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</si>
  <si>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</si>
  <si>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</si>
  <si>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</si>
  <si>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</si>
  <si>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</si>
  <si>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</si>
  <si>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</si>
  <si>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</si>
  <si>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</si>
  <si>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</si>
  <si>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</si>
  <si>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</si>
  <si>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</si>
  <si>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</si>
  <si>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</si>
  <si>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</si>
  <si>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</si>
  <si>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</si>
  <si>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</si>
  <si>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</si>
  <si>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</si>
  <si>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</si>
  <si>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</si>
  <si>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</si>
  <si>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</si>
  <si>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</si>
  <si>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</si>
  <si>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</si>
  <si>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</si>
  <si>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</si>
  <si>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</si>
  <si>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</si>
  <si>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</si>
  <si>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</si>
  <si>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</si>
  <si>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</si>
  <si>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</si>
  <si>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</si>
  <si>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</si>
  <si>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</si>
  <si>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</si>
  <si>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</si>
  <si>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</si>
  <si>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</si>
  <si>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</si>
  <si>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</si>
  <si>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</si>
  <si>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</si>
  <si>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</si>
  <si>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</si>
  <si>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</si>
  <si>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</si>
  <si>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</si>
  <si>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</si>
  <si>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</si>
  <si>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</si>
  <si>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</si>
  <si>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</si>
  <si>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</si>
  <si>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</si>
  <si>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</si>
  <si>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</si>
  <si>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</si>
  <si>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</si>
  <si>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</si>
  <si>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</si>
  <si>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</si>
  <si>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</si>
  <si>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</si>
  <si>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</si>
  <si>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</si>
  <si>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</si>
  <si>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</si>
  <si>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</si>
  <si>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</si>
  <si>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</si>
  <si>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</si>
  <si>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</si>
  <si>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</si>
  <si>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</si>
  <si>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</si>
  <si>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</si>
  <si>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</si>
  <si>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</si>
  <si>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</si>
  <si>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</si>
  <si>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</si>
  <si>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</si>
  <si>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</si>
  <si>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</si>
  <si>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</si>
  <si>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</si>
  <si>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</si>
  <si>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</si>
  <si>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</si>
  <si>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</si>
  <si>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</si>
  <si>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</si>
  <si>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</si>
  <si>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</si>
  <si>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</si>
  <si>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</si>
  <si>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</si>
  <si>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</si>
  <si>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</si>
  <si>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</si>
  <si>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</si>
  <si>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</si>
  <si>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</si>
  <si>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</si>
  <si>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</si>
  <si>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</si>
  <si>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</si>
  <si>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</si>
  <si>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</si>
  <si>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</si>
  <si>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</si>
  <si>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</si>
  <si>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</si>
  <si>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</si>
  <si>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</si>
  <si>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</si>
  <si>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</si>
  <si>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</si>
  <si>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</si>
  <si>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</si>
  <si>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</si>
  <si>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</si>
  <si>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</si>
  <si>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</si>
  <si>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</si>
  <si>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</si>
  <si>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</si>
  <si>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</si>
  <si>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</si>
  <si>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</si>
  <si>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</si>
  <si>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</si>
  <si>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</si>
  <si>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</si>
  <si>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</si>
  <si>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</si>
  <si>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</si>
  <si>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</si>
  <si>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</si>
  <si>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</si>
  <si>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</si>
  <si>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</si>
  <si>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</si>
  <si>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</si>
  <si>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</si>
  <si>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</si>
  <si>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</si>
  <si>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</si>
  <si>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</si>
  <si>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</si>
  <si>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</si>
  <si>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</si>
  <si>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</si>
  <si>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</si>
  <si>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</si>
  <si>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</si>
  <si>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</si>
  <si>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</si>
  <si>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</si>
  <si>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</si>
  <si>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</si>
  <si>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</si>
  <si>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</si>
  <si>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</si>
  <si>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</si>
  <si>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</si>
  <si>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</si>
  <si>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</si>
  <si>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</si>
  <si>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</si>
  <si>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</si>
  <si>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</si>
  <si>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</si>
  <si>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</si>
  <si>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</si>
  <si>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</si>
  <si>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</si>
  <si>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</si>
  <si>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</si>
  <si>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</si>
  <si>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</si>
  <si>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</si>
  <si>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</si>
  <si>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</si>
  <si>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</si>
  <si>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</si>
  <si>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</si>
  <si>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</si>
  <si>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</si>
  <si>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</si>
  <si>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</si>
  <si>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</si>
  <si>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</si>
  <si>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</si>
  <si>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</si>
  <si>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</si>
  <si>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</si>
  <si>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</si>
  <si>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</si>
  <si>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</si>
  <si>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</si>
  <si>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</si>
  <si>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</si>
  <si>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</si>
  <si>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</si>
  <si>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</si>
  <si>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</si>
  <si>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</si>
  <si>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</si>
  <si>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</si>
  <si>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</si>
  <si>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</si>
  <si>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</si>
  <si>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</si>
  <si>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</si>
  <si>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</si>
  <si>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</si>
  <si>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</si>
  <si>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</si>
  <si>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</si>
  <si>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</si>
  <si>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</si>
  <si>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</si>
  <si>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</si>
  <si>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</si>
  <si>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</si>
  <si>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</si>
  <si>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</si>
  <si>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</si>
  <si>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</si>
  <si>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</si>
  <si>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</si>
  <si>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</si>
  <si>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</si>
  <si>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</si>
  <si>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</si>
  <si>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</si>
  <si>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</si>
  <si>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</si>
  <si>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</si>
  <si>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</si>
  <si>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</si>
  <si>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</si>
  <si>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</si>
  <si>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</si>
  <si>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</si>
  <si>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</si>
  <si>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</si>
  <si>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</si>
  <si>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</si>
  <si>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</si>
  <si>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</si>
  <si>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</si>
  <si>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</si>
  <si>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</si>
  <si>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</si>
  <si>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</si>
  <si>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</si>
  <si>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</si>
  <si>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</si>
  <si>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</si>
  <si>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</si>
  <si>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</si>
  <si>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</si>
  <si>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</si>
  <si>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</si>
  <si>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</si>
  <si>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</si>
  <si>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</si>
  <si>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</si>
  <si>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</si>
  <si>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</si>
  <si>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</si>
  <si>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</si>
  <si>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</si>
  <si>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</si>
  <si>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</si>
  <si>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</si>
  <si>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</si>
  <si>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</si>
  <si>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</si>
  <si>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</si>
  <si>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</si>
  <si>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</si>
  <si>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</si>
  <si>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</si>
  <si>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</si>
  <si>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</si>
  <si>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</si>
  <si>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</si>
  <si>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</si>
  <si>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</si>
  <si>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</si>
  <si>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</si>
  <si>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</si>
  <si>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</si>
  <si>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</si>
  <si>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</si>
  <si>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</si>
  <si>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</si>
  <si>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</si>
  <si>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</si>
  <si>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</si>
  <si>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</si>
  <si>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</si>
  <si>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</si>
  <si>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</si>
  <si>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</si>
  <si>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</si>
  <si>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</si>
  <si>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</si>
  <si>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</si>
  <si>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</si>
  <si>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</si>
  <si>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</si>
  <si>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</si>
  <si>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</si>
  <si>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</si>
  <si>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</si>
  <si>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</si>
  <si>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</si>
  <si>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</si>
  <si>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</si>
  <si>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</si>
  <si>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</si>
  <si>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</si>
  <si>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</si>
  <si>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</si>
  <si>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</si>
  <si>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</si>
  <si>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</si>
  <si>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</si>
  <si>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</si>
  <si>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</si>
  <si>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</si>
  <si>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</si>
  <si>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</si>
  <si>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</si>
  <si>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</si>
  <si>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</si>
  <si>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</si>
  <si>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</si>
  <si>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</si>
  <si>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</si>
  <si>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</si>
  <si>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</si>
  <si>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</si>
  <si>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</si>
  <si>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</si>
  <si>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</si>
  <si>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</si>
  <si>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</si>
  <si>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</si>
  <si>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</si>
  <si>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</si>
  <si>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</si>
  <si>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</si>
  <si>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</si>
  <si>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</si>
  <si>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</si>
  <si>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</si>
  <si>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</si>
  <si>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</si>
  <si>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</si>
  <si>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</si>
  <si>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</si>
  <si>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</si>
  <si>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</si>
  <si>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</si>
  <si>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</si>
  <si>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</si>
  <si>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</si>
  <si>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</si>
  <si>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</si>
  <si>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</si>
  <si>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</si>
  <si>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</si>
  <si>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</si>
  <si>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</si>
  <si>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</si>
  <si>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</si>
  <si>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</si>
  <si>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</si>
  <si>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</si>
  <si>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</si>
  <si>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</si>
  <si>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</si>
  <si>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</si>
  <si>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</si>
  <si>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</si>
  <si>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</si>
  <si>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</si>
  <si>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</si>
  <si>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</si>
  <si>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</si>
  <si>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</si>
  <si>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</si>
  <si>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</si>
  <si>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</si>
  <si>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</si>
  <si>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</si>
  <si>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</si>
  <si>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</si>
  <si>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</si>
  <si>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</si>
  <si>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</si>
  <si>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</si>
  <si>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</si>
  <si>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</si>
  <si>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</si>
  <si>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</si>
  <si>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</si>
  <si>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</si>
  <si>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</si>
  <si>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</si>
  <si>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</si>
  <si>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</si>
  <si>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</si>
  <si>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</si>
  <si>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</si>
  <si>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</si>
  <si>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</si>
  <si>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</si>
  <si>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</si>
  <si>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</si>
  <si>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</si>
  <si>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</si>
  <si>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</si>
  <si>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</si>
  <si>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</si>
  <si>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</si>
  <si>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</si>
  <si>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</si>
  <si>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</si>
  <si>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</si>
  <si>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</si>
  <si>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</si>
  <si>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</si>
  <si>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</si>
  <si>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</si>
  <si>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</si>
  <si>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</si>
  <si>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</si>
  <si>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</si>
  <si>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</si>
  <si>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</si>
  <si>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</si>
  <si>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</si>
  <si>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</si>
  <si>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</si>
  <si>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</si>
  <si>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</si>
  <si>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</si>
  <si>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</si>
  <si>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</si>
  <si>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</si>
  <si>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</si>
  <si>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</si>
  <si>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</si>
  <si>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</si>
  <si>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</si>
  <si>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</si>
  <si>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</si>
  <si>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</si>
  <si>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</si>
  <si>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</si>
  <si>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</si>
  <si>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</si>
  <si>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</si>
  <si>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</si>
  <si>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</si>
  <si>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</si>
  <si>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</si>
  <si>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</si>
  <si>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</si>
  <si>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</si>
  <si>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</si>
  <si>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</si>
  <si>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</si>
  <si>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</si>
  <si>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</si>
  <si>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</si>
  <si>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</si>
  <si>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</si>
  <si>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</si>
  <si>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</si>
  <si>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</si>
  <si>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</si>
  <si>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</si>
  <si>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</si>
  <si>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</si>
  <si>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</si>
  <si>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</si>
  <si>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</si>
  <si>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</si>
  <si>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</si>
  <si>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</si>
  <si>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</si>
  <si>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</si>
  <si>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</si>
  <si>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</si>
  <si>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</si>
  <si>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</si>
  <si>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</si>
  <si>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</si>
  <si>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</si>
  <si>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</si>
  <si>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</si>
  <si>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</si>
  <si>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</si>
  <si>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</si>
  <si>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</si>
  <si>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</si>
  <si>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</si>
  <si>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</si>
  <si>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</si>
  <si>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</si>
  <si>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</si>
  <si>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</si>
  <si>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</si>
  <si>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</si>
  <si>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</si>
  <si>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</si>
  <si>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</si>
  <si>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</si>
  <si>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</si>
  <si>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</si>
  <si>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</si>
  <si>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</si>
  <si>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</si>
  <si>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</si>
  <si>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</si>
  <si>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</si>
  <si>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</si>
  <si>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</si>
  <si>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</si>
  <si>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</si>
  <si>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</si>
  <si>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</si>
  <si>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</si>
  <si>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</si>
  <si>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</si>
  <si>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</si>
  <si>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</si>
  <si>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</si>
  <si>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</si>
  <si>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</si>
  <si>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</si>
  <si>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</si>
  <si>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</si>
  <si>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</si>
  <si>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</si>
  <si>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</si>
  <si>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</si>
  <si>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</si>
  <si>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</si>
  <si>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</si>
  <si>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</si>
  <si>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</si>
  <si>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</si>
  <si>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</si>
  <si>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</si>
  <si>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</si>
  <si>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</si>
  <si>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</si>
  <si>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</si>
  <si>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</si>
  <si>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</si>
  <si>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</si>
  <si>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</si>
  <si>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</si>
  <si>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</si>
  <si>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</si>
  <si>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</si>
  <si>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</si>
  <si>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</si>
  <si>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</si>
  <si>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</si>
  <si>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</si>
  <si>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</si>
  <si>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</si>
  <si>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</si>
  <si>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</si>
  <si>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</si>
  <si>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</si>
  <si>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</si>
  <si>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</si>
  <si>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</si>
  <si>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</si>
  <si>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</si>
  <si>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</si>
  <si>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</si>
  <si>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</si>
  <si>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</si>
  <si>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</si>
  <si>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</si>
  <si>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</si>
  <si>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</si>
  <si>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</si>
  <si>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</si>
  <si>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</si>
  <si>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</si>
  <si>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</si>
  <si>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</si>
  <si>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</si>
  <si>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</si>
  <si>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</si>
  <si>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</si>
  <si>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</si>
  <si>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</si>
  <si>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</si>
  <si>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</si>
  <si>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</si>
  <si>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</si>
  <si>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</si>
  <si>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</si>
  <si>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</si>
  <si>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</si>
  <si>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</si>
  <si>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</si>
  <si>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</si>
  <si>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</si>
  <si>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</si>
  <si>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</si>
  <si>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</si>
  <si>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</si>
  <si>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</si>
  <si>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</si>
  <si>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</si>
  <si>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</si>
  <si>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</si>
  <si>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</si>
  <si>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</si>
  <si>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</si>
  <si>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</si>
  <si>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</si>
  <si>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</si>
  <si>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</si>
  <si>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</si>
  <si>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</si>
  <si>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</si>
  <si>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</si>
  <si>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</si>
  <si>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</si>
  <si>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</si>
  <si>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</si>
  <si>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</si>
  <si>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</si>
  <si>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</si>
  <si>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</si>
  <si>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</si>
  <si>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</si>
  <si>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</si>
  <si>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</si>
  <si>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</si>
  <si>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</si>
  <si>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</si>
  <si>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</si>
  <si>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</si>
  <si>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</si>
  <si>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</si>
  <si>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</si>
  <si>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</si>
  <si>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</si>
  <si>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</si>
  <si>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</si>
  <si>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</si>
  <si>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</si>
  <si>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</si>
  <si>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</si>
  <si>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</si>
  <si>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</si>
  <si>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</si>
  <si>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</si>
  <si>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</si>
  <si>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</si>
  <si>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</si>
  <si>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</si>
  <si>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</si>
  <si>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</si>
  <si>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</si>
  <si>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</si>
  <si>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</si>
  <si>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</si>
  <si>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</si>
  <si>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</si>
  <si>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</si>
  <si>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</si>
  <si>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</si>
  <si>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</si>
  <si>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</si>
  <si>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</si>
  <si>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</si>
  <si>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</si>
  <si>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</si>
  <si>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</si>
  <si>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</si>
  <si>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</si>
  <si>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</si>
  <si>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</si>
  <si>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</si>
  <si>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</si>
  <si>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</si>
  <si>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</si>
  <si>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</si>
  <si>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</si>
  <si>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</si>
  <si>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</si>
  <si>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</si>
  <si>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</si>
  <si>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</si>
  <si>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</si>
  <si>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</si>
  <si>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</si>
  <si>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</si>
  <si>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</si>
  <si>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</si>
  <si>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</si>
  <si>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</si>
  <si>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</si>
  <si>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</si>
  <si>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</si>
  <si>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</si>
  <si>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</si>
  <si>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</si>
  <si>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</si>
  <si>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</si>
  <si>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</si>
  <si>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</si>
  <si>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</si>
  <si>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</si>
  <si>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</si>
  <si>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</si>
  <si>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</si>
  <si>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</si>
  <si>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</si>
  <si>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</si>
  <si>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</si>
  <si>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</si>
  <si>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</si>
  <si>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</si>
  <si>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</si>
  <si>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</si>
  <si>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</si>
  <si>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</si>
  <si>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</si>
  <si>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</si>
  <si>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</si>
  <si>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</si>
  <si>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</si>
  <si>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</si>
  <si>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</si>
  <si>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</si>
  <si>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</si>
  <si>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</si>
  <si>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</si>
  <si>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</si>
  <si>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</si>
  <si>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</si>
  <si>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</si>
  <si>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</si>
  <si>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</si>
  <si>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</si>
  <si>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</si>
  <si>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</si>
  <si>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</si>
  <si>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</si>
  <si>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</si>
  <si>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</si>
  <si>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</si>
  <si>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</si>
  <si>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</si>
  <si>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</si>
  <si>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</si>
  <si>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</si>
  <si>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</si>
  <si>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</si>
  <si>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</si>
  <si>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</si>
  <si>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</si>
  <si>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</si>
  <si>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</si>
  <si>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</si>
  <si>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</si>
  <si>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</si>
  <si>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</si>
  <si>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</si>
  <si>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</si>
  <si>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</si>
  <si>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</si>
  <si>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</si>
  <si>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</si>
  <si>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</si>
  <si>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</si>
  <si>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</si>
  <si>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</si>
  <si>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</si>
  <si>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</si>
  <si>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</si>
  <si>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</si>
  <si>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</si>
  <si>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</si>
  <si>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</si>
  <si>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</si>
  <si>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</si>
  <si>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</si>
  <si>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</si>
  <si>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</si>
  <si>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</si>
  <si>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</si>
  <si>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</si>
  <si>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</si>
  <si>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</si>
  <si>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</si>
  <si>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</si>
  <si>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</si>
  <si>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</si>
  <si>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</si>
  <si>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</si>
  <si>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</si>
  <si>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</si>
  <si>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</si>
  <si>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</si>
  <si>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</si>
  <si>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</si>
  <si>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</si>
  <si>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</si>
  <si>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</si>
  <si>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</si>
  <si>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</si>
  <si>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</si>
  <si>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</si>
  <si>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</si>
  <si>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</si>
  <si>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</si>
  <si>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</si>
  <si>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</si>
  <si>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</si>
  <si>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</si>
  <si>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</si>
  <si>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</si>
  <si>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</si>
  <si>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</si>
  <si>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</si>
  <si>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</si>
  <si>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</si>
  <si>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</si>
  <si>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</si>
  <si>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</si>
  <si>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</si>
  <si>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</si>
  <si>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</si>
  <si>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</si>
  <si>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</si>
  <si>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</si>
  <si>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</si>
  <si>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</si>
  <si>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</si>
  <si>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</si>
  <si>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</si>
  <si>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</si>
  <si>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</si>
  <si>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</si>
  <si>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</si>
  <si>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</si>
  <si>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</si>
  <si>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</si>
  <si>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</si>
  <si>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</si>
  <si>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</si>
  <si>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</si>
  <si>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</si>
  <si>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</si>
  <si>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</si>
  <si>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</si>
  <si>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</si>
  <si>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</si>
  <si>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</si>
  <si>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</si>
  <si>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</si>
  <si>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</si>
  <si>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</si>
  <si>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</si>
  <si>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</si>
  <si>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</si>
  <si>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</si>
  <si>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</si>
  <si>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</si>
  <si>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</si>
  <si>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</si>
  <si>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</si>
  <si>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</si>
  <si>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</si>
  <si>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</si>
  <si>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</si>
  <si>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</si>
  <si>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</si>
  <si>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</si>
  <si>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</si>
  <si>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</si>
  <si>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</si>
  <si>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</si>
  <si>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</si>
  <si>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</si>
  <si>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</si>
  <si>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</si>
  <si>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</si>
  <si>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</si>
  <si>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</si>
  <si>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</si>
  <si>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</si>
  <si>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</si>
  <si>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</si>
  <si>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</si>
  <si>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</si>
  <si>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</si>
  <si>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</si>
  <si>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</si>
  <si>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</si>
  <si>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</si>
  <si>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</si>
  <si>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</si>
  <si>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</si>
  <si>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</si>
  <si>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</si>
  <si>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</si>
  <si>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</si>
  <si>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</si>
  <si>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</si>
  <si>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</si>
  <si>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</si>
  <si>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</si>
  <si>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</si>
  <si>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</si>
  <si>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</si>
  <si>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</si>
  <si>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</si>
  <si>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</si>
  <si>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</si>
  <si>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</si>
  <si>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</si>
  <si>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</si>
  <si>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</si>
  <si>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</si>
  <si>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</si>
  <si>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</si>
  <si>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</si>
  <si>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</si>
  <si>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</si>
  <si>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</si>
  <si>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</si>
  <si>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</si>
  <si>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</si>
  <si>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</si>
  <si>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</si>
  <si>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</si>
  <si>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</si>
  <si>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</si>
  <si>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</si>
  <si>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</si>
  <si>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</si>
  <si>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</si>
  <si>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</si>
  <si>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</si>
  <si>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</si>
  <si>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</si>
  <si>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</si>
  <si>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</si>
  <si>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</si>
  <si>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</si>
  <si>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</si>
  <si>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</si>
  <si>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</si>
  <si>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</si>
  <si>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</si>
  <si>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</si>
  <si>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</si>
  <si>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</si>
  <si>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</si>
  <si>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</si>
  <si>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</si>
  <si>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</si>
  <si>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</si>
  <si>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</si>
  <si>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</si>
  <si>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</si>
  <si>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</si>
  <si>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</si>
  <si>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</si>
  <si>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</si>
  <si>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</si>
  <si>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</si>
  <si>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</si>
  <si>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</si>
  <si>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</si>
  <si>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</si>
  <si>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</si>
  <si>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</si>
  <si>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</si>
  <si>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</si>
  <si>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</si>
  <si>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</si>
  <si>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</si>
  <si>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</si>
  <si>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</si>
  <si>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</si>
  <si>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</si>
  <si>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</si>
  <si>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</si>
  <si>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</si>
  <si>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</si>
  <si>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</si>
  <si>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</si>
  <si>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</si>
  <si>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</si>
  <si>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</si>
  <si>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</si>
  <si>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</si>
  <si>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</si>
  <si>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</si>
  <si>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</si>
  <si>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</si>
  <si>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</si>
  <si>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</si>
  <si>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</si>
  <si>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</si>
  <si>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</si>
  <si>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</si>
  <si>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</si>
  <si>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</si>
  <si>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</si>
  <si>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</si>
  <si>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</si>
  <si>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</si>
  <si>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</si>
  <si>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</si>
  <si>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</si>
  <si>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</si>
  <si>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</si>
  <si>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</si>
  <si>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</si>
  <si>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</si>
  <si>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</si>
  <si>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</si>
  <si>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</si>
  <si>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</si>
  <si>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</si>
  <si>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</si>
  <si>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</si>
  <si>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</si>
  <si>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</si>
  <si>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</si>
  <si>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</si>
  <si>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</si>
  <si>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</si>
  <si>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</si>
  <si>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</si>
  <si>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</si>
  <si>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</si>
  <si>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</si>
  <si>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</si>
  <si>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</si>
  <si>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</si>
  <si>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</si>
  <si>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</si>
  <si>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</si>
  <si>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</si>
  <si>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</si>
  <si>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</si>
  <si>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</si>
  <si>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</si>
  <si>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</si>
  <si>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</si>
  <si>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</si>
  <si>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</si>
  <si>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</si>
  <si>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</si>
  <si>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</si>
  <si>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</si>
  <si>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</si>
  <si>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</si>
  <si>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</si>
  <si>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</si>
  <si>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</si>
  <si>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</si>
  <si>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</si>
  <si>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</si>
  <si>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</si>
  <si>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</si>
  <si>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</si>
  <si>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</si>
  <si>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</si>
  <si>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</si>
  <si>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</si>
  <si>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</si>
  <si>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</si>
  <si>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</si>
  <si>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</si>
  <si>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</si>
  <si>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</si>
  <si>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</si>
  <si>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</si>
  <si>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</si>
  <si>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</si>
  <si>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</si>
  <si>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</si>
  <si>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</si>
  <si>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</si>
  <si>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</si>
  <si>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</si>
  <si>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</si>
  <si>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</si>
  <si>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</si>
  <si>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</si>
  <si>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</si>
  <si>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</si>
  <si>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</si>
  <si>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</si>
  <si>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</si>
  <si>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</si>
  <si>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</si>
  <si>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</si>
  <si>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</si>
  <si>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</si>
  <si>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</si>
  <si>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</si>
  <si>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</si>
  <si>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</si>
  <si>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</si>
  <si>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</si>
  <si>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</si>
  <si>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</si>
  <si>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</si>
  <si>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</si>
  <si>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</si>
  <si>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</si>
  <si>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</si>
  <si>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</si>
  <si>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</si>
  <si>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</si>
  <si>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</si>
  <si>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</si>
  <si>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</si>
  <si>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</si>
  <si>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</si>
  <si>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</si>
  <si>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</si>
  <si>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</si>
  <si>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</si>
  <si>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</si>
  <si>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</si>
  <si>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</si>
  <si>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</si>
  <si>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</si>
  <si>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</si>
  <si>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</si>
  <si>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</si>
  <si>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</si>
  <si>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</si>
  <si>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</si>
  <si>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</si>
  <si>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</si>
  <si>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</si>
  <si>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</si>
  <si>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</si>
  <si>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</si>
  <si>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</si>
  <si>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</si>
  <si>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</si>
  <si>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</si>
  <si>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</si>
  <si>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</si>
  <si>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</si>
  <si>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</si>
  <si>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</si>
  <si>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</si>
  <si>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</si>
  <si>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</si>
  <si>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</si>
  <si>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</si>
  <si>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</si>
  <si>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</si>
  <si>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</si>
  <si>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</si>
  <si>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</si>
  <si>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</si>
  <si>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</si>
  <si>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</si>
  <si>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</si>
  <si>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</si>
  <si>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</si>
  <si>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</si>
  <si>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</si>
  <si>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</si>
  <si>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</si>
  <si>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</si>
  <si>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</si>
  <si>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</si>
  <si>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</si>
  <si>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</si>
  <si>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</si>
  <si>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</si>
  <si>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</si>
  <si>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</si>
  <si>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</si>
  <si>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</si>
  <si>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</si>
  <si>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</si>
  <si>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</si>
  <si>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</si>
  <si>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</si>
  <si>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</si>
  <si>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</si>
  <si>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</si>
  <si>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</si>
  <si>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</si>
  <si>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</si>
  <si>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</si>
  <si>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</si>
  <si>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</si>
  <si>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</si>
  <si>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</si>
  <si>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</si>
  <si>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</si>
  <si>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</si>
  <si>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</si>
  <si>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</si>
  <si>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</si>
  <si>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</si>
  <si>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</si>
  <si>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</si>
  <si>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</si>
  <si>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</si>
  <si>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</si>
  <si>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</si>
  <si>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</si>
  <si>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</si>
  <si>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</si>
  <si>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</si>
  <si>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</si>
  <si>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</si>
  <si>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</si>
  <si>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</si>
  <si>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</si>
  <si>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</si>
  <si>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</si>
  <si>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</si>
  <si>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</si>
  <si>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</si>
  <si>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</si>
  <si>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</si>
  <si>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</si>
  <si>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</si>
  <si>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</si>
  <si>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</si>
  <si>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</si>
  <si>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</si>
  <si>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</si>
  <si>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</si>
  <si>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</si>
  <si>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</si>
  <si>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</si>
  <si>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</si>
  <si>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</si>
  <si>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</si>
  <si>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</si>
  <si>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</si>
  <si>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</si>
  <si>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</si>
  <si>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</si>
  <si>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</si>
  <si>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</si>
  <si>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</si>
  <si>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</si>
  <si>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</si>
  <si>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</si>
  <si>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</si>
  <si>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</si>
  <si>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</si>
  <si>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</si>
  <si>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</si>
  <si>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</si>
  <si>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</si>
  <si>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</si>
  <si>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</si>
  <si>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</si>
  <si>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</si>
  <si>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</si>
  <si>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</si>
  <si>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</si>
  <si>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</si>
  <si>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</si>
  <si>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</si>
  <si>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</si>
  <si>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</si>
  <si>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</si>
  <si>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</si>
  <si>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</si>
  <si>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</si>
  <si>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</si>
  <si>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</si>
  <si>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</si>
  <si>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</si>
  <si>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</si>
  <si>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</si>
  <si>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</si>
  <si>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</si>
  <si>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</si>
  <si>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</si>
  <si>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</si>
  <si>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</si>
  <si>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</si>
  <si>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</si>
  <si>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</si>
  <si>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</si>
  <si>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</si>
  <si>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</si>
  <si>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</si>
  <si>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</si>
  <si>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</si>
  <si>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</si>
  <si>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</si>
  <si>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</si>
  <si>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</si>
  <si>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</si>
  <si>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</si>
  <si>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</si>
  <si>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</si>
  <si>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</si>
  <si>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</si>
  <si>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</si>
  <si>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</si>
  <si>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</si>
  <si>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</si>
  <si>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</si>
  <si>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</si>
  <si>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</si>
  <si>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</si>
  <si>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</si>
  <si>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</si>
  <si>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</si>
  <si>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</si>
  <si>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</si>
  <si>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</si>
  <si>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</si>
  <si>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</si>
  <si>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</si>
  <si>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</si>
  <si>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</si>
  <si>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</si>
  <si>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</si>
  <si>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</si>
  <si>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</si>
  <si>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</si>
  <si>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</si>
  <si>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</si>
  <si>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</si>
  <si>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</si>
  <si>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</si>
  <si>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</si>
  <si>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</si>
  <si>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</si>
  <si>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</si>
  <si>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</si>
  <si>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</si>
  <si>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</si>
  <si>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</si>
  <si>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</si>
  <si>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</si>
  <si>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</si>
  <si>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</si>
  <si>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</si>
  <si>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</si>
  <si>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</si>
  <si>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</si>
  <si>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</si>
  <si>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</si>
  <si>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</si>
  <si>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</si>
  <si>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</si>
  <si>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</si>
  <si>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</si>
  <si>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</si>
  <si>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</si>
  <si>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</si>
  <si>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</si>
  <si>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</si>
  <si>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</si>
  <si>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</si>
  <si>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</si>
  <si>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</si>
  <si>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</si>
  <si>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</si>
  <si>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</si>
  <si>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</si>
  <si>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</si>
  <si>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</si>
  <si>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</si>
  <si>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</si>
  <si>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</si>
  <si>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</si>
  <si>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</si>
  <si>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</si>
  <si>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</si>
  <si>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</si>
  <si>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</si>
  <si>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</si>
  <si>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</si>
  <si>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</si>
  <si>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</si>
  <si>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</si>
  <si>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</si>
  <si>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</si>
  <si>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</si>
  <si>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</si>
  <si>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</si>
  <si>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</si>
  <si>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</si>
  <si>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</si>
  <si>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</si>
  <si>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</si>
  <si>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</si>
  <si>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</si>
  <si>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</si>
  <si>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</si>
  <si>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</si>
  <si>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</si>
  <si>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</si>
  <si>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</si>
  <si>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</si>
  <si>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</si>
  <si>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</si>
  <si>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</si>
  <si>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</si>
  <si>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</si>
  <si>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</si>
  <si>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</si>
  <si>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</si>
  <si>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</si>
  <si>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</si>
  <si>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</si>
  <si>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</si>
  <si>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</si>
  <si>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</si>
  <si>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</si>
  <si>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</si>
  <si>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</si>
  <si>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</si>
  <si>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</si>
  <si>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</si>
  <si>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</si>
  <si>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</si>
  <si>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</si>
  <si>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</si>
  <si>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</si>
  <si>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</si>
  <si>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</si>
  <si>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</si>
  <si>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</si>
  <si>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</si>
  <si>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</si>
  <si>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</si>
  <si>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</si>
  <si>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</si>
  <si>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</si>
  <si>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</si>
  <si>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</si>
  <si>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</si>
  <si>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</si>
  <si>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</si>
  <si>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</si>
  <si>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</si>
  <si>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</si>
  <si>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</si>
  <si>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</si>
  <si>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</si>
  <si>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</si>
  <si>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</si>
  <si>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</si>
  <si>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</si>
  <si>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</si>
  <si>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</si>
  <si>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</si>
  <si>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</si>
  <si>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</si>
  <si>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</si>
  <si>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</si>
  <si>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</si>
  <si>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</si>
  <si>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</si>
  <si>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</si>
  <si>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</si>
  <si>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</si>
  <si>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</si>
  <si>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</si>
  <si>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</si>
  <si>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</si>
  <si>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</si>
  <si>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</si>
  <si>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</si>
  <si>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</si>
  <si>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</si>
  <si>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</si>
  <si>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</si>
  <si>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</si>
  <si>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</si>
  <si>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</si>
  <si>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</si>
  <si>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</si>
  <si>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</si>
  <si>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</si>
  <si>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</si>
  <si>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</si>
  <si>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</si>
  <si>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</si>
  <si>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</si>
  <si>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</si>
  <si>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</si>
  <si>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</si>
  <si>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</si>
  <si>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</si>
  <si>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</si>
  <si>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</si>
  <si>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</si>
  <si>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</si>
  <si>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</si>
  <si>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</si>
  <si>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</si>
  <si>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</si>
  <si>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</si>
  <si>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</si>
  <si>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</si>
  <si>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</si>
  <si>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</si>
  <si>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</si>
  <si>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</si>
  <si>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</si>
  <si>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</si>
  <si>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</si>
  <si>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</si>
  <si>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</si>
  <si>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</si>
  <si>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</si>
  <si>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</si>
  <si>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</si>
  <si>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</si>
  <si>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</si>
  <si>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</si>
  <si>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</si>
  <si>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</si>
  <si>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</si>
  <si>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</si>
  <si>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</si>
  <si>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</si>
  <si>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</si>
  <si>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</si>
  <si>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</si>
  <si>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</si>
  <si>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</si>
  <si>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</si>
  <si>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</si>
  <si>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</si>
  <si>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</si>
  <si>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</si>
  <si>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</si>
  <si>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</si>
  <si>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</si>
  <si>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</si>
  <si>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</si>
  <si>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</si>
  <si>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</si>
  <si>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</si>
  <si>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</si>
  <si>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</si>
  <si>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</si>
  <si>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</si>
  <si>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</si>
  <si>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</si>
  <si>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</si>
  <si>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</si>
  <si>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</si>
  <si>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</si>
  <si>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</si>
  <si>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</si>
  <si>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</si>
  <si>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</si>
  <si>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</si>
  <si>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</si>
  <si>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</si>
  <si>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</si>
  <si>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</si>
  <si>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</si>
  <si>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</si>
  <si>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</si>
  <si>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</si>
  <si>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</si>
  <si>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</si>
  <si>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</si>
  <si>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</si>
  <si>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</si>
  <si>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</si>
  <si>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</si>
  <si>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</si>
  <si>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</si>
  <si>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</si>
  <si>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</si>
  <si>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</si>
  <si>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</si>
  <si>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</si>
  <si>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</si>
  <si>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</si>
  <si>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</si>
  <si>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</si>
  <si>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</si>
  <si>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</si>
  <si>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</si>
  <si>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</si>
  <si>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</si>
  <si>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</si>
  <si>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</si>
  <si>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</si>
  <si>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</si>
  <si>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</si>
  <si>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</si>
  <si>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</si>
  <si>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</si>
  <si>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</si>
  <si>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</si>
  <si>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</si>
  <si>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</si>
  <si>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</si>
  <si>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</si>
  <si>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</si>
  <si>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</si>
  <si>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</si>
  <si>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</si>
  <si>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</si>
  <si>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</si>
  <si>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</si>
  <si>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</si>
  <si>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</si>
  <si>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</si>
  <si>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</si>
  <si>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</si>
  <si>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</si>
  <si>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</si>
  <si>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</si>
  <si>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</si>
  <si>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</si>
  <si>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</si>
  <si>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</si>
  <si>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</si>
  <si>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</si>
  <si>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</si>
  <si>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</si>
  <si>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</si>
  <si>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</si>
  <si>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</si>
  <si>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</si>
  <si>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</si>
  <si>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</si>
  <si>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</si>
  <si>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</si>
  <si>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</si>
  <si>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</si>
  <si>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</si>
  <si>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</si>
  <si>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</si>
  <si>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</si>
  <si>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</si>
  <si>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</si>
  <si>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</si>
  <si>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</si>
  <si>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</si>
  <si>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</si>
  <si>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</si>
  <si>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</si>
  <si>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</si>
  <si>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</si>
  <si>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</si>
  <si>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</si>
  <si>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</si>
  <si>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</si>
  <si>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</si>
  <si>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</si>
  <si>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</si>
  <si>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</si>
  <si>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</si>
  <si>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</si>
  <si>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</si>
  <si>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</si>
  <si>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</si>
  <si>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</si>
  <si>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</si>
  <si>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</si>
  <si>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</si>
  <si>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</si>
  <si>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</si>
  <si>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</si>
  <si>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</si>
  <si>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</si>
  <si>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</si>
  <si>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</si>
  <si>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</si>
  <si>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</si>
  <si>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</si>
  <si>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</si>
  <si>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</si>
  <si>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</si>
  <si>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</si>
  <si>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</si>
  <si>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</si>
  <si>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</si>
  <si>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</si>
  <si>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</si>
  <si>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</si>
  <si>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</si>
  <si>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</si>
  <si>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</si>
  <si>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</si>
  <si>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</si>
  <si>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</si>
  <si>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</si>
  <si>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</si>
  <si>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</si>
  <si>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</si>
  <si>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</si>
  <si>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</si>
  <si>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</si>
  <si>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</si>
  <si>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</si>
  <si>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</si>
  <si>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</si>
  <si>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</si>
  <si>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</si>
  <si>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</si>
  <si>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</si>
  <si>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</si>
  <si>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</si>
  <si>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</si>
  <si>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</si>
  <si>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</si>
  <si>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</si>
  <si>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</si>
  <si>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</si>
  <si>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</si>
  <si>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</si>
  <si>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</si>
  <si>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</si>
  <si>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</si>
  <si>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</si>
  <si>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</si>
  <si>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</si>
  <si>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</si>
  <si>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</si>
  <si>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</si>
  <si>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</si>
  <si>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</si>
  <si>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</si>
  <si>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</si>
  <si>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</si>
  <si>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</si>
  <si>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</si>
  <si>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</si>
  <si>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</si>
  <si>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</si>
  <si>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</si>
  <si>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</si>
  <si>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</si>
  <si>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</si>
  <si>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</si>
  <si>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</si>
  <si>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</si>
  <si>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</si>
  <si>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</si>
  <si>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</si>
  <si>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</si>
  <si>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</si>
  <si>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</si>
  <si>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</si>
  <si>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</si>
  <si>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</si>
  <si>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</si>
  <si>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</si>
  <si>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</si>
  <si>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</si>
  <si>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</si>
  <si>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</si>
  <si>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</si>
  <si>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</si>
  <si>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</si>
  <si>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</si>
  <si>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</si>
  <si>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</si>
  <si>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</si>
  <si>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</si>
  <si>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</si>
  <si>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</si>
  <si>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</si>
  <si>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</si>
  <si>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</si>
  <si>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</si>
  <si>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</si>
  <si>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</si>
  <si>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</si>
  <si>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</si>
  <si>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</si>
  <si>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</si>
  <si>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</si>
  <si>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</si>
  <si>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</si>
  <si>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</si>
  <si>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</si>
  <si>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</si>
  <si>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</si>
  <si>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</si>
  <si>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</si>
  <si>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</si>
  <si>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</si>
  <si>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</si>
  <si>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</si>
  <si>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</si>
  <si>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</si>
  <si>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</si>
  <si>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</si>
  <si>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</si>
  <si>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</si>
  <si>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</si>
  <si>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</si>
  <si>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</si>
  <si>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</si>
  <si>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</si>
  <si>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</si>
  <si>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</si>
  <si>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</si>
  <si>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</si>
  <si>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</si>
  <si>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</si>
  <si>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</si>
  <si>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</si>
  <si>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</si>
  <si>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</si>
  <si>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</si>
  <si>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</si>
  <si>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</si>
  <si>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</si>
  <si>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</si>
  <si>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</si>
  <si>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</si>
  <si>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</si>
  <si>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</si>
  <si>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</si>
  <si>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</si>
  <si>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</si>
  <si>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</si>
  <si>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</si>
  <si>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</si>
  <si>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</si>
  <si>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</si>
  <si>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</si>
  <si>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</si>
  <si>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</si>
  <si>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</si>
  <si>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</si>
  <si>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</si>
  <si>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</si>
  <si>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</si>
  <si>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</si>
  <si>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</si>
  <si>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</si>
  <si>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</si>
  <si>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</si>
  <si>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</si>
  <si>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</si>
  <si>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</si>
  <si>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</si>
  <si>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</si>
  <si>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</si>
  <si>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</si>
  <si>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</si>
  <si>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</si>
  <si>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</si>
  <si>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</si>
  <si>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</si>
  <si>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</si>
  <si>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</si>
  <si>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</si>
  <si>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</si>
  <si>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</si>
  <si>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</si>
  <si>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</si>
  <si>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</si>
  <si>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</si>
  <si>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</si>
  <si>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</si>
  <si>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</si>
  <si>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</si>
  <si>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</si>
  <si>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</si>
  <si>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</si>
  <si>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</si>
  <si>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</si>
  <si>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</si>
  <si>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</si>
  <si>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</si>
  <si>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</si>
  <si>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</si>
  <si>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</si>
  <si>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</si>
  <si>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</si>
  <si>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</si>
  <si>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</si>
  <si>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</si>
  <si>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</si>
  <si>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</si>
  <si>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</si>
  <si>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</si>
  <si>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</si>
  <si>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</si>
  <si>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</si>
  <si>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</si>
  <si>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</si>
  <si>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</si>
  <si>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</si>
  <si>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</si>
  <si>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</si>
  <si>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</si>
  <si>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</si>
  <si>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</si>
  <si>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</si>
  <si>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</si>
  <si>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</si>
  <si>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</si>
  <si>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</si>
  <si>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</si>
  <si>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</si>
  <si>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</si>
  <si>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</si>
  <si>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</si>
  <si>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</si>
  <si>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</si>
  <si>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</si>
  <si>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</si>
  <si>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</si>
  <si>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</si>
  <si>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</si>
  <si>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</si>
  <si>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</si>
  <si>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</si>
  <si>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</si>
  <si>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</si>
  <si>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</si>
  <si>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</si>
  <si>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</si>
  <si>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</si>
  <si>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</si>
  <si>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</si>
  <si>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</si>
  <si>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</si>
  <si>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</si>
  <si>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</si>
  <si>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</si>
  <si>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</si>
  <si>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</si>
  <si>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</si>
  <si>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</si>
  <si>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</si>
  <si>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</si>
  <si>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</si>
  <si>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</si>
  <si>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</si>
  <si>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</si>
  <si>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</si>
  <si>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</si>
  <si>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</si>
  <si>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</si>
  <si>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</si>
  <si>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</si>
  <si>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</si>
  <si>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</si>
  <si>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</si>
  <si>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</si>
  <si>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</si>
  <si>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</si>
  <si>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</si>
  <si>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</si>
  <si>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</si>
  <si>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</si>
  <si>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</si>
  <si>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</si>
  <si>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</si>
  <si>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</si>
  <si>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</si>
  <si>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</si>
  <si>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</si>
  <si>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</si>
  <si>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</si>
  <si>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</si>
  <si>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办公</t>
  </si>
  <si>
    <t>万元</t>
  </si>
  <si>
    <t>楼面单价</t>
  </si>
  <si>
    <t>无租约</t>
  </si>
  <si>
    <t>否</t>
  </si>
  <si>
    <t>利息：取LPR加浮动点数</t>
  </si>
  <si>
    <t>北京市</t>
  </si>
  <si>
    <t>自然人</t>
  </si>
  <si>
    <t>钢混</t>
  </si>
  <si>
    <t>非生产用房</t>
  </si>
  <si>
    <t>是</t>
  </si>
  <si>
    <t>中区</t>
    <phoneticPr fontId="26" type="noConversion"/>
  </si>
  <si>
    <t>正常</t>
    <phoneticPr fontId="26" type="noConversion"/>
  </si>
  <si>
    <t>低区</t>
    <phoneticPr fontId="26" type="noConversion"/>
  </si>
  <si>
    <t>高区</t>
    <phoneticPr fontId="26" type="noConversion"/>
  </si>
  <si>
    <t>比较法-办公</t>
  </si>
  <si>
    <t>收益法</t>
  </si>
  <si>
    <t>低区</t>
    <phoneticPr fontId="26" type="noConversion"/>
  </si>
  <si>
    <t>精装</t>
    <phoneticPr fontId="26" type="noConversion"/>
  </si>
  <si>
    <t>简装</t>
    <phoneticPr fontId="26" type="noConversion"/>
  </si>
  <si>
    <t>普装</t>
    <phoneticPr fontId="26" type="noConversion"/>
  </si>
  <si>
    <t>毛坯</t>
    <phoneticPr fontId="26" type="noConversion"/>
  </si>
  <si>
    <t>高区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</si>
</sst>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58" fontId="0" fillId="0" borderId="0" xfId="0" applyNumberFormat="1">
      <alignment vertical="center"/>
    </xf>
    <xf numFmtId="0" fontId="0" fillId="6" borderId="0" xfId="0" applyFill="1">
      <alignment vertical="center"/>
    </xf>
    <xf numFmtId="0" fontId="92" fillId="2" borderId="51"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29</xdr:row>
      <xdr:rowOff>132712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9524" cy="5104762"/>
        </a:xfrm>
        <a:prstGeom prst="rect">
          <a:avLst/>
        </a:prstGeom>
      </xdr:spPr>
    </xdr:pic>
    <xdr:clientData/>
  </xdr:twoCellAnchor>
  <xdr:twoCellAnchor editAs="oneCell">
    <xdr:from>
      <xdr:col>5</xdr:col>
      <xdr:colOff>542925</xdr:colOff>
      <xdr:row>0</xdr:row>
      <xdr:rowOff>47625</xdr:rowOff>
    </xdr:from>
    <xdr:to>
      <xdr:col>22</xdr:col>
      <xdr:colOff>389088</xdr:colOff>
      <xdr:row>50</xdr:row>
      <xdr:rowOff>84649</xdr:rowOff>
    </xdr:to>
    <xdr:pic>
      <xdr:nvPicPr>
        <xdr:cNvPr id="3" name="图片 2"/>
        <xdr:cNvPicPr>
          <a:picLocks noChangeAspect="1"/>
        </xdr:cNvPicPr>
      </xdr:nvPicPr>
      <xdr:blipFill>
        <a:blip xmlns:r="http://schemas.openxmlformats.org/officeDocument/2006/relationships" r:embed="rId2"/>
        <a:stretch>
          <a:fillRect/>
        </a:stretch>
      </xdr:blipFill>
      <xdr:spPr>
        <a:xfrm>
          <a:off x="3971925" y="47625"/>
          <a:ext cx="11504763" cy="8609524"/>
        </a:xfrm>
        <a:prstGeom prst="rect">
          <a:avLst/>
        </a:prstGeom>
      </xdr:spPr>
    </xdr:pic>
    <xdr:clientData/>
  </xdr:twoCellAnchor>
  <xdr:twoCellAnchor editAs="oneCell">
    <xdr:from>
      <xdr:col>0</xdr:col>
      <xdr:colOff>0</xdr:colOff>
      <xdr:row>32</xdr:row>
      <xdr:rowOff>85725</xdr:rowOff>
    </xdr:from>
    <xdr:to>
      <xdr:col>11</xdr:col>
      <xdr:colOff>513343</xdr:colOff>
      <xdr:row>79</xdr:row>
      <xdr:rowOff>113290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572125"/>
          <a:ext cx="8057143" cy="8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141486</xdr:colOff>
      <xdr:row>49</xdr:row>
      <xdr:rowOff>141808</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11114286" cy="8542858"/>
        </a:xfrm>
        <a:prstGeom prst="rect">
          <a:avLst/>
        </a:prstGeom>
      </xdr:spPr>
    </xdr:pic>
    <xdr:clientData/>
  </xdr:twoCellAnchor>
  <xdr:twoCellAnchor editAs="oneCell">
    <xdr:from>
      <xdr:col>0</xdr:col>
      <xdr:colOff>0</xdr:colOff>
      <xdr:row>50</xdr:row>
      <xdr:rowOff>0</xdr:rowOff>
    </xdr:from>
    <xdr:to>
      <xdr:col>16</xdr:col>
      <xdr:colOff>93867</xdr:colOff>
      <xdr:row>99</xdr:row>
      <xdr:rowOff>94189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8572500"/>
          <a:ext cx="11066667" cy="8495239"/>
        </a:xfrm>
        <a:prstGeom prst="rect">
          <a:avLst/>
        </a:prstGeom>
      </xdr:spPr>
    </xdr:pic>
    <xdr:clientData/>
  </xdr:twoCellAnchor>
  <xdr:twoCellAnchor editAs="oneCell">
    <xdr:from>
      <xdr:col>0</xdr:col>
      <xdr:colOff>0</xdr:colOff>
      <xdr:row>100</xdr:row>
      <xdr:rowOff>0</xdr:rowOff>
    </xdr:from>
    <xdr:to>
      <xdr:col>15</xdr:col>
      <xdr:colOff>46334</xdr:colOff>
      <xdr:row>149</xdr:row>
      <xdr:rowOff>113236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7145000"/>
          <a:ext cx="10333334" cy="8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估价对象为北京市房地产，为XX所有。根据《》[]，估价对象建筑面积为641.72平方米。根据《》[]，估价对象（分摊）出让国有建设用地使用权面积为平方米。估价对象用途为。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2022年11月21日</v>
      </c>
    </row>
    <row r="10" spans="1:2">
      <c r="A10" s="1139" t="s">
        <v>865</v>
      </c>
      <c r="B10" s="1126" t="str">
        <f>'预评函-1'!A13</f>
        <v>本次估价的“房地产价值”是指在正常市场情况下，在价值时点2022年11月21日，估价对象规划用途为，假定未设立法定优先受偿款下的房地产市场价值。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641.72</v>
      </c>
    </row>
    <row r="19" spans="1:2">
      <c r="A19" s="1139" t="s">
        <v>874</v>
      </c>
      <c r="B19" s="1126">
        <f ca="1">'预评函-2（1）'!D7</f>
        <v>3713</v>
      </c>
    </row>
    <row r="20" spans="1:2">
      <c r="A20" s="1139" t="s">
        <v>912</v>
      </c>
      <c r="B20" s="1126" t="str">
        <f>'预评函-2（1）'!C7</f>
        <v>总价（万元）</v>
      </c>
    </row>
    <row r="21" spans="1:2">
      <c r="A21" s="1139" t="s">
        <v>875</v>
      </c>
      <c r="B21" s="1126">
        <f ca="1">'预评函-2（1）'!D9</f>
        <v>57862</v>
      </c>
    </row>
    <row r="22" spans="1:2">
      <c r="A22" s="1139" t="s">
        <v>876</v>
      </c>
      <c r="B22" s="1126" t="str">
        <f ca="1">'预评函-2（1）'!D8</f>
        <v>叁仟柒佰壹拾叁万元整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3713</v>
      </c>
    </row>
    <row r="30" spans="1:2">
      <c r="A30" s="1139" t="s">
        <v>882</v>
      </c>
      <c r="B30" s="1126" t="str">
        <f ca="1">'预评函-2（1）'!D16</f>
        <v>叁仟柒佰壹拾叁万元整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3405</v>
      </c>
    </row>
    <row r="38" spans="1:2">
      <c r="A38" s="1139" t="s">
        <v>890</v>
      </c>
      <c r="B38" s="1126">
        <f ca="1">'预评函-2（2）'!E4</f>
        <v>53059</v>
      </c>
    </row>
    <row r="39" spans="1:2">
      <c r="A39" s="1139" t="s">
        <v>891</v>
      </c>
      <c r="B39" s="1126" t="str">
        <f ca="1">'预评函-2（2）'!D5</f>
        <v>叁仟肆佰零伍万元整</v>
      </c>
    </row>
    <row r="40" spans="1:2">
      <c r="A40" s="1139" t="s">
        <v>892</v>
      </c>
      <c r="B40" s="1126">
        <f ca="1">'预评函-2（2）'!F4</f>
        <v>308</v>
      </c>
    </row>
    <row r="41" spans="1:2">
      <c r="A41" s="1139" t="s">
        <v>893</v>
      </c>
      <c r="B41" s="1126">
        <f ca="1">'预评函-2（2）'!G4</f>
        <v>4803</v>
      </c>
    </row>
    <row r="42" spans="1:2" s="1136" customFormat="1" ht="15.75" thickBot="1">
      <c r="A42" s="1140" t="s">
        <v>894</v>
      </c>
      <c r="B42" s="1128" t="str">
        <f ca="1">'预评函-2（2）'!F5</f>
        <v>叁佰零捌万元整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57862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O37" sqref="O3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44886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3037</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3038</v>
      </c>
      <c r="C7" s="1453" t="str">
        <f>IF(B7="自然人","姓名","名称")</f>
        <v>姓名</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641.72</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44886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3032</v>
      </c>
      <c r="C3" s="1613"/>
      <c r="D3" s="3412"/>
      <c r="E3" s="2557" t="s">
        <v>3035</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3033</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641.72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55971</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30.36</v>
      </c>
      <c r="C13" s="2885"/>
      <c r="D13" s="2851" t="s">
        <v>1397</v>
      </c>
      <c r="E13" s="2571">
        <f>E12*B5</f>
        <v>128344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0.84599999999999997</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2566880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ROUND((H20+H21)/2,2)</f>
        <v>0.79</v>
      </c>
      <c r="F20" s="905"/>
      <c r="G20" s="1613"/>
      <c r="H20" s="1613">
        <f>ROUND(1-(2022-2005)/60,2)</f>
        <v>0.72</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2005</v>
      </c>
      <c r="C27" s="1613"/>
      <c r="D27" s="3074" t="s">
        <v>3036</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3034</v>
      </c>
      <c r="D29" s="2853" t="s">
        <v>1423</v>
      </c>
      <c r="E29" s="2872">
        <f>E30+E31</f>
        <v>5.6000000000000001E-2</v>
      </c>
      <c r="F29" s="1238"/>
      <c r="G29" s="2887"/>
      <c r="H29" s="2887"/>
      <c r="K29" s="1613"/>
      <c r="N29" s="1613"/>
    </row>
    <row r="30" spans="1:41" ht="14.25">
      <c r="A30" s="2848" t="str">
        <f>IF(B29="租赁期内按合同租金","合同租金","市场租金")</f>
        <v>市场租金</v>
      </c>
      <c r="B30" s="2588">
        <v>10</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30.36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18</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398</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v>18</v>
      </c>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641.72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44886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3713</v>
      </c>
      <c r="C5" s="2499">
        <f ca="1">ROUND(B5*10000/$B$1,0)</f>
        <v>57860</v>
      </c>
      <c r="D5" s="2499" t="e">
        <f ca="1">ROUND(B5*10000/$B$2,0)</f>
        <v>#DIV/0!</v>
      </c>
      <c r="E5" s="1562"/>
      <c r="F5" s="2500"/>
      <c r="G5" s="2500"/>
    </row>
    <row r="6" spans="1:9" ht="16.5">
      <c r="A6" s="2499" t="s">
        <v>981</v>
      </c>
      <c r="B6" s="2499">
        <f ca="1">SUM(G14:G23)</f>
        <v>3713</v>
      </c>
      <c r="C6" s="2499">
        <f t="shared" ref="C6:C8" ca="1" si="0">ROUND(B6*10000/$B$1,0)</f>
        <v>57860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641.72</v>
      </c>
      <c r="C14" s="2835">
        <f>项目基本情况!C13</f>
        <v>0</v>
      </c>
      <c r="D14" s="2835">
        <f ca="1">IF('数据-取费表'!B3="万元",IF(A14="估价对象1（结果表）",结果表!H121,'结果表 (1修多)'!H125),IF(A14="估价对象1（结果表）",结果表!H121,'结果表 (1修多)'!H125)/10000)</f>
        <v>3713</v>
      </c>
      <c r="E14" s="2835">
        <f ca="1">ROUND(D14*10000/B14,0)</f>
        <v>57860</v>
      </c>
      <c r="F14" s="2835" t="e">
        <f ca="1">ROUND(D14*10000/C14,0)</f>
        <v>#DIV/0!</v>
      </c>
      <c r="G14" s="2835">
        <f ca="1">IF('数据-取费表'!B3="万元",IF(A14="估价对象1（结果表）",结果表!D125,'结果表 (1修多)'!D129),IF(A14="估价对象1（结果表）",结果表!D125,'结果表 (1修多)'!D129)/10000)</f>
        <v>3713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37" sqref="G3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3046</v>
      </c>
      <c r="D4" s="2632" t="s">
        <v>3047</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5</v>
      </c>
      <c r="D14" s="3490">
        <v>5</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7" t="s">
        <v>2576</v>
      </c>
      <c r="F18" s="3508"/>
      <c r="G18" s="3508"/>
      <c r="H18" s="3508"/>
      <c r="I18" s="3508"/>
      <c r="J18" s="2765"/>
    </row>
    <row r="19" spans="1:36" ht="15">
      <c r="A19" s="2638" t="s">
        <v>1494</v>
      </c>
      <c r="B19" s="2639" t="s">
        <v>1495</v>
      </c>
      <c r="C19" s="2640">
        <f ca="1">SUMIF(INDIRECT("'"&amp;C4&amp;"'"&amp;"!A:A"),结果表!B19,INDIRECT("'"&amp;C4&amp;"'"&amp;"!B:B"))</f>
        <v>3908</v>
      </c>
      <c r="D19" s="2641">
        <f ca="1">SUMIF(INDIRECT("'"&amp;D4&amp;"'"&amp;"!A:A"),结果表!B19,INDIRECT("'"&amp;D4&amp;"'"&amp;"!B:B"))</f>
        <v>3518</v>
      </c>
      <c r="E19" s="2638" t="s">
        <v>1496</v>
      </c>
      <c r="F19" s="2639" t="s">
        <v>1495</v>
      </c>
      <c r="G19" s="2642">
        <f ca="1">ROUND(C19*$C$18+D19*$D$18,0)</f>
        <v>3713</v>
      </c>
      <c r="H19" s="2643" t="str">
        <f>'数据-取费表'!B3</f>
        <v>万元</v>
      </c>
      <c r="I19" s="2691"/>
      <c r="J19" s="2766"/>
    </row>
    <row r="20" spans="1:36" ht="15">
      <c r="A20" s="2644"/>
      <c r="B20" s="1622" t="s">
        <v>1497</v>
      </c>
      <c r="C20" s="1847">
        <f ca="1">SUMIF(INDIRECT("'"&amp;C4&amp;"'"&amp;"!A:A"),结果表!B20,INDIRECT("'"&amp;C4&amp;"'"&amp;"!B:B"))</f>
        <v>60904</v>
      </c>
      <c r="D20" s="1850">
        <f ca="1">SUMIF(INDIRECT("'"&amp;D4&amp;"'"&amp;"!A:A"),结果表!B20,INDIRECT("'"&amp;D4&amp;"'"&amp;"!B:B"))</f>
        <v>54819</v>
      </c>
      <c r="E20" s="2644"/>
      <c r="F20" s="1622" t="s">
        <v>1497</v>
      </c>
      <c r="G20" s="2021">
        <f ca="1">ROUND(C20*$C$18+D20*$D$18,0)</f>
        <v>57862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0.11085844229675956</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57862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53059</v>
      </c>
      <c r="D34" s="2668">
        <f ca="1">IF(D33="自定义",ROUND(C34/C32,3),1-D35)</f>
        <v>0.91700000000000004</v>
      </c>
      <c r="E34" s="1363" t="s">
        <v>1510</v>
      </c>
      <c r="F34" s="2669">
        <v>2000</v>
      </c>
      <c r="G34" s="905"/>
      <c r="H34" s="905"/>
      <c r="I34" s="905"/>
      <c r="J34" s="2765"/>
    </row>
    <row r="35" spans="1:17" ht="15.75" thickBot="1">
      <c r="A35" s="1395"/>
      <c r="B35" s="2670" t="s">
        <v>1511</v>
      </c>
      <c r="C35" s="2671">
        <f ca="1">IF(D33="自定义",F35,ROUND(C32*D35,0))</f>
        <v>4803</v>
      </c>
      <c r="D35" s="2672">
        <f ca="1">IF(D33="自定义",ROUND(C35/C32,3),IF(D33="成本法成本比率",成本法!C56,IF(D33="收益法收益比率",收益法!J38,收益法!J41)))</f>
        <v>8.3000000000000004E-2</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3713</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44886</v>
      </c>
      <c r="O47" s="3430"/>
      <c r="P47" s="3430"/>
      <c r="Q47" s="1236"/>
    </row>
    <row r="48" spans="1:17" ht="25.5">
      <c r="A48" s="3503" t="s">
        <v>1536</v>
      </c>
      <c r="B48" s="3437"/>
      <c r="C48" s="3437"/>
      <c r="D48" s="12">
        <f ca="1">IF(H48="情况1",0,IF(H48="情况2",D52,IF(H48="情况3",D53,IF(H48="情况4",D54))))</f>
        <v>198</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2508</v>
      </c>
      <c r="M48" s="3428"/>
      <c r="N48" s="3429">
        <f ca="1">I102</f>
        <v>3713</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198</v>
      </c>
      <c r="E52" s="2020" t="s">
        <v>1553</v>
      </c>
      <c r="F52" s="2493">
        <f>'数据-取费表'!E29</f>
        <v>5.6000000000000001E-2</v>
      </c>
      <c r="G52" s="2494"/>
      <c r="H52" s="905"/>
      <c r="I52" s="2898"/>
      <c r="J52" s="2773"/>
      <c r="K52" s="2454">
        <v>1</v>
      </c>
      <c r="L52" s="3417" t="s">
        <v>2515</v>
      </c>
      <c r="M52" s="3417"/>
      <c r="N52" s="2456">
        <f ca="1">D48</f>
        <v>198</v>
      </c>
      <c r="O52" s="2454" t="str">
        <f>E48</f>
        <v>销售额×税（费）率</v>
      </c>
      <c r="P52" s="2457">
        <f>F48</f>
        <v>5.6000000000000001E-2</v>
      </c>
      <c r="Q52" s="1236"/>
    </row>
    <row r="53" spans="1:17" ht="12" customHeight="1">
      <c r="A53" s="2010" t="s">
        <v>1555</v>
      </c>
      <c r="B53" s="3488" t="s">
        <v>2593</v>
      </c>
      <c r="C53" s="3477"/>
      <c r="D53" s="1028">
        <f ca="1">ROUND(D45*'数据-取费表'!E29/(1+'数据-取费表'!F30),0)</f>
        <v>198</v>
      </c>
      <c r="E53" s="2020" t="s">
        <v>1553</v>
      </c>
      <c r="F53" s="2493">
        <f>'数据-取费表'!E29</f>
        <v>5.6000000000000001E-2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198</v>
      </c>
      <c r="E54" s="264" t="s">
        <v>1558</v>
      </c>
      <c r="F54" s="2493">
        <f>'数据-取费表'!E29</f>
        <v>5.6000000000000001E-2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198</v>
      </c>
      <c r="P57" s="2465"/>
      <c r="Q57" s="1234" t="e">
        <f ca="1">O57/N49</f>
        <v>#VALUE!</v>
      </c>
    </row>
    <row r="58" spans="1:17" ht="24.75">
      <c r="A58" s="2010" t="s">
        <v>1551</v>
      </c>
      <c r="B58" s="3488" t="s">
        <v>1569</v>
      </c>
      <c r="C58" s="3476"/>
      <c r="D58" s="12">
        <f ca="1">IF(H58="转让取得",C81,C97)</f>
        <v>2102</v>
      </c>
      <c r="E58" s="2020" t="s">
        <v>1564</v>
      </c>
      <c r="F58" s="235" t="s">
        <v>48</v>
      </c>
      <c r="G58" s="2494"/>
      <c r="H58" s="2496" t="s">
        <v>1570</v>
      </c>
      <c r="I58" s="2900"/>
      <c r="J58" s="2773"/>
      <c r="K58" s="3417"/>
      <c r="L58" s="3417"/>
      <c r="M58" s="2462" t="s">
        <v>2520</v>
      </c>
      <c r="N58" s="2466"/>
      <c r="O58" s="2467" t="str">
        <f ca="1">IF(H19="元",NUMBERSTRING(INT(O57),2)&amp;"元整",NUMBERSTRING(INT(O57*10000),2)&amp;"元整")</f>
        <v>壹佰玖拾捌万元整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3536</v>
      </c>
      <c r="D63" s="47"/>
      <c r="E63" s="48"/>
      <c r="F63" s="2901"/>
      <c r="G63" s="2901"/>
      <c r="H63" s="2903"/>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3713</v>
      </c>
      <c r="D64" s="50" t="s">
        <v>41</v>
      </c>
      <c r="E64" s="52"/>
      <c r="F64" s="2901"/>
      <c r="G64" s="2901"/>
      <c r="H64" s="2903"/>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t="e">
        <f>N49*0.5%</f>
        <v>#VALUE!</v>
      </c>
      <c r="N66" s="2477" t="e">
        <f>IF(M66&gt;0.5,0.5,ROUND(M66,0))</f>
        <v>#VALUE!</v>
      </c>
      <c r="O66" s="2475" t="s">
        <v>2529</v>
      </c>
      <c r="P66" s="2475"/>
      <c r="Q66" s="1236"/>
    </row>
    <row r="67" spans="1:36" ht="12.75">
      <c r="A67" s="53" t="s">
        <v>42</v>
      </c>
      <c r="B67" s="54" t="s">
        <v>1591</v>
      </c>
      <c r="C67" s="2708">
        <f ca="1">C63-C66</f>
        <v>3536</v>
      </c>
      <c r="D67" s="50" t="s">
        <v>41</v>
      </c>
      <c r="E67" s="52"/>
      <c r="F67" s="2901"/>
      <c r="G67" s="2901"/>
      <c r="H67" s="2903"/>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198</v>
      </c>
      <c r="D68" s="2170">
        <f>'数据-取费表'!E29</f>
        <v>5.6000000000000001E-2</v>
      </c>
      <c r="E68" s="57"/>
      <c r="F68" s="2901"/>
      <c r="G68" s="2901"/>
      <c r="H68" s="2903"/>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3536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21</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3515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167.38095238095238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2102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3536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21</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3515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167.38095238095238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2102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比较法-办公</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3908</v>
      </c>
      <c r="D101" s="2727">
        <f ca="1">D19</f>
        <v>3518</v>
      </c>
      <c r="E101" s="1389"/>
      <c r="F101" s="3461" t="str">
        <f>项目基本情况!I1</f>
        <v>北京市房地产</v>
      </c>
      <c r="G101" s="3463"/>
      <c r="H101" s="3465">
        <f>项目基本情况!C12</f>
        <v>641.72</v>
      </c>
      <c r="I101" s="3462"/>
      <c r="J101" s="2780"/>
    </row>
    <row r="102" spans="1:36" ht="12.75">
      <c r="A102" s="3478"/>
      <c r="B102" s="2235" t="s">
        <v>2571</v>
      </c>
      <c r="C102" s="2728">
        <f ca="1">C20</f>
        <v>60904</v>
      </c>
      <c r="D102" s="2729">
        <f ca="1">D20</f>
        <v>54819</v>
      </c>
      <c r="E102" s="1389"/>
      <c r="F102" s="3448" t="s">
        <v>2567</v>
      </c>
      <c r="G102" s="3449"/>
      <c r="H102" s="2737" t="str">
        <f>C106</f>
        <v>总价（万元）</v>
      </c>
      <c r="I102" s="2738">
        <f ca="1">H121</f>
        <v>3713</v>
      </c>
      <c r="J102" s="2780"/>
    </row>
    <row r="103" spans="1:36" ht="12.75">
      <c r="A103" s="3478" t="s">
        <v>2572</v>
      </c>
      <c r="B103" s="2173" t="str">
        <f>B101</f>
        <v>总价（万元）</v>
      </c>
      <c r="C103" s="2732">
        <f ca="1">H121</f>
        <v>3713</v>
      </c>
      <c r="D103" s="2730"/>
      <c r="E103" s="1389"/>
      <c r="F103" s="3448"/>
      <c r="G103" s="3449"/>
      <c r="H103" s="2737" t="s">
        <v>2540</v>
      </c>
      <c r="I103" s="52">
        <f ca="1">I121</f>
        <v>57862</v>
      </c>
      <c r="J103" s="2764"/>
    </row>
    <row r="104" spans="1:36" ht="13.5" thickBot="1">
      <c r="A104" s="3479"/>
      <c r="B104" s="2734" t="s">
        <v>2571</v>
      </c>
      <c r="C104" s="2735">
        <f ca="1">I121</f>
        <v>57862</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3713</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57862</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3713</v>
      </c>
      <c r="J110" s="2780"/>
    </row>
    <row r="111" spans="1:36" ht="12.75">
      <c r="A111" s="3450" t="s">
        <v>2545</v>
      </c>
      <c r="B111" s="3451"/>
      <c r="C111" s="2739" t="str">
        <f>C108</f>
        <v>总额（万元）</v>
      </c>
      <c r="D111" s="52">
        <f>C38</f>
        <v>0</v>
      </c>
      <c r="E111" s="1389"/>
      <c r="F111" s="3433"/>
      <c r="G111" s="3434"/>
      <c r="H111" s="2737" t="s">
        <v>2540</v>
      </c>
      <c r="I111" s="2741">
        <f ca="1">D113</f>
        <v>57862</v>
      </c>
      <c r="J111" s="2783"/>
    </row>
    <row r="112" spans="1:36" ht="26.25" customHeight="1">
      <c r="A112" s="3448" t="str">
        <f>IF(项目基本情况!F5="已注销","——","3.房地产抵押价值")</f>
        <v>3.房地产抵押价值</v>
      </c>
      <c r="B112" s="3449"/>
      <c r="C112" s="2737" t="str">
        <f>B101</f>
        <v>总价（万元）</v>
      </c>
      <c r="D112" s="2738">
        <f ca="1">IF(A112="——","——",D106-D108)</f>
        <v>3713</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57862</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641.72</v>
      </c>
      <c r="C121" s="2020">
        <f>项目基本情况!C13</f>
        <v>0</v>
      </c>
      <c r="D121" s="2020">
        <f ca="1">ROUND(IF(B32="总价",C34,IF('数据-取费表'!B3="万元",E121*B121/10000,E121*B121)),0)</f>
        <v>3405</v>
      </c>
      <c r="E121" s="2020">
        <f ca="1">ROUND(IF(B32="楼面单价",C34,IF(H19="元",D121/B121,D121*10000/B121)),0)</f>
        <v>53059</v>
      </c>
      <c r="F121" s="2020">
        <f ca="1">ROUND(IF(B32="总价",C35,IF('数据-取费表'!B3="万元",G121*B121/10000,G121*B121)),0)</f>
        <v>308</v>
      </c>
      <c r="G121" s="2020">
        <f ca="1">ROUND(IF(B32="楼面单价",C35,IF(H19="元",F121/B121,F121*10000/B121)),0)</f>
        <v>4803</v>
      </c>
      <c r="H121" s="2020">
        <f ca="1">ROUND(IF(B32="总价",C32,IF('数据-取费表'!B3="万元",I121*B121/10000,I121*B121)),0)</f>
        <v>3713</v>
      </c>
      <c r="I121" s="52">
        <f ca="1">ROUND(IF(B32="楼面单价",C32,IF(H19="元",H121/B121,H121*10000/B121)),0)</f>
        <v>57862</v>
      </c>
      <c r="J121" s="2764"/>
    </row>
    <row r="122" spans="1:16" ht="12.75">
      <c r="A122" s="3441" t="s">
        <v>2557</v>
      </c>
      <c r="B122" s="3437"/>
      <c r="C122" s="3437"/>
      <c r="D122" s="3472" t="str">
        <f ca="1">IF(H19="元",NUMBERSTRING(INT(D121),2)&amp;"元整",NUMBERSTRING(INT(D121*10000),2)&amp;"元整")</f>
        <v>叁仟肆佰零伍万元整</v>
      </c>
      <c r="E122" s="3473"/>
      <c r="F122" s="3472" t="str">
        <f ca="1">IF(H19="元",NUMBERSTRING(INT(F121),2)&amp;"元整",NUMBERSTRING(INT(F121*10000),2)&amp;"元整")</f>
        <v>叁佰零捌万元整</v>
      </c>
      <c r="G122" s="3473"/>
      <c r="H122" s="3472" t="str">
        <f ca="1">IF(H19="元",NUMBERSTRING(INT(H121),2)&amp;"元整",NUMBERSTRING(INT(H121*10000),2)&amp;"元整")</f>
        <v>叁仟柒佰壹拾叁万元整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3713</v>
      </c>
      <c r="E125" s="3474"/>
      <c r="F125" s="3474"/>
      <c r="G125" s="3474"/>
      <c r="H125" s="3474"/>
      <c r="I125" s="3462"/>
      <c r="J125" s="2780"/>
    </row>
    <row r="126" spans="1:16" ht="12.75">
      <c r="A126" s="3441" t="s">
        <v>2557</v>
      </c>
      <c r="B126" s="3437"/>
      <c r="C126" s="3437"/>
      <c r="D126" s="3513">
        <f ca="1">I111</f>
        <v>57862</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K38" sqref="K38"/>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44886</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2593</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468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7292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1158844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128344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128344</v>
      </c>
      <c r="D10" s="1101">
        <f>IF('数据-取费表'!B10&lt;&gt;"住宅",IF(B1="仅计算典型户型",'数据-取费表'!E5,'数据-取费表'!B5),0)</f>
        <v>641.72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128344</v>
      </c>
      <c r="D19" s="1104">
        <f>IF(B1="仅计算典型户型",'数据-取费表'!E5,'数据-取费表'!B5)</f>
        <v>641.72</v>
      </c>
      <c r="E19" s="111">
        <f>'数据-取费表'!E15</f>
        <v>200</v>
      </c>
      <c r="F19" s="112"/>
      <c r="G19" s="1446"/>
    </row>
    <row r="20" spans="1:123" s="91" customFormat="1" ht="13.5" customHeight="1">
      <c r="A20" s="120" t="s">
        <v>1702</v>
      </c>
      <c r="B20" s="89" t="s">
        <v>1703</v>
      </c>
      <c r="C20" s="99">
        <f>ROUND((C5+C19)*F20,0)</f>
        <v>25744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110122</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98180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10874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1068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196940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196940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1755330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2810733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2566880</v>
      </c>
      <c r="D34" s="1096"/>
      <c r="E34" s="115"/>
      <c r="F34" s="1107" t="str">
        <f>IF('数据-取费表'!B26=0,"",'数据-取费表'!E20)</f>
        <v/>
      </c>
      <c r="G34" s="95"/>
    </row>
    <row r="35" spans="1:123" ht="13.5" customHeight="1">
      <c r="A35" s="92" t="s">
        <v>1685</v>
      </c>
      <c r="B35" s="93" t="s">
        <v>1734</v>
      </c>
      <c r="C35" s="115">
        <f>ROUND(C34*F35,0)</f>
        <v>77006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128344</v>
      </c>
      <c r="D37" s="1096">
        <f>IF(B1="仅计算典型户型",'数据-取费表'!E5,'数据-取费表'!B5)</f>
        <v>641.72</v>
      </c>
      <c r="E37" s="115">
        <f>'数据-取费表'!E23</f>
        <v>200</v>
      </c>
      <c r="F37" s="1108"/>
      <c r="G37" s="124" t="s">
        <v>1739</v>
      </c>
    </row>
    <row r="38" spans="1:123" ht="13.5" customHeight="1">
      <c r="A38" s="92" t="s">
        <v>1740</v>
      </c>
      <c r="B38" s="93" t="s">
        <v>1741</v>
      </c>
      <c r="C38" s="115">
        <f>ROUND(C34*F38,0)</f>
        <v>38503</v>
      </c>
      <c r="D38" s="115"/>
      <c r="E38" s="115"/>
      <c r="F38" s="1108">
        <f>'数据-取费表'!E24</f>
        <v>1.4999999999999999E-2</v>
      </c>
      <c r="G38" s="95" t="s">
        <v>1735</v>
      </c>
    </row>
    <row r="39" spans="1:123" s="91" customFormat="1" ht="13.5" customHeight="1">
      <c r="A39" s="120" t="s">
        <v>1700</v>
      </c>
      <c r="B39" s="89" t="s">
        <v>1703</v>
      </c>
      <c r="C39" s="99">
        <f>ROUND(C33*F20,0)</f>
        <v>56215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118978</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116645</v>
      </c>
      <c r="D42" s="104"/>
      <c r="E42" s="104"/>
      <c r="F42" s="105"/>
      <c r="G42" s="3554" t="s">
        <v>1745</v>
      </c>
    </row>
    <row r="43" spans="1:123" ht="13.5" customHeight="1">
      <c r="A43" s="92" t="s">
        <v>1685</v>
      </c>
      <c r="B43" s="93" t="s">
        <v>1714</v>
      </c>
      <c r="C43" s="104">
        <f ca="1">ROUND(IF('数据-取费表'!B24&lt;=1,C39*F22*'数据-取费表'!B23/2,C39*(POWER((1+F22),'数据-取费表'!B23/2)-1)),0)</f>
        <v>2333</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430042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430042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3701341</v>
      </c>
      <c r="D49" s="99"/>
      <c r="E49" s="99"/>
      <c r="F49" s="126"/>
      <c r="G49" s="100" t="s">
        <v>1753</v>
      </c>
    </row>
    <row r="50" spans="1:123" s="122" customFormat="1" ht="24">
      <c r="A50" s="952" t="s">
        <v>1754</v>
      </c>
      <c r="B50" s="89" t="s">
        <v>1755</v>
      </c>
      <c r="C50" s="99"/>
      <c r="D50" s="99"/>
      <c r="E50" s="99"/>
      <c r="F50" s="126">
        <f>IF('数据-取费表'!B26=0,'数据-取费表'!E20,1)</f>
        <v>0.79</v>
      </c>
      <c r="G50" s="113" t="s">
        <v>1756</v>
      </c>
    </row>
    <row r="51" spans="1:123" ht="16.5" customHeight="1">
      <c r="A51" s="952" t="s">
        <v>1757</v>
      </c>
      <c r="B51" s="89" t="s">
        <v>1758</v>
      </c>
      <c r="C51" s="99">
        <f ca="1">ROUND(C49*F50,0)</f>
        <v>2924059</v>
      </c>
      <c r="D51" s="99"/>
      <c r="E51" s="99"/>
      <c r="F51" s="126"/>
      <c r="G51" s="100" t="s">
        <v>1759</v>
      </c>
    </row>
    <row r="52" spans="1:123" s="88" customFormat="1" ht="16.5" thickBot="1">
      <c r="A52" s="127" t="s">
        <v>1760</v>
      </c>
      <c r="B52" s="128"/>
      <c r="C52" s="129">
        <f ca="1">C31+C51</f>
        <v>4679389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0.625</v>
      </c>
    </row>
    <row r="57" spans="1:123">
      <c r="B57" s="135" t="s">
        <v>1763</v>
      </c>
      <c r="C57" s="137">
        <f ca="1">1-C56</f>
        <v>0.375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-128344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-128344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-2567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-19637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-19637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127216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70" zoomScaleNormal="60" zoomScaleSheetLayoutView="70" workbookViewId="0">
      <selection activeCell="K27" sqref="K27"/>
    </sheetView>
  </sheetViews>
  <sheetFormatPr defaultColWidth="9" defaultRowHeight="14.25"/>
  <cols>
    <col min="1" max="1" width="10.5" style="1595" customWidth="1"/>
    <col min="2" max="2" width="15.75" style="1595" customWidth="1"/>
    <col min="3" max="3" width="15.5" style="1595" customWidth="1"/>
    <col min="4" max="4" width="12.25" style="1595" customWidth="1"/>
    <col min="5" max="5" width="15.625" style="1595" customWidth="1"/>
    <col min="6" max="6" width="12.25" style="1595" customWidth="1"/>
    <col min="7" max="7" width="16.5" style="1595" customWidth="1"/>
    <col min="8" max="8" width="12.25" style="1595" customWidth="1"/>
    <col min="9" max="9" width="16.12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3908</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60904</v>
      </c>
      <c r="C3" s="1588" t="s">
        <v>2005</v>
      </c>
      <c r="D3" s="1588">
        <f>IF(C1="仅计算典型户型",'数据-取费表'!E5,'数据-取费表'!B5)</f>
        <v>641.72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44886</v>
      </c>
      <c r="D7" s="1604">
        <v>100</v>
      </c>
      <c r="E7" s="1605">
        <f>C7</f>
        <v>44886</v>
      </c>
      <c r="F7" s="1606">
        <f>SUMIF(59:59,YEAR(E7)&amp;"-"&amp;MONTH(E7),60:60)</f>
        <v>100</v>
      </c>
      <c r="G7" s="1895">
        <f>C7</f>
        <v>44886</v>
      </c>
      <c r="H7" s="1604">
        <f>SUMIF(59:59,YEAR(G7)&amp;"-"&amp;MONTH(G7),60:60)</f>
        <v>100</v>
      </c>
      <c r="I7" s="1895">
        <f>C7</f>
        <v>44886</v>
      </c>
      <c r="J7" s="1604">
        <f>SUMIF(59:59,YEAR(I7)&amp;"-"&amp;MONTH(I7),60:60)</f>
        <v>100</v>
      </c>
      <c r="K7" s="1896"/>
      <c r="L7" s="2915"/>
      <c r="M7" s="2888"/>
      <c r="N7" s="2888"/>
      <c r="O7" s="2888"/>
      <c r="P7" s="3619" t="s">
        <v>2020</v>
      </c>
      <c r="Q7" s="3621"/>
      <c r="R7" s="1609" t="s">
        <v>25</v>
      </c>
      <c r="S7" s="1610">
        <f t="shared" ref="S7:S15" si="0">F7</f>
        <v>100</v>
      </c>
      <c r="T7" s="1609" t="s">
        <v>25</v>
      </c>
      <c r="U7" s="1610">
        <f t="shared" ref="U7:U15" si="1">H7</f>
        <v>100</v>
      </c>
      <c r="V7" s="1609" t="s">
        <v>25</v>
      </c>
      <c r="W7" s="1610">
        <f t="shared" ref="W7:W15" si="2">J7</f>
        <v>100</v>
      </c>
      <c r="X7" s="1611"/>
      <c r="Y7" s="3619" t="s">
        <v>2020</v>
      </c>
      <c r="Z7" s="3620"/>
      <c r="AA7" s="1612">
        <f>D7/F7</f>
        <v>1</v>
      </c>
      <c r="AB7" s="1612">
        <f>D7/H7</f>
        <v>1</v>
      </c>
      <c r="AC7" s="1612">
        <f>D7/J7</f>
        <v>1</v>
      </c>
    </row>
    <row r="8" spans="1:29" s="1613" customFormat="1" ht="15.75" thickBot="1">
      <c r="A8" s="1601" t="s">
        <v>2021</v>
      </c>
      <c r="B8" s="1602"/>
      <c r="C8" s="1614" t="s">
        <v>2022</v>
      </c>
      <c r="D8" s="1604">
        <v>100</v>
      </c>
      <c r="E8" s="3734" t="s">
        <v>3043</v>
      </c>
      <c r="F8" s="1606">
        <f>SUMIF(62:62,E8,63:63)-SUMIF(62:62,C8,63:63)+100</f>
        <v>100</v>
      </c>
      <c r="G8" s="3734" t="s">
        <v>3043</v>
      </c>
      <c r="H8" s="1604">
        <f>SUMIF(62:62,G8,63:63)-SUMIF(62:62,C8,63:63)+100</f>
        <v>100</v>
      </c>
      <c r="I8" s="3734" t="s">
        <v>3043</v>
      </c>
      <c r="J8" s="1604">
        <f>SUMIF(62:62,I8,63:63)-SUMIF(62:62,C8,63:63)+100</f>
        <v>100</v>
      </c>
      <c r="K8" s="1896"/>
      <c r="L8" s="2915"/>
      <c r="M8" s="2888"/>
      <c r="N8" s="2888"/>
      <c r="O8" s="2888"/>
      <c r="P8" s="3619" t="s">
        <v>2023</v>
      </c>
      <c r="Q8" s="3620"/>
      <c r="R8" s="1609" t="s">
        <v>25</v>
      </c>
      <c r="S8" s="1610">
        <f t="shared" si="0"/>
        <v>100</v>
      </c>
      <c r="T8" s="1609" t="s">
        <v>25</v>
      </c>
      <c r="U8" s="1610">
        <f t="shared" si="1"/>
        <v>100</v>
      </c>
      <c r="V8" s="1609" t="s">
        <v>25</v>
      </c>
      <c r="W8" s="1610">
        <f t="shared" si="2"/>
        <v>100</v>
      </c>
      <c r="X8" s="1611"/>
      <c r="Y8" s="3619" t="s">
        <v>2023</v>
      </c>
      <c r="Z8" s="3620"/>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3733" t="s">
        <v>3042</v>
      </c>
      <c r="D27" s="1640">
        <v>100</v>
      </c>
      <c r="E27" s="3735" t="s">
        <v>3042</v>
      </c>
      <c r="F27" s="1640">
        <f>SUMIF(89:89,E27,90:90)-SUMIF(89:89,C27,90:90)+100</f>
        <v>100</v>
      </c>
      <c r="G27" s="3733" t="s">
        <v>3048</v>
      </c>
      <c r="H27" s="1640">
        <f>SUMIF(89:89,G27,90:90)-SUMIF(89:89,C27,90:90)+100</f>
        <v>97</v>
      </c>
      <c r="I27" s="3735" t="s">
        <v>3053</v>
      </c>
      <c r="J27" s="1640">
        <f>SUMIF(89:89,I27,90:90)-SUMIF(89:89,C27,90:90)+100</f>
        <v>103</v>
      </c>
      <c r="K27" s="1921">
        <v>3</v>
      </c>
      <c r="L27" s="2920"/>
      <c r="M27" s="2916"/>
      <c r="N27" s="2916"/>
      <c r="O27" s="2916"/>
      <c r="P27" s="3613"/>
      <c r="Q27" s="2834" t="str">
        <f t="shared" ref="Q27:Q47" si="11">B27</f>
        <v>楼层</v>
      </c>
      <c r="R27" s="1654" t="s">
        <v>25</v>
      </c>
      <c r="S27" s="1655">
        <f>F27</f>
        <v>100</v>
      </c>
      <c r="T27" s="1654" t="s">
        <v>25</v>
      </c>
      <c r="U27" s="1655">
        <f>H27</f>
        <v>97</v>
      </c>
      <c r="V27" s="1654" t="s">
        <v>25</v>
      </c>
      <c r="W27" s="1655">
        <f>J27</f>
        <v>103</v>
      </c>
      <c r="X27" s="2003"/>
      <c r="Y27" s="3613"/>
      <c r="Z27" s="2007" t="str">
        <f>Q27</f>
        <v>楼层</v>
      </c>
      <c r="AA27" s="1998">
        <f t="shared" si="3"/>
        <v>1</v>
      </c>
      <c r="AB27" s="1998">
        <f t="shared" si="4"/>
        <v>1.0309278350515463</v>
      </c>
      <c r="AC27" s="1998">
        <f t="shared" si="5"/>
        <v>0.970873786407767</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f>D3</f>
        <v>641.72</v>
      </c>
      <c r="D34" s="1626">
        <v>100</v>
      </c>
      <c r="E34" s="1633">
        <v>280</v>
      </c>
      <c r="F34" s="1628">
        <f>LOOKUP(E34,104:104,105:105)-LOOKUP(C34,104:104,105:105)+100</f>
        <v>104</v>
      </c>
      <c r="G34" s="1632">
        <v>160.54</v>
      </c>
      <c r="H34" s="1626">
        <f>LOOKUP(G34,104:104,105:105)-LOOKUP(C34,104:104,105:105)+100</f>
        <v>102</v>
      </c>
      <c r="I34" s="1632">
        <v>676.56</v>
      </c>
      <c r="J34" s="1626">
        <f>LOOKUP(I34,104:104,105:105)-LOOKUP(C34,104:104,105:105)+100</f>
        <v>100</v>
      </c>
      <c r="K34" s="1918"/>
      <c r="L34" s="2919"/>
      <c r="M34" s="1988"/>
      <c r="N34" s="1988"/>
      <c r="O34" s="1988"/>
      <c r="P34" s="3617"/>
      <c r="Q34" s="1695" t="str">
        <f t="shared" si="11"/>
        <v>项目建筑规模</v>
      </c>
      <c r="R34" s="1696" t="s">
        <v>25</v>
      </c>
      <c r="S34" s="1697">
        <f t="shared" si="12"/>
        <v>104</v>
      </c>
      <c r="T34" s="1696" t="s">
        <v>25</v>
      </c>
      <c r="U34" s="1697">
        <f t="shared" si="13"/>
        <v>102</v>
      </c>
      <c r="V34" s="1696" t="s">
        <v>25</v>
      </c>
      <c r="W34" s="1697">
        <f t="shared" si="14"/>
        <v>100</v>
      </c>
      <c r="X34" s="1698"/>
      <c r="Y34" s="3617"/>
      <c r="Z34" s="1699" t="str">
        <f t="shared" si="15"/>
        <v>项目建筑规模</v>
      </c>
      <c r="AA34" s="1998">
        <f t="shared" si="3"/>
        <v>0.96153846153846156</v>
      </c>
      <c r="AB34" s="1998">
        <f t="shared" si="4"/>
        <v>0.98039215686274506</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v>0.85</v>
      </c>
      <c r="D37" s="1640">
        <v>100</v>
      </c>
      <c r="E37" s="1705">
        <v>0.85</v>
      </c>
      <c r="F37" s="1683">
        <f>LOOKUP(E37,111:111,112:112)-LOOKUP(C37,111:111,112:112)+100</f>
        <v>100</v>
      </c>
      <c r="G37" s="1705">
        <v>0.85</v>
      </c>
      <c r="H37" s="1683">
        <f>LOOKUP(G37,111:111,112:112)-LOOKUP(C37,111:111,112:112)+100</f>
        <v>100</v>
      </c>
      <c r="I37" s="1705">
        <v>0.85</v>
      </c>
      <c r="J37" s="1640">
        <f>LOOKUP(I37,111:111,112:112)-LOOKUP(C37,111:111,112:112)+100</f>
        <v>100</v>
      </c>
      <c r="K37" s="1921"/>
      <c r="L37" s="2920"/>
      <c r="M37" s="2916"/>
      <c r="N37" s="2916"/>
      <c r="O37" s="2916"/>
      <c r="P37" s="3617"/>
      <c r="Q37" s="2834" t="str">
        <f t="shared" si="11"/>
        <v>成新度</v>
      </c>
      <c r="R37" s="1654" t="s">
        <v>25</v>
      </c>
      <c r="S37" s="1655">
        <f t="shared" si="12"/>
        <v>100</v>
      </c>
      <c r="T37" s="1654" t="s">
        <v>25</v>
      </c>
      <c r="U37" s="1655">
        <f t="shared" si="13"/>
        <v>100</v>
      </c>
      <c r="V37" s="1654" t="s">
        <v>25</v>
      </c>
      <c r="W37" s="1655">
        <f t="shared" si="14"/>
        <v>100</v>
      </c>
      <c r="X37" s="2003"/>
      <c r="Y37" s="361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3737" t="s">
        <v>3049</v>
      </c>
      <c r="D43" s="1640">
        <v>100</v>
      </c>
      <c r="E43" s="3737" t="s">
        <v>3050</v>
      </c>
      <c r="F43" s="1683">
        <f>SUMIF(123:123,E43,124:124)-SUMIF(123:123,C43,124:124)+100</f>
        <v>94</v>
      </c>
      <c r="G43" s="3737" t="s">
        <v>3049</v>
      </c>
      <c r="H43" s="1640">
        <f>SUMIF(123:123,G43,124:124)-SUMIF(123:123,C43,124:124)+100</f>
        <v>100</v>
      </c>
      <c r="I43" s="3737" t="s">
        <v>3049</v>
      </c>
      <c r="J43" s="1640">
        <f>SUMIF(123:123,I43,124:124)-SUMIF(123:123,C43,124:124)+100</f>
        <v>100</v>
      </c>
      <c r="K43" s="1921">
        <v>3</v>
      </c>
      <c r="L43" s="2920"/>
      <c r="M43" s="2916"/>
      <c r="N43" s="2916"/>
      <c r="O43" s="2916"/>
      <c r="P43" s="3617"/>
      <c r="Q43" s="2834" t="str">
        <f t="shared" si="11"/>
        <v>内部装修</v>
      </c>
      <c r="R43" s="1654" t="s">
        <v>25</v>
      </c>
      <c r="S43" s="1655">
        <f t="shared" si="12"/>
        <v>94</v>
      </c>
      <c r="T43" s="1654" t="s">
        <v>25</v>
      </c>
      <c r="U43" s="1655">
        <f t="shared" si="13"/>
        <v>100</v>
      </c>
      <c r="V43" s="1654" t="s">
        <v>25</v>
      </c>
      <c r="W43" s="1655">
        <f t="shared" si="14"/>
        <v>100</v>
      </c>
      <c r="X43" s="2003"/>
      <c r="Y43" s="3617"/>
      <c r="Z43" s="2007" t="str">
        <f t="shared" si="15"/>
        <v>内部装修</v>
      </c>
      <c r="AA43" s="1998">
        <f t="shared" si="3"/>
        <v>1.0638297872340425</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v>60000</v>
      </c>
      <c r="F48" s="1715"/>
      <c r="G48" s="1716">
        <v>62415</v>
      </c>
      <c r="H48" s="1717"/>
      <c r="I48" s="1714">
        <v>60000</v>
      </c>
      <c r="J48" s="1717"/>
      <c r="K48" s="1942"/>
      <c r="L48" s="2921"/>
      <c r="M48" s="2916"/>
      <c r="N48" s="2916"/>
      <c r="O48" s="2916"/>
      <c r="P48" s="3623" t="str">
        <f>A48</f>
        <v>成交单价（元/平方米）</v>
      </c>
      <c r="Q48" s="3623"/>
      <c r="R48" s="3624">
        <f>E48</f>
        <v>60000</v>
      </c>
      <c r="S48" s="3624"/>
      <c r="T48" s="3624">
        <f>G48</f>
        <v>62415</v>
      </c>
      <c r="U48" s="3624"/>
      <c r="V48" s="3624">
        <f>I48</f>
        <v>60000</v>
      </c>
      <c r="W48" s="3624"/>
      <c r="X48" s="1720"/>
      <c r="Y48" s="2002"/>
      <c r="Z48" s="1720"/>
      <c r="AA48" s="1720"/>
      <c r="AB48" s="1720"/>
      <c r="AC48" s="1720"/>
    </row>
    <row r="49" spans="1:29" ht="15.75" thickBot="1">
      <c r="A49" s="1722" t="s">
        <v>2132</v>
      </c>
      <c r="B49" s="1723"/>
      <c r="C49" s="1724">
        <f>R50</f>
        <v>60904</v>
      </c>
      <c r="D49" s="1725" t="s">
        <v>2503</v>
      </c>
      <c r="E49" s="1726">
        <f>R49</f>
        <v>61375</v>
      </c>
      <c r="F49" s="1727"/>
      <c r="G49" s="1724">
        <f>T49</f>
        <v>63084</v>
      </c>
      <c r="H49" s="1727"/>
      <c r="I49" s="1726">
        <f>V49</f>
        <v>58252</v>
      </c>
      <c r="J49" s="1727"/>
      <c r="K49" s="2429">
        <f>F49+H49+J49</f>
        <v>0</v>
      </c>
      <c r="L49" s="2921"/>
      <c r="M49" s="2916"/>
      <c r="N49" s="2916"/>
      <c r="O49" s="2916"/>
      <c r="P49" s="3623" t="str">
        <f>A49</f>
        <v>比较价值（元/平方米）</v>
      </c>
      <c r="Q49" s="3623"/>
      <c r="R49" s="3624">
        <f>IF(E1="售价",ROUND(PRODUCT(R48,AA7:AA47),0),ROUND(PRODUCT(R48,AA7:AA47),1))</f>
        <v>61375</v>
      </c>
      <c r="S49" s="3624"/>
      <c r="T49" s="3624">
        <f>IF(E1="售价",ROUND(PRODUCT(T48,AB7:AB47),0),ROUND(PRODUCT(T48,AB7:AB47),1))</f>
        <v>63084</v>
      </c>
      <c r="U49" s="3624"/>
      <c r="V49" s="3624">
        <f>IF(E1="售价",ROUND(PRODUCT(V48,AC7:AC47),0),ROUND(PRODUCT(V48,AC7:AC47),1))</f>
        <v>58252</v>
      </c>
      <c r="W49" s="3624"/>
      <c r="X49" s="1720"/>
      <c r="Y49" s="1720"/>
      <c r="Z49" s="1720"/>
      <c r="AA49" s="1720"/>
      <c r="AB49" s="1720"/>
      <c r="AC49" s="1720"/>
    </row>
    <row r="50" spans="1:29" ht="15.75" thickBot="1">
      <c r="A50" s="1728" t="s">
        <v>2155</v>
      </c>
      <c r="B50" s="1729"/>
      <c r="C50" s="1731">
        <f>R50</f>
        <v>60904</v>
      </c>
      <c r="D50" s="1731"/>
      <c r="E50" s="1731"/>
      <c r="F50" s="1731"/>
      <c r="G50" s="1731"/>
      <c r="H50" s="1731"/>
      <c r="I50" s="1731"/>
      <c r="J50" s="1731"/>
      <c r="K50" s="1947"/>
      <c r="L50" s="2921"/>
      <c r="M50" s="2916"/>
      <c r="N50" s="2916"/>
      <c r="O50" s="2916"/>
      <c r="P50" s="3629" t="str">
        <f>A50</f>
        <v>估价对象XX用房的比较价值（楼面单价，元/平方米）</v>
      </c>
      <c r="Q50" s="3630"/>
      <c r="R50" s="3631">
        <f>IF(E1="售价",ROUND(IF(D49="简单平均",AVERAGE(R49:V49),R49*F49+T49*H49+V49*J49),0),ROUND(IF(D49="简单平均",AVERAGE(R49:V49),R49*F49+T49*H49+V49*J49),1))</f>
        <v>60904</v>
      </c>
      <c r="S50" s="3631"/>
      <c r="T50" s="3631"/>
      <c r="U50" s="3631"/>
      <c r="V50" s="3631"/>
      <c r="W50" s="3631"/>
      <c r="X50" s="1720"/>
      <c r="Y50" s="1720"/>
      <c r="Z50" s="1720"/>
      <c r="AA50" s="1720"/>
      <c r="AB50" s="1720"/>
      <c r="AC50" s="1720"/>
    </row>
    <row r="51" spans="1:29">
      <c r="G51" s="2925"/>
    </row>
    <row r="53" spans="1:29" ht="13.5" customHeight="1">
      <c r="C53" s="383" t="s">
        <v>2134</v>
      </c>
      <c r="D53" s="1736"/>
      <c r="E53" s="1737">
        <f>IF(E48&lt;E49,E49/E48-1,E48/E49-1)</f>
        <v>2.2916666666666696E-2</v>
      </c>
      <c r="F53" s="1738" t="str">
        <f>IF(OR(E53&gt;=0.3,E53&lt;=-0.3),"超过30%","")</f>
        <v/>
      </c>
      <c r="G53" s="1737">
        <f>IF(G48&lt;G49,G49/G48-1,G48/G49-1)</f>
        <v>1.0718577265080409E-2</v>
      </c>
      <c r="H53" s="1738" t="str">
        <f>IF(OR(G53&gt;=0.3,G53&lt;=-0.3),"超过30%","")</f>
        <v/>
      </c>
      <c r="I53" s="1737">
        <f>IF(I48&lt;I49,I49/I48-1,I48/I49-1)</f>
        <v>3.0007553388724961E-2</v>
      </c>
      <c r="J53" s="1738" t="str">
        <f>IF(OR(I53&gt;=0.3,I53&lt;=-0.3),"超过30%","")</f>
        <v/>
      </c>
    </row>
    <row r="54" spans="1:29" ht="13.5" customHeight="1">
      <c r="C54" s="383" t="s">
        <v>2135</v>
      </c>
      <c r="D54" s="1739"/>
      <c r="E54" s="1737">
        <f>IF(E49&lt;G49,G49/E49-1,E49/G49-1)</f>
        <v>2.7845213849287065E-2</v>
      </c>
      <c r="F54" s="1738" t="str">
        <f>IF(OR(E54&gt;=0.2,E54&lt;=-0.2),"超过20%","")</f>
        <v/>
      </c>
      <c r="G54" s="1737">
        <f>IF(G49&lt;I49,I49/G49-1,G49/I49-1)</f>
        <v>8.2949941632905366E-2</v>
      </c>
      <c r="H54" s="1738" t="str">
        <f>IF(OR(G54&gt;=0.2,G54&lt;=-0.2),"超过20%","")</f>
        <v/>
      </c>
      <c r="I54" s="1737">
        <f>IF(I49&lt;E49,E49/I49-1,I49/E49-1)</f>
        <v>5.361189315388315E-2</v>
      </c>
      <c r="J54" s="1738" t="str">
        <f>IF(OR(I54&gt;=0.2,I54&lt;=-0.2),"超过20%","")</f>
        <v/>
      </c>
    </row>
    <row r="55" spans="1:29" s="1742" customFormat="1" ht="13.5" customHeight="1">
      <c r="C55" s="383" t="s">
        <v>2136</v>
      </c>
      <c r="D55" s="1739"/>
      <c r="E55" s="1737">
        <f>IF(E48&lt;G48,G48/E48-1,E48/G48-1)</f>
        <v>4.0249999999999897E-2</v>
      </c>
      <c r="F55" s="1738" t="str">
        <f>IF(OR(E55&gt;=0.3,E55&lt;=-0.3),"超过30%","")</f>
        <v/>
      </c>
      <c r="G55" s="1737">
        <f>IF(G48&lt;I48,I48/G48-1,G48/I48-1)</f>
        <v>4.0249999999999897E-2</v>
      </c>
      <c r="H55" s="1738" t="str">
        <f>IF(OR(G55&gt;=0.3,G55&lt;=-0.3),"超过30%","")</f>
        <v/>
      </c>
      <c r="I55" s="1737">
        <f>IF(I48&lt;E48,E48/I48-1,I48/E48-1)</f>
        <v>0</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4（含）-5</v>
      </c>
      <c r="H68" s="1794" t="str">
        <f t="shared" si="17"/>
        <v>5（含）-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v>5</v>
      </c>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736" t="s">
        <v>3045</v>
      </c>
      <c r="D89" s="3736" t="s">
        <v>3042</v>
      </c>
      <c r="E89" s="3736" t="s">
        <v>3044</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400</v>
      </c>
      <c r="F104" s="1830">
        <v>600</v>
      </c>
      <c r="G104" s="1830">
        <v>800</v>
      </c>
      <c r="H104" s="1830"/>
      <c r="I104" s="1830"/>
      <c r="J104" s="485"/>
      <c r="K104" s="485"/>
      <c r="L104" s="485"/>
      <c r="M104" s="1831"/>
      <c r="N104" s="2936"/>
      <c r="O104" s="2936"/>
      <c r="P104" s="1987"/>
      <c r="Q104" s="1802"/>
    </row>
    <row r="105" spans="1:17" s="1700" customFormat="1" ht="15.75" thickBot="1">
      <c r="A105" s="1798"/>
      <c r="B105" s="1790"/>
      <c r="C105" s="1803">
        <v>98</v>
      </c>
      <c r="D105" s="1784">
        <v>100</v>
      </c>
      <c r="E105" s="1784">
        <v>98</v>
      </c>
      <c r="F105" s="1784">
        <v>96</v>
      </c>
      <c r="G105" s="1784">
        <v>94</v>
      </c>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736" t="s">
        <v>3049</v>
      </c>
      <c r="D123" s="3736" t="s">
        <v>3051</v>
      </c>
      <c r="E123" s="3736" t="s">
        <v>3050</v>
      </c>
      <c r="F123" s="3738" t="s">
        <v>3052</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97</v>
      </c>
      <c r="E124" s="1791">
        <f t="shared" si="30"/>
        <v>94</v>
      </c>
      <c r="F124" s="1791">
        <f t="shared" si="30"/>
        <v>91</v>
      </c>
      <c r="G124" s="1791">
        <f t="shared" si="30"/>
        <v>88</v>
      </c>
      <c r="H124" s="1791">
        <f t="shared" si="30"/>
        <v>85</v>
      </c>
      <c r="I124" s="1791">
        <f t="shared" si="30"/>
        <v>82</v>
      </c>
      <c r="J124" s="1791">
        <f t="shared" si="30"/>
        <v>79</v>
      </c>
      <c r="K124" s="1791">
        <f t="shared" si="30"/>
        <v>76</v>
      </c>
      <c r="L124" s="1791">
        <f t="shared" si="30"/>
        <v>73</v>
      </c>
      <c r="M124" s="1792">
        <f t="shared" si="30"/>
        <v>70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7" sqref="K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3518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54819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2110685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2108050</v>
      </c>
      <c r="D6" s="36" t="s">
        <v>2461</v>
      </c>
      <c r="E6" s="235" t="s">
        <v>1776</v>
      </c>
      <c r="F6" s="236">
        <f>'数据-取费表'!B30</f>
        <v>10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641.72</v>
      </c>
      <c r="G7" s="909"/>
      <c r="H7" s="237"/>
      <c r="I7" s="238"/>
      <c r="J7" s="239"/>
      <c r="K7" s="240"/>
      <c r="L7" s="235" t="s">
        <v>1777</v>
      </c>
      <c r="M7" s="236">
        <f>IF('数据-取费表'!B42="",IF(D1="仅计算典型户型",'数据-取费表'!E5,'数据-取费表'!B5),'数据-取费表'!B42)</f>
        <v>641.72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2635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2924059</v>
      </c>
      <c r="D13" s="1023" t="s">
        <v>1791</v>
      </c>
      <c r="E13" s="1023" t="s">
        <v>1792</v>
      </c>
      <c r="F13" s="1024">
        <f>'数据-取费表'!E20</f>
        <v>0.79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2566880</v>
      </c>
      <c r="D14" s="1256" t="s">
        <v>1795</v>
      </c>
      <c r="E14" s="1257"/>
      <c r="F14" s="757"/>
      <c r="G14" s="910"/>
      <c r="H14" s="253" t="s">
        <v>1774</v>
      </c>
      <c r="I14" s="235" t="s">
        <v>1796</v>
      </c>
      <c r="J14" s="13">
        <f ca="1">C29</f>
        <v>3701341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77006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37013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128344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38503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2810733</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56215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37013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118978</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-37013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430042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3701341</v>
      </c>
      <c r="D29" s="1034"/>
      <c r="E29" s="1032"/>
      <c r="F29" s="1035"/>
      <c r="G29" s="652"/>
      <c r="H29" s="271" t="s">
        <v>24</v>
      </c>
      <c r="I29" s="272" t="s">
        <v>1869</v>
      </c>
      <c r="J29" s="273">
        <f ca="1">ROUND(J26/(1+F40)^F41,0)</f>
        <v>0</v>
      </c>
      <c r="K29" s="274" t="s">
        <v>1870</v>
      </c>
      <c r="L29" s="275"/>
      <c r="M29" s="276">
        <f>IF(D1="仅计算典型户型",'数据-取费表'!E5,'数据-取费表'!B5)</f>
        <v>641.72</v>
      </c>
    </row>
    <row r="30" spans="1:37" ht="18" customHeight="1" thickTop="1">
      <c r="A30" s="1021" t="s">
        <v>14</v>
      </c>
      <c r="B30" s="1022" t="s">
        <v>1871</v>
      </c>
      <c r="C30" s="243">
        <f ca="1">ROUND(C31+C36+C37+C38,0)</f>
        <v>301964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240920</v>
      </c>
      <c r="D31" s="1256" t="s">
        <v>1873</v>
      </c>
      <c r="E31" s="1259" t="s">
        <v>1874</v>
      </c>
      <c r="F31" s="2744">
        <f>IF(项目基本情况!B7="企业","——",IF('数据-取费表'!B10="住宅",IF(F6*F7*F8/12/(1+'数据-取费表'!F30)&gt;100000,4%,2.5%),IF(F6*F7*F8/12/(1+'数据-取费表'!F30)&gt;100000,12%,7%)))</f>
        <v>0.12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204684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37013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2924</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21107</v>
      </c>
      <c r="D38" s="1034" t="s">
        <v>1846</v>
      </c>
      <c r="E38" s="1032" t="s">
        <v>1842</v>
      </c>
      <c r="F38" s="1027">
        <f>'数据-取费表'!B47</f>
        <v>0.01</v>
      </c>
      <c r="G38" s="652"/>
      <c r="H38" s="901"/>
      <c r="I38" s="280" t="s">
        <v>1884</v>
      </c>
      <c r="J38" s="136">
        <f ca="1">ROUND(J34/C39,3)</f>
        <v>0.113</v>
      </c>
      <c r="K38" s="906"/>
      <c r="L38" s="901"/>
      <c r="M38" s="901"/>
    </row>
    <row r="39" spans="1:18" ht="18" customHeight="1" thickTop="1">
      <c r="A39" s="1021" t="s">
        <v>22</v>
      </c>
      <c r="B39" s="1036" t="s">
        <v>1885</v>
      </c>
      <c r="C39" s="243">
        <f ca="1">C5-C30</f>
        <v>1808721</v>
      </c>
      <c r="D39" s="1037" t="s">
        <v>1886</v>
      </c>
      <c r="E39" s="1038"/>
      <c r="F39" s="1039"/>
      <c r="G39" s="652"/>
      <c r="H39" s="901"/>
      <c r="I39" s="280" t="s">
        <v>1887</v>
      </c>
      <c r="J39" s="136">
        <f ca="1">1-J38</f>
        <v>0.88700000000000001</v>
      </c>
      <c r="K39" s="906"/>
      <c r="L39" s="901"/>
      <c r="M39" s="901"/>
    </row>
    <row r="40" spans="1:18" s="652" customFormat="1" ht="18" customHeight="1">
      <c r="A40" s="232" t="s">
        <v>23</v>
      </c>
      <c r="B40" s="233" t="s">
        <v>1888</v>
      </c>
      <c r="C40" s="234">
        <f ca="1">ROUND(C39*(1-((1+F42)/(1+F40))^F41)/(F40-F42),0)</f>
        <v>35178648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30.36</v>
      </c>
      <c r="H41" s="908"/>
      <c r="I41" s="135" t="s">
        <v>1762</v>
      </c>
      <c r="J41" s="136">
        <f ca="1">ROUND(C13/C40,3)</f>
        <v>8.3000000000000004E-2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0.91700000000000004</v>
      </c>
      <c r="K42" s="905"/>
      <c r="L42" s="908"/>
      <c r="M42" s="908"/>
      <c r="Q42" s="656"/>
    </row>
    <row r="43" spans="1:18" s="652" customFormat="1" ht="18" customHeight="1" thickBot="1">
      <c r="A43" s="271" t="s">
        <v>24</v>
      </c>
      <c r="B43" s="272" t="s">
        <v>1891</v>
      </c>
      <c r="C43" s="273">
        <f ca="1">ROUND(C40/F43,0)</f>
        <v>54819</v>
      </c>
      <c r="D43" s="274" t="s">
        <v>1892</v>
      </c>
      <c r="E43" s="275" t="s">
        <v>1893</v>
      </c>
      <c r="F43" s="276">
        <f>IF(D1="仅计算典型户型",'数据-取费表'!E5,'数据-取费表'!B5)</f>
        <v>641.72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35178648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-3576</v>
      </c>
      <c r="D47" s="1456" t="str">
        <f>C2</f>
        <v>万元</v>
      </c>
      <c r="E47" s="649"/>
      <c r="F47" s="649"/>
      <c r="I47" s="1457" t="s">
        <v>1904</v>
      </c>
      <c r="J47" s="981"/>
      <c r="K47" s="982"/>
      <c r="L47" s="995" t="str">
        <f>IF(M48="住宅",0,IF(L49&gt;J52,L61,J61))</f>
        <v>0</v>
      </c>
      <c r="O47" s="1009" t="s">
        <v>769</v>
      </c>
      <c r="P47" s="1006" t="s">
        <v>1905</v>
      </c>
      <c r="Q47" s="1007">
        <f ca="1">C29</f>
        <v>3701341</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30.36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2005</v>
      </c>
      <c r="K50" s="1465" t="s">
        <v>1921</v>
      </c>
      <c r="L50" s="984"/>
      <c r="O50" s="1009" t="s">
        <v>772</v>
      </c>
      <c r="P50" s="1006" t="s">
        <v>1922</v>
      </c>
      <c r="Q50" s="1007">
        <f>J54</f>
        <v>30.36</v>
      </c>
      <c r="R50" s="1008" t="s">
        <v>1923</v>
      </c>
    </row>
    <row r="51" spans="1:18" s="652" customFormat="1" ht="15.75" thickBot="1">
      <c r="A51" s="237"/>
      <c r="B51" s="238"/>
      <c r="C51" s="239"/>
      <c r="D51" s="240"/>
      <c r="E51" s="255" t="s">
        <v>1777</v>
      </c>
      <c r="F51" s="943">
        <f>F7</f>
        <v>641.72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3518</v>
      </c>
      <c r="R51" s="1008" t="s">
        <v>774</v>
      </c>
    </row>
    <row r="52" spans="1:18" s="652" customFormat="1" ht="16.5" thickBot="1">
      <c r="A52" s="237"/>
      <c r="B52" s="238"/>
      <c r="C52" s="239"/>
      <c r="D52" s="240"/>
      <c r="E52" s="235" t="s">
        <v>1779</v>
      </c>
      <c r="F52" s="236">
        <f>F8</f>
        <v>365</v>
      </c>
      <c r="I52" s="1466" t="s">
        <v>1926</v>
      </c>
      <c r="J52" s="986">
        <f>IF(J50="",J51,J50+J51-YEAR('数据-取费表'!B2))</f>
        <v>43</v>
      </c>
      <c r="K52" s="1467" t="s">
        <v>1927</v>
      </c>
      <c r="L52" s="987">
        <f ca="1">ROUND(-PV('数据-取费表'!B15,J52,(C40-C13*J35)),0)</f>
        <v>613650092</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30.36</v>
      </c>
      <c r="K54" s="3557" t="s">
        <v>2460</v>
      </c>
      <c r="L54" s="3558"/>
      <c r="O54" s="1005" t="s">
        <v>767</v>
      </c>
      <c r="P54" s="1006" t="s">
        <v>1899</v>
      </c>
      <c r="Q54" s="1007">
        <f ca="1">C40+J29</f>
        <v>35178648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2924059</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3701341</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39937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3518</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35178648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37013</v>
      </c>
      <c r="D65" s="1259" t="s">
        <v>1881</v>
      </c>
      <c r="E65" s="235" t="s">
        <v>1825</v>
      </c>
      <c r="F65" s="265">
        <f t="shared" si="0"/>
        <v>0.01</v>
      </c>
      <c r="I65" s="1479" t="s">
        <v>1961</v>
      </c>
      <c r="J65" s="1251">
        <v>50</v>
      </c>
      <c r="K65" s="1251">
        <v>35</v>
      </c>
      <c r="L65" s="1251">
        <v>60</v>
      </c>
      <c r="M65" s="1250">
        <v>0</v>
      </c>
      <c r="O65" s="1009" t="s">
        <v>769</v>
      </c>
      <c r="P65" s="1006" t="s">
        <v>1935</v>
      </c>
      <c r="Q65" s="1011">
        <f ca="1">L52</f>
        <v>613650092</v>
      </c>
      <c r="R65" s="1012" t="s">
        <v>1962</v>
      </c>
    </row>
    <row r="66" spans="1:18" s="652" customFormat="1" ht="20.25" thickBot="1">
      <c r="A66" s="253" t="s">
        <v>20</v>
      </c>
      <c r="B66" s="235" t="s">
        <v>1840</v>
      </c>
      <c r="C66" s="13">
        <f ca="1">ROUND(C57*F66,0)</f>
        <v>2924</v>
      </c>
      <c r="D66" s="1259" t="s">
        <v>1841</v>
      </c>
      <c r="E66" s="235" t="s">
        <v>1842</v>
      </c>
      <c r="F66" s="266">
        <f t="shared" si="0"/>
        <v>1E-3</v>
      </c>
      <c r="I66" s="1479" t="s">
        <v>1963</v>
      </c>
      <c r="J66" s="1251">
        <v>40</v>
      </c>
      <c r="K66" s="1251">
        <v>30</v>
      </c>
      <c r="L66" s="1251">
        <v>50</v>
      </c>
      <c r="M66" s="1249">
        <v>0.02</v>
      </c>
      <c r="O66" s="1009" t="s">
        <v>770</v>
      </c>
      <c r="P66" s="1013" t="s">
        <v>1964</v>
      </c>
      <c r="Q66" s="1007">
        <f ca="1">ROUND(Q67-Q68*Q69,0)</f>
        <v>1604037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1808721</v>
      </c>
      <c r="R67" s="1008" t="s">
        <v>1900</v>
      </c>
    </row>
    <row r="68" spans="1:18" ht="15.75" thickBot="1">
      <c r="A68" s="248" t="s">
        <v>22</v>
      </c>
      <c r="B68" s="41" t="s">
        <v>1850</v>
      </c>
      <c r="C68" s="250">
        <f ca="1">C49-C59</f>
        <v>-39937</v>
      </c>
      <c r="D68" s="1256" t="s">
        <v>1851</v>
      </c>
      <c r="E68" s="1258"/>
      <c r="F68" s="268"/>
      <c r="H68" s="652"/>
      <c r="I68" s="652"/>
      <c r="J68" s="652"/>
      <c r="K68" s="652"/>
      <c r="L68" s="652"/>
      <c r="M68" s="652"/>
      <c r="O68" s="1009" t="s">
        <v>776</v>
      </c>
      <c r="P68" s="1013" t="s">
        <v>1966</v>
      </c>
      <c r="Q68" s="1007">
        <f ca="1">C13</f>
        <v>2924059</v>
      </c>
      <c r="R68" s="1008" t="s">
        <v>1900</v>
      </c>
    </row>
    <row r="69" spans="1:18" ht="15.75" thickBot="1">
      <c r="A69" s="232" t="s">
        <v>23</v>
      </c>
      <c r="B69" s="233" t="s">
        <v>1888</v>
      </c>
      <c r="C69" s="234">
        <f ca="1">ROUND(C68*(1-((1+F71)/(1+F69))^F70)/(F69-F71),0)</f>
        <v>-583215</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30.36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-909</v>
      </c>
      <c r="D72" s="274" t="s">
        <v>1892</v>
      </c>
      <c r="E72" s="275" t="s">
        <v>1893</v>
      </c>
      <c r="F72" s="276">
        <f>F43</f>
        <v>641.72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3518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641.72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44886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641.72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44886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641.72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44886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641.72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44886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641.72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44886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44886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118</v>
      </c>
      <c r="G10" s="1686"/>
      <c r="H10" s="1626">
        <f>ROUND(100/'数据-取费表'!B14,0)</f>
        <v>118</v>
      </c>
      <c r="I10" s="1686"/>
      <c r="J10" s="1626">
        <f>ROUND(100/'数据-取费表'!B14,0)</f>
        <v>118</v>
      </c>
      <c r="K10" s="1898"/>
      <c r="L10" s="2917"/>
      <c r="M10" s="2918"/>
      <c r="N10" s="2918"/>
      <c r="O10" s="2963"/>
      <c r="P10" s="3623"/>
      <c r="Q10" s="1563" t="str">
        <f t="shared" si="6"/>
        <v>土地使用年限（年）</v>
      </c>
      <c r="R10" s="1609" t="s">
        <v>25</v>
      </c>
      <c r="S10" s="1610">
        <f t="shared" si="0"/>
        <v>118</v>
      </c>
      <c r="T10" s="1609" t="s">
        <v>25</v>
      </c>
      <c r="U10" s="1610">
        <f t="shared" si="1"/>
        <v>118</v>
      </c>
      <c r="V10" s="1609" t="s">
        <v>25</v>
      </c>
      <c r="W10" s="1610">
        <f t="shared" si="2"/>
        <v>118</v>
      </c>
      <c r="X10" s="1611"/>
      <c r="Y10" s="3487"/>
      <c r="Z10" s="1622" t="str">
        <f t="shared" si="7"/>
        <v>土地使用年限（年）</v>
      </c>
      <c r="AA10" s="1612">
        <f t="shared" si="3"/>
        <v>0.84745762711864403</v>
      </c>
      <c r="AB10" s="1612">
        <f t="shared" si="4"/>
        <v>0.84745762711864403</v>
      </c>
      <c r="AC10" s="1612">
        <f t="shared" si="5"/>
        <v>0.84745762711864403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44886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118</v>
      </c>
      <c r="G10" s="322"/>
      <c r="H10" s="29">
        <f>ROUND(100/'数据-取费表'!B14,0)</f>
        <v>118</v>
      </c>
      <c r="I10" s="322"/>
      <c r="J10" s="29">
        <f>ROUND(100/'数据-取费表'!B14,0)</f>
        <v>118</v>
      </c>
      <c r="K10" s="553"/>
      <c r="L10" s="2948"/>
      <c r="M10" s="2949"/>
      <c r="N10" s="2949"/>
      <c r="O10" s="2950"/>
      <c r="P10" s="3637"/>
      <c r="Q10" s="1255" t="str">
        <f t="shared" si="6"/>
        <v>土地使用年限（年）</v>
      </c>
      <c r="R10" s="627" t="s">
        <v>25</v>
      </c>
      <c r="S10" s="628">
        <f t="shared" si="0"/>
        <v>118</v>
      </c>
      <c r="T10" s="627" t="s">
        <v>25</v>
      </c>
      <c r="U10" s="628">
        <f t="shared" si="1"/>
        <v>118</v>
      </c>
      <c r="V10" s="627" t="s">
        <v>25</v>
      </c>
      <c r="W10" s="628">
        <f t="shared" si="2"/>
        <v>118</v>
      </c>
      <c r="X10" s="629"/>
      <c r="Y10" s="3667"/>
      <c r="Z10" s="19" t="str">
        <f t="shared" si="7"/>
        <v>土地使用年限（年）</v>
      </c>
      <c r="AA10" s="630">
        <f t="shared" si="3"/>
        <v>0.84745762711864403</v>
      </c>
      <c r="AB10" s="630">
        <f t="shared" si="4"/>
        <v>0.84745762711864403</v>
      </c>
      <c r="AC10" s="630">
        <f t="shared" si="5"/>
        <v>0.84745762711864403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估价对象为北京市房地产，为XX所有。根据《》[]，估价对象建筑面积为641.72平方米。根据《》[]，估价对象（分摊）出让国有建设用地使用权面积为平方米。估价对象用途为。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2022年11月21日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641.72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44886</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0.79890000000000005</v>
      </c>
      <c r="D20" s="2130" t="s">
        <v>2354</v>
      </c>
      <c r="E20" s="3072">
        <f>存贷款利率!E22/100</f>
        <v>4.3499999999999997E-2</v>
      </c>
      <c r="F20" s="2130" t="s">
        <v>2343</v>
      </c>
      <c r="G20" s="3073">
        <f>SUMIF(M26:P26,E2,M28:P28)</f>
        <v>0.05</v>
      </c>
      <c r="H20" s="2130" t="s">
        <v>2355</v>
      </c>
      <c r="I20" s="2131">
        <f>'数据-取费表'!B13</f>
        <v>30.36</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641.72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44886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38"/>
  <sheetViews>
    <sheetView workbookViewId="0">
      <selection activeCell="P62" sqref="P62"/>
    </sheetView>
  </sheetViews>
  <sheetFormatPr defaultRowHeight="13.5"/>
  <sheetData>
    <row r="4" spans="8:9">
      <c r="H4">
        <v>1</v>
      </c>
      <c r="I4" s="3732"/>
    </row>
    <row r="5" spans="8:9">
      <c r="H5">
        <v>2</v>
      </c>
      <c r="I5" s="3732"/>
    </row>
    <row r="6" spans="8:9">
      <c r="H6">
        <v>3</v>
      </c>
      <c r="I6" s="3732"/>
    </row>
    <row r="7" spans="8:9">
      <c r="H7">
        <v>4</v>
      </c>
      <c r="I7" s="3732"/>
    </row>
    <row r="8" spans="8:9">
      <c r="H8">
        <v>5</v>
      </c>
      <c r="I8" s="3732"/>
    </row>
    <row r="9" spans="8:9">
      <c r="H9">
        <v>6</v>
      </c>
      <c r="I9" s="3732"/>
    </row>
    <row r="10" spans="8:9">
      <c r="H10">
        <v>7</v>
      </c>
      <c r="I10" s="3732"/>
    </row>
    <row r="11" spans="8:9">
      <c r="H11">
        <v>8</v>
      </c>
      <c r="I11" s="3732"/>
    </row>
    <row r="12" spans="8:9">
      <c r="H12">
        <v>9</v>
      </c>
      <c r="I12" s="3732"/>
    </row>
    <row r="13" spans="8:9">
      <c r="H13">
        <v>10</v>
      </c>
      <c r="I13" s="3732"/>
    </row>
    <row r="14" spans="8:9">
      <c r="H14">
        <v>11</v>
      </c>
      <c r="I14" s="3732"/>
    </row>
    <row r="15" spans="8:9">
      <c r="H15">
        <v>12</v>
      </c>
      <c r="I15" s="3732"/>
    </row>
    <row r="16" spans="8:9">
      <c r="H16">
        <v>13</v>
      </c>
    </row>
    <row r="17" spans="8:8">
      <c r="H17">
        <v>14</v>
      </c>
    </row>
    <row r="18" spans="8:8">
      <c r="H18">
        <v>15</v>
      </c>
    </row>
    <row r="19" spans="8:8">
      <c r="H19">
        <v>16</v>
      </c>
    </row>
    <row r="20" spans="8:8">
      <c r="H20">
        <v>17</v>
      </c>
    </row>
    <row r="21" spans="8:8">
      <c r="H21">
        <v>18</v>
      </c>
    </row>
    <row r="22" spans="8:8">
      <c r="H22">
        <v>19</v>
      </c>
    </row>
    <row r="23" spans="8:8">
      <c r="H23">
        <v>20</v>
      </c>
    </row>
    <row r="24" spans="8:8">
      <c r="H24">
        <v>21</v>
      </c>
    </row>
    <row r="25" spans="8:8">
      <c r="H25">
        <v>22</v>
      </c>
    </row>
    <row r="26" spans="8:8">
      <c r="H26">
        <v>23</v>
      </c>
    </row>
    <row r="27" spans="8:8">
      <c r="H27" s="3732">
        <v>24</v>
      </c>
    </row>
    <row r="28" spans="8:8">
      <c r="H28" s="3732">
        <v>25</v>
      </c>
    </row>
    <row r="29" spans="8:8">
      <c r="H29" s="3732">
        <v>26</v>
      </c>
    </row>
    <row r="30" spans="8:8">
      <c r="H30" s="3732">
        <v>27</v>
      </c>
    </row>
    <row r="31" spans="8:8">
      <c r="H31" s="3732">
        <v>28</v>
      </c>
    </row>
    <row r="32" spans="8:8">
      <c r="H32" s="3732">
        <v>29</v>
      </c>
    </row>
    <row r="33" spans="3:8">
      <c r="C33" s="3731"/>
      <c r="H33" s="3732">
        <v>30</v>
      </c>
    </row>
    <row r="34" spans="3:8">
      <c r="H34" s="3732">
        <v>31</v>
      </c>
    </row>
    <row r="35" spans="3:8">
      <c r="H35" s="3732">
        <v>32</v>
      </c>
    </row>
    <row r="36" spans="3:8">
      <c r="H36" s="3732">
        <v>33</v>
      </c>
    </row>
    <row r="37" spans="3:8">
      <c r="H37" s="3732">
        <v>34</v>
      </c>
    </row>
    <row r="38" spans="3:8">
      <c r="H38" s="3732">
        <v>35</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A101" sqref="A10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641.72</v>
      </c>
      <c r="D6" s="3331"/>
      <c r="E6" s="1287"/>
    </row>
    <row r="7" spans="1:5" ht="14.25">
      <c r="A7" s="1287"/>
      <c r="B7" s="3325" t="s">
        <v>594</v>
      </c>
      <c r="C7" s="1293" t="str">
        <f>IF('数据-取费表'!B3="万元","总价（万元）","总价（元）")</f>
        <v>总价（万元）</v>
      </c>
      <c r="D7" s="1294">
        <f ca="1">IF('数据-取费表'!E3="否",结果表!I102,'结果表 (1修多)'!I104)</f>
        <v>3713</v>
      </c>
      <c r="E7" s="1287"/>
    </row>
    <row r="8" spans="1:5" ht="14.25">
      <c r="A8" s="1287"/>
      <c r="B8" s="3325"/>
      <c r="C8" s="1295" t="s">
        <v>924</v>
      </c>
      <c r="D8" s="1296" t="str">
        <f ca="1">IF('数据-取费表'!B3="万元",NUMBERSTRING(INT(D7*10000),2)&amp;"元整",NUMBERSTRING(INT(D7),2)&amp;"元整")</f>
        <v>叁仟柒佰壹拾叁万元整</v>
      </c>
      <c r="E8" s="1287"/>
    </row>
    <row r="9" spans="1:5" ht="14.25">
      <c r="A9" s="1287"/>
      <c r="B9" s="3325"/>
      <c r="C9" s="1297" t="s">
        <v>1020</v>
      </c>
      <c r="D9" s="1294">
        <f ca="1">IF('数据-取费表'!E3="否",结果表!I103,'结果表 (1修多)'!I105)</f>
        <v>57862</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 ca="1">IF('数据-取费表'!E3="否",结果表!I110,'结果表 (1修多)'!I112)</f>
        <v>3713</v>
      </c>
      <c r="E15" s="1287"/>
    </row>
    <row r="16" spans="1:5" ht="14.25">
      <c r="A16" s="1287"/>
      <c r="B16" s="3332"/>
      <c r="C16" s="1295" t="s">
        <v>924</v>
      </c>
      <c r="D16" s="1294" t="str">
        <f ca="1">IF('数据-取费表'!B3="万元",NUMBERSTRING(INT(D15*10000),2)&amp;"元整",NUMBERSTRING(INT(D15),2)&amp;"元整")</f>
        <v>叁仟柒佰壹拾叁万元整</v>
      </c>
      <c r="E16" s="1287"/>
    </row>
    <row r="17" spans="1:5" ht="14.25">
      <c r="A17" s="1287"/>
      <c r="B17" s="3332"/>
      <c r="C17" s="1297" t="s">
        <v>1020</v>
      </c>
      <c r="D17" s="1294">
        <f ca="1">IF('数据-取费表'!E3="否",结果表!I111,'结果表 (1修多)'!I113)</f>
        <v>57862</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3713</v>
      </c>
      <c r="E28" s="1287"/>
    </row>
    <row r="29" spans="1:5" ht="14.25">
      <c r="A29" s="1287"/>
      <c r="B29" s="3334"/>
      <c r="C29" s="1306" t="s">
        <v>924</v>
      </c>
      <c r="D29" s="1307" t="str">
        <f ca="1">IF('数据-取费表'!B3="万元",NUMBERSTRING(INT(D28*10000),2)&amp;"元整",NUMBERSTRING(INT(D28),2)&amp;"元整")</f>
        <v>叁仟柒佰壹拾叁万元整</v>
      </c>
      <c r="E29" s="1287"/>
    </row>
    <row r="30" spans="1:5" ht="14.25">
      <c r="A30" s="1287"/>
      <c r="B30" s="3335"/>
      <c r="C30" s="1297" t="s">
        <v>927</v>
      </c>
      <c r="D30" s="1308">
        <f ca="1">IF('数据-取费表'!E3="否",结果表!I103,'结果表 (1修多)'!I105)</f>
        <v>57862</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3713</v>
      </c>
      <c r="E36" s="1287"/>
    </row>
    <row r="37" spans="1:5" ht="14.25">
      <c r="A37" s="1287"/>
      <c r="B37" s="3336"/>
      <c r="C37" s="1306" t="s">
        <v>924</v>
      </c>
      <c r="D37" s="1311" t="str">
        <f ca="1">IF('数据-取费表'!B3="万元",NUMBERSTRING(INT(D36*10000),2)&amp;"元整",NUMBERSTRING(INT(D36),2)&amp;"元整")</f>
        <v>叁仟柒佰壹拾叁万元整</v>
      </c>
      <c r="E37" s="1287"/>
    </row>
    <row r="38" spans="1:5" ht="14.25">
      <c r="A38" s="1287"/>
      <c r="B38" s="3336"/>
      <c r="C38" s="1297" t="s">
        <v>928</v>
      </c>
      <c r="D38" s="1308">
        <f ca="1">IF('数据-取费表'!E3="否",结果表!D113,'结果表 (1修多)'!D117)</f>
        <v>57862</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641.72</v>
      </c>
      <c r="C4" s="776">
        <f>结果表!C121</f>
        <v>0</v>
      </c>
      <c r="D4" s="776">
        <f ca="1">IF('数据-取费表'!E3="否",结果表!D121,'结果表 (1修多)'!D125)</f>
        <v>3405</v>
      </c>
      <c r="E4" s="776">
        <f ca="1">IF('数据-取费表'!E3="否",结果表!E121,'结果表 (1修多)'!E125)</f>
        <v>53059</v>
      </c>
      <c r="F4" s="776">
        <f ca="1">IF('数据-取费表'!E3="否",结果表!F121,'结果表 (1修多)'!F125)</f>
        <v>308</v>
      </c>
      <c r="G4" s="776">
        <f ca="1">IF('数据-取费表'!E3="否",结果表!G121,'结果表 (1修多)'!G125)</f>
        <v>4803</v>
      </c>
      <c r="H4" s="776">
        <f ca="1">IF('数据-取费表'!E3="否",结果表!H121,'结果表 (1修多)'!H125)</f>
        <v>3713</v>
      </c>
      <c r="I4" s="776">
        <f ca="1">IF('数据-取费表'!E3="否",结果表!I121,'结果表 (1修多)'!I125)</f>
        <v>57862</v>
      </c>
    </row>
    <row r="5" spans="1:9" ht="15">
      <c r="A5" s="3350" t="s">
        <v>1030</v>
      </c>
      <c r="B5" s="3350"/>
      <c r="C5" s="3350"/>
      <c r="D5" s="3348" t="str">
        <f ca="1">IF('数据-取费表'!E3="否",结果表!D122,'结果表 (1修多)'!D126)</f>
        <v>叁仟肆佰零伍万元整</v>
      </c>
      <c r="E5" s="3348"/>
      <c r="F5" s="3348" t="str">
        <f ca="1">IF('数据-取费表'!E3="否",结果表!F122,'结果表 (1修多)'!F126)</f>
        <v>叁佰零捌万元整</v>
      </c>
      <c r="G5" s="3348"/>
      <c r="H5" s="3348" t="str">
        <f ca="1">IF('数据-取费表'!E3="否",结果表!H122,'结果表 (1修多)'!H126)</f>
        <v>叁仟柒佰壹拾叁万元整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3713</v>
      </c>
      <c r="E8" s="3349"/>
      <c r="F8" s="3349"/>
      <c r="G8" s="3349"/>
      <c r="H8" s="3349"/>
      <c r="I8" s="3349"/>
    </row>
    <row r="9" spans="1:9" ht="15">
      <c r="A9" s="3350" t="s">
        <v>1030</v>
      </c>
      <c r="B9" s="3350"/>
      <c r="C9" s="3350"/>
      <c r="D9" s="3348">
        <f ca="1">IF('数据-取费表'!E3="否",结果表!D126,'结果表 (1修多)'!D130)</f>
        <v>57862</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44886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2022-11-21T08:40:20Z</dcterms:modified>
</cp:coreProperties>
</file>