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320" windowHeight="57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r:id="rId25"/>
    <sheet name="收益法（汇总）" sheetId="70"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 sheetId="80" r:id="rId46"/>
    <sheet name="台账" sheetId="81" r:id="rId47"/>
    <sheet name="大宗交易案例" sheetId="82" r:id="rId48"/>
    <sheet name="各年收入情况" sheetId="83"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7" hidden="1">大宗交易案例!$A$1:$AO$1</definedName>
    <definedName name="_xlnm._FilterDatabase" localSheetId="12" hidden="1">'数据-基础表'!$A$12:$AT$587</definedName>
    <definedName name="_xlnm._FilterDatabase" localSheetId="46" hidden="1">台账!$A$3:$N$188</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F25" i="9"/>
  <c r="G26" i="9"/>
  <c r="F26" i="9"/>
  <c r="F24" i="9"/>
  <c r="E6" i="83"/>
  <c r="K191" i="81" l="1"/>
  <c r="K189" i="81"/>
  <c r="B5" i="77"/>
  <c r="E86" i="80"/>
  <c r="N6" i="1" l="1"/>
  <c r="E36" i="33" l="1"/>
  <c r="G36" i="33"/>
  <c r="I36" i="33"/>
  <c r="E33" i="33"/>
  <c r="I33" i="33"/>
  <c r="C36" i="33"/>
  <c r="G11" i="33"/>
  <c r="I12" i="33"/>
  <c r="G12" i="33"/>
  <c r="F104" i="33"/>
  <c r="G104" i="33" s="1"/>
  <c r="H104" i="33" s="1"/>
  <c r="E104" i="33"/>
  <c r="I47" i="33"/>
  <c r="G47" i="33"/>
  <c r="E7" i="33"/>
  <c r="I7" i="33"/>
  <c r="G7" i="33"/>
  <c r="E59" i="33"/>
  <c r="F59" i="33" s="1"/>
  <c r="G59" i="33" s="1"/>
  <c r="H59" i="33" s="1"/>
  <c r="I59" i="33" s="1"/>
  <c r="J59" i="33" s="1"/>
  <c r="K59" i="33" s="1"/>
  <c r="L59" i="33" s="1"/>
  <c r="M59" i="33" s="1"/>
  <c r="D59" i="33"/>
  <c r="E47" i="33"/>
  <c r="J3" i="33"/>
  <c r="H3" i="33"/>
  <c r="F3" i="33"/>
  <c r="I5" i="33"/>
  <c r="G5" i="33"/>
  <c r="E5" i="33"/>
  <c r="Y6" i="1" l="1"/>
  <c r="K188" i="81" l="1"/>
  <c r="K187" i="81"/>
  <c r="K186" i="81"/>
  <c r="K185" i="81"/>
  <c r="K184" i="81"/>
  <c r="K183" i="81"/>
  <c r="K182" i="81"/>
  <c r="K181" i="81"/>
  <c r="K180" i="81"/>
  <c r="K179" i="81"/>
  <c r="K178" i="81"/>
  <c r="K177" i="81"/>
  <c r="K176" i="81"/>
  <c r="K175" i="81"/>
  <c r="K174" i="81"/>
  <c r="K173" i="81"/>
  <c r="K172" i="81"/>
  <c r="K171" i="81"/>
  <c r="K170" i="81"/>
  <c r="K169" i="81"/>
  <c r="K168" i="81"/>
  <c r="K167" i="81"/>
  <c r="K166" i="81"/>
  <c r="K165" i="81"/>
  <c r="K164" i="81"/>
  <c r="K163" i="81"/>
  <c r="K162" i="81"/>
  <c r="K161" i="81"/>
  <c r="K160" i="81"/>
  <c r="K159" i="81"/>
  <c r="K158" i="81"/>
  <c r="K157" i="81"/>
  <c r="K156" i="81"/>
  <c r="K155" i="81"/>
  <c r="K154" i="81"/>
  <c r="K153" i="81"/>
  <c r="K152" i="81"/>
  <c r="K151" i="81"/>
  <c r="K150" i="81"/>
  <c r="K149" i="81"/>
  <c r="K148" i="81"/>
  <c r="K147" i="81"/>
  <c r="K146" i="81"/>
  <c r="K145" i="81"/>
  <c r="K144" i="81"/>
  <c r="K143" i="81"/>
  <c r="K142" i="81"/>
  <c r="K141" i="81"/>
  <c r="K140" i="81"/>
  <c r="K139" i="81"/>
  <c r="K138" i="81"/>
  <c r="K137" i="81"/>
  <c r="K136" i="81"/>
  <c r="K135" i="81"/>
  <c r="K134" i="81"/>
  <c r="K133" i="81"/>
  <c r="K132" i="81"/>
  <c r="K131" i="81"/>
  <c r="K130" i="81"/>
  <c r="K129" i="81"/>
  <c r="K128" i="81"/>
  <c r="K127" i="81"/>
  <c r="K126" i="81"/>
  <c r="K125" i="81"/>
  <c r="K124" i="81"/>
  <c r="K123" i="81"/>
  <c r="K122" i="81"/>
  <c r="K121" i="81"/>
  <c r="K120" i="81"/>
  <c r="K119" i="81"/>
  <c r="K118" i="81"/>
  <c r="K117" i="81"/>
  <c r="K116" i="81"/>
  <c r="K115" i="81"/>
  <c r="K114" i="81"/>
  <c r="K113" i="81"/>
  <c r="K112" i="81"/>
  <c r="K111" i="81"/>
  <c r="K110" i="81"/>
  <c r="K109" i="81"/>
  <c r="K108" i="81"/>
  <c r="K107" i="81"/>
  <c r="K106" i="81"/>
  <c r="K105" i="81"/>
  <c r="K104" i="81"/>
  <c r="K103" i="81"/>
  <c r="K102" i="81"/>
  <c r="K101" i="81"/>
  <c r="K100" i="81"/>
  <c r="K99" i="81"/>
  <c r="K98" i="81"/>
  <c r="K97" i="81"/>
  <c r="K96" i="81"/>
  <c r="K95" i="81"/>
  <c r="K94" i="81"/>
  <c r="K93" i="81"/>
  <c r="K92" i="81"/>
  <c r="K91" i="81"/>
  <c r="K90" i="81"/>
  <c r="K89" i="81"/>
  <c r="K88" i="81"/>
  <c r="K87" i="81"/>
  <c r="K86" i="81"/>
  <c r="K85" i="81"/>
  <c r="K84" i="81"/>
  <c r="K83" i="81"/>
  <c r="K82" i="81"/>
  <c r="K81" i="81"/>
  <c r="K80" i="81"/>
  <c r="K79" i="81"/>
  <c r="K78" i="81"/>
  <c r="K77" i="81"/>
  <c r="K75" i="81"/>
  <c r="K74" i="81"/>
  <c r="K73" i="81"/>
  <c r="K72" i="81"/>
  <c r="K71" i="81"/>
  <c r="K70" i="81"/>
  <c r="K69" i="81"/>
  <c r="K68" i="81"/>
  <c r="K67" i="81"/>
  <c r="K66" i="81"/>
  <c r="K65" i="81"/>
  <c r="K64" i="81"/>
  <c r="K63" i="81"/>
  <c r="K62" i="81"/>
  <c r="K61" i="81"/>
  <c r="K60" i="81"/>
  <c r="K59" i="81"/>
  <c r="K58" i="81"/>
  <c r="K57" i="81"/>
  <c r="K56" i="81"/>
  <c r="K55" i="81"/>
  <c r="K54" i="81"/>
  <c r="K53" i="81"/>
  <c r="K52" i="81"/>
  <c r="K51" i="81"/>
  <c r="K50" i="81"/>
  <c r="K49" i="81"/>
  <c r="K47" i="81"/>
  <c r="K46" i="81"/>
  <c r="K45" i="81"/>
  <c r="K44" i="81"/>
  <c r="K43" i="81"/>
  <c r="K42" i="81"/>
  <c r="K41" i="81"/>
  <c r="K40" i="81"/>
  <c r="K39" i="81"/>
  <c r="K38" i="81"/>
  <c r="K37" i="81"/>
  <c r="K36" i="81"/>
  <c r="K35" i="81"/>
  <c r="K34" i="81"/>
  <c r="K33" i="81"/>
  <c r="K32" i="81"/>
  <c r="K31" i="81"/>
  <c r="K30" i="81"/>
  <c r="K29" i="81"/>
  <c r="K28" i="81"/>
  <c r="K27" i="81"/>
  <c r="K26" i="81"/>
  <c r="K25" i="81"/>
  <c r="K24" i="81"/>
  <c r="K23" i="81"/>
  <c r="K22" i="81"/>
  <c r="K21" i="81"/>
  <c r="K20" i="81"/>
  <c r="K19" i="81"/>
  <c r="K18" i="81"/>
  <c r="K17" i="81"/>
  <c r="K16" i="81"/>
  <c r="K15" i="81"/>
  <c r="K14" i="81"/>
  <c r="K13" i="81"/>
  <c r="K12" i="81"/>
  <c r="K11" i="81"/>
  <c r="K10" i="81"/>
  <c r="K9" i="81"/>
  <c r="K8" i="81"/>
  <c r="K7" i="81"/>
  <c r="K6" i="81"/>
  <c r="K5" i="81"/>
  <c r="K4" i="81"/>
  <c r="E29" i="80" l="1"/>
  <c r="D29" i="80"/>
  <c r="C29" i="80"/>
  <c r="E28" i="80"/>
  <c r="D28" i="80"/>
  <c r="F28" i="80" s="1"/>
  <c r="U3" i="43" s="1"/>
  <c r="C28" i="80"/>
  <c r="E27" i="80"/>
  <c r="D27" i="80"/>
  <c r="C27" i="80"/>
  <c r="E26" i="80"/>
  <c r="D26" i="80"/>
  <c r="D30" i="80" s="1"/>
  <c r="C26" i="80"/>
  <c r="C30" i="80" l="1"/>
  <c r="F30" i="80" s="1"/>
  <c r="E30" i="80"/>
  <c r="F27" i="80"/>
  <c r="F29" i="80"/>
  <c r="U4" i="43" s="1"/>
  <c r="F26" i="80"/>
  <c r="B3" i="4"/>
  <c r="I13" i="3" l="1"/>
  <c r="F19" i="6" s="1"/>
  <c r="U2" i="43"/>
  <c r="D33" i="43" s="1"/>
  <c r="K13" i="3"/>
  <c r="G19" i="6" s="1"/>
  <c r="D37" i="43"/>
  <c r="E7" i="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N14" i="77"/>
  <c r="M14" i="77"/>
  <c r="D14" i="77"/>
  <c r="R13" i="77"/>
  <c r="R12" i="77"/>
  <c r="R11" i="77"/>
  <c r="R10" i="77"/>
  <c r="D10" i="77"/>
  <c r="R9" i="77"/>
  <c r="D9" i="77"/>
  <c r="R8" i="77"/>
  <c r="R7" i="77"/>
  <c r="R4" i="77"/>
  <c r="R3" i="77"/>
  <c r="R14" i="77" l="1"/>
  <c r="R24" i="77" s="1"/>
  <c r="R25" i="77"/>
  <c r="D29" i="77"/>
  <c r="E23" i="77"/>
  <c r="D26" i="77"/>
  <c r="C29" i="77"/>
  <c r="R35" i="77"/>
  <c r="U34" i="77" s="1"/>
  <c r="AH9" i="71"/>
  <c r="AG9" i="71"/>
  <c r="AE9" i="71"/>
  <c r="AF9" i="71" s="1"/>
  <c r="AD9" i="71"/>
  <c r="Q9" i="71"/>
  <c r="P9" i="71"/>
  <c r="O9" i="71"/>
  <c r="N9" i="71"/>
  <c r="D32" i="77" l="1"/>
  <c r="D38" i="77" s="1"/>
  <c r="R19" i="77"/>
  <c r="R5" i="77" s="1"/>
  <c r="U5" i="77" s="1"/>
  <c r="E26" i="77"/>
  <c r="E29" i="77"/>
  <c r="AH10" i="71"/>
  <c r="AG10" i="71"/>
  <c r="AE10" i="71"/>
  <c r="AF10" i="71" s="1"/>
  <c r="AD10" i="71"/>
  <c r="Q10" i="71"/>
  <c r="AB9" i="71" s="1"/>
  <c r="P10" i="71"/>
  <c r="AA9" i="71" s="1"/>
  <c r="O10" i="71"/>
  <c r="Y9" i="71" s="1"/>
  <c r="Z9" i="71" s="1"/>
  <c r="N10" i="71"/>
  <c r="X9" i="71" s="1"/>
  <c r="E32" i="77" l="1"/>
  <c r="E38" i="77" s="1"/>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J21" i="33"/>
  <c r="AC21" i="33" s="1"/>
  <c r="F83" i="21"/>
  <c r="H21" i="21"/>
  <c r="F38" i="69"/>
  <c r="E37" i="69"/>
  <c r="F36" i="69"/>
  <c r="F35" i="69"/>
  <c r="F21" i="69"/>
  <c r="F40" i="69" s="1"/>
  <c r="F20" i="69"/>
  <c r="F39" i="69" s="1"/>
  <c r="E10" i="69"/>
  <c r="E9" i="69"/>
  <c r="AC21" i="37"/>
  <c r="W21" i="37"/>
  <c r="AC21" i="34"/>
  <c r="W21" i="34"/>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F27" i="33" s="1"/>
  <c r="AA27" i="33" s="1"/>
  <c r="D87" i="33"/>
  <c r="E87" i="33"/>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c r="Q33" i="33"/>
  <c r="Z33" i="33"/>
  <c r="Q32" i="33"/>
  <c r="Z32" i="33"/>
  <c r="Q31" i="33"/>
  <c r="Z31" i="33"/>
  <c r="Q30" i="33"/>
  <c r="Z30" i="33"/>
  <c r="Q29" i="33"/>
  <c r="Z29" i="33"/>
  <c r="Q28" i="33"/>
  <c r="Z28" i="33" s="1"/>
  <c r="Q27" i="33"/>
  <c r="Z27" i="33" s="1"/>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5" i="33"/>
  <c r="AB15" i="33" s="1"/>
  <c r="F28" i="40"/>
  <c r="AA28" i="40"/>
  <c r="AA29" i="35"/>
  <c r="AA42" i="34"/>
  <c r="S42" i="34"/>
  <c r="AC38" i="34"/>
  <c r="AA38" i="34"/>
  <c r="J37" i="34"/>
  <c r="AC37" i="34"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26" i="33"/>
  <c r="AB30" i="21"/>
  <c r="AA14" i="37"/>
  <c r="W31" i="34"/>
  <c r="AC13" i="36"/>
  <c r="W13" i="36"/>
  <c r="S11" i="36"/>
  <c r="AB46" i="34"/>
  <c r="AC30" i="34"/>
  <c r="AA14" i="34"/>
  <c r="AB45"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S28" i="31"/>
  <c r="S27" i="31"/>
  <c r="S26" i="31"/>
  <c r="U14" i="40"/>
  <c r="U35" i="35"/>
  <c r="AA12" i="35"/>
  <c r="W23" i="35"/>
  <c r="W14" i="37"/>
  <c r="AB28" i="37"/>
  <c r="U33" i="37"/>
  <c r="U39" i="37"/>
  <c r="W26" i="37"/>
  <c r="U26" i="37"/>
  <c r="W47" i="34"/>
  <c r="AB13" i="34"/>
  <c r="AC36" i="34"/>
  <c r="AC31" i="33"/>
  <c r="AC45" i="33"/>
  <c r="W44"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AA12" i="33" s="1"/>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F36" i="33"/>
  <c r="AA36" i="33" s="1"/>
  <c r="G111" i="33"/>
  <c r="J35" i="33"/>
  <c r="AC35" i="33" s="1"/>
  <c r="S37" i="33"/>
  <c r="AA37" i="33"/>
  <c r="F101" i="33"/>
  <c r="G101" i="33"/>
  <c r="H101" i="33" s="1"/>
  <c r="I101" i="33" s="1"/>
  <c r="J101" i="33" s="1"/>
  <c r="K101" i="33" s="1"/>
  <c r="L101" i="33" s="1"/>
  <c r="M101" i="33" s="1"/>
  <c r="J32" i="33"/>
  <c r="W32" i="33" s="1"/>
  <c r="S46" i="33"/>
  <c r="W43" i="33"/>
  <c r="S43" i="33"/>
  <c r="H27" i="33"/>
  <c r="AB27" i="33" s="1"/>
  <c r="F87" i="33"/>
  <c r="G87" i="33" s="1"/>
  <c r="H87" i="33" s="1"/>
  <c r="I87" i="33" s="1"/>
  <c r="J87" i="33" s="1"/>
  <c r="K87" i="33" s="1"/>
  <c r="L87" i="33" s="1"/>
  <c r="M87" i="33" s="1"/>
  <c r="H25" i="33"/>
  <c r="F25" i="33"/>
  <c r="S25" i="33" s="1"/>
  <c r="J23" i="33"/>
  <c r="AC23" i="33" s="1"/>
  <c r="H23" i="33"/>
  <c r="AB23" i="33" s="1"/>
  <c r="F19" i="33"/>
  <c r="AA19" i="33" s="1"/>
  <c r="W19" i="33"/>
  <c r="S15" i="33"/>
  <c r="W15" i="33"/>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U44" i="33"/>
  <c r="AB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H111" i="33"/>
  <c r="I111" i="33"/>
  <c r="J111" i="33"/>
  <c r="K111" i="33"/>
  <c r="L111" i="33"/>
  <c r="M111" i="33"/>
  <c r="J36" i="33"/>
  <c r="W36" i="33" s="1"/>
  <c r="H36" i="33"/>
  <c r="U36" i="33" s="1"/>
  <c r="S36" i="33"/>
  <c r="U27" i="33"/>
  <c r="J27" i="33"/>
  <c r="AC27" i="33" s="1"/>
  <c r="U25" i="33"/>
  <c r="AB25" i="33"/>
  <c r="AA25" i="33"/>
  <c r="J25" i="33"/>
  <c r="W25" i="33" s="1"/>
  <c r="F23" i="33"/>
  <c r="H19" i="33"/>
  <c r="AB19" i="33" s="1"/>
  <c r="H17" i="33"/>
  <c r="AB17" i="33" s="1"/>
  <c r="F17" i="33"/>
  <c r="AA17" i="33" s="1"/>
  <c r="S37" i="21"/>
  <c r="AA23" i="21"/>
  <c r="AB15" i="21"/>
  <c r="J23" i="21"/>
  <c r="F85" i="21"/>
  <c r="G85" i="21"/>
  <c r="H23" i="21"/>
  <c r="S13" i="21"/>
  <c r="D6" i="52"/>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A23" i="33"/>
  <c r="S23" i="33"/>
  <c r="U19" i="33"/>
  <c r="U23" i="21"/>
  <c r="AB23" i="21"/>
  <c r="AC23" i="21"/>
  <c r="W23" i="21"/>
  <c r="H109" i="9"/>
  <c r="D16" i="53" s="1"/>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L48" i="67"/>
  <c r="F42" i="15"/>
  <c r="M28" i="15"/>
  <c r="F43" i="15"/>
  <c r="F13" i="15"/>
  <c r="M6" i="15"/>
  <c r="J15" i="15"/>
  <c r="E13" i="76"/>
  <c r="M23" i="15"/>
  <c r="M29" i="67"/>
  <c r="F9" i="15"/>
  <c r="M8" i="67"/>
  <c r="F36" i="15"/>
  <c r="D35" i="9"/>
  <c r="C76" i="15"/>
  <c r="B11" i="76"/>
  <c r="F7" i="15"/>
  <c r="D7" i="73"/>
  <c r="E10" i="76"/>
  <c r="F8" i="15"/>
  <c r="F26" i="67"/>
  <c r="B13" i="76"/>
  <c r="F16" i="67"/>
  <c r="J15" i="67"/>
  <c r="E9" i="76"/>
  <c r="F43" i="67"/>
  <c r="F3" i="73"/>
  <c r="M9" i="15"/>
  <c r="M29" i="15"/>
  <c r="D3" i="73"/>
  <c r="D6" i="73"/>
  <c r="D5" i="73"/>
  <c r="E2" i="69"/>
  <c r="F16" i="15"/>
  <c r="F38" i="67"/>
  <c r="B10" i="76"/>
  <c r="M24" i="15"/>
  <c r="M24" i="67"/>
  <c r="B8" i="76"/>
  <c r="L47" i="15"/>
  <c r="M22" i="67"/>
  <c r="D4" i="73"/>
  <c r="B7" i="76"/>
  <c r="F42" i="67"/>
  <c r="E7" i="76"/>
  <c r="F13" i="67"/>
  <c r="M23" i="67"/>
  <c r="M26" i="15"/>
  <c r="E8" i="76"/>
  <c r="M6" i="67"/>
  <c r="AO13" i="1"/>
  <c r="C76" i="67"/>
  <c r="F20" i="31"/>
  <c r="E11" i="76"/>
  <c r="B12" i="76"/>
  <c r="F38" i="15"/>
  <c r="F6" i="73"/>
  <c r="F7" i="67"/>
  <c r="F37" i="67"/>
  <c r="F6" i="15"/>
  <c r="F26" i="15"/>
  <c r="L48" i="15"/>
  <c r="F40" i="67"/>
  <c r="D34" i="9"/>
  <c r="F5" i="73"/>
  <c r="M8" i="15"/>
  <c r="B9" i="76"/>
  <c r="F9" i="67"/>
  <c r="F37" i="15"/>
  <c r="F4" i="73"/>
  <c r="E12" i="76"/>
  <c r="F40" i="15"/>
  <c r="F8" i="67"/>
  <c r="F36" i="67"/>
  <c r="M28" i="67"/>
  <c r="M26" i="67"/>
  <c r="M22" i="15"/>
  <c r="E2" i="68"/>
  <c r="F6" i="67"/>
  <c r="M9" i="67"/>
  <c r="F7" i="73"/>
  <c r="D19" i="53" l="1"/>
  <c r="B38" i="72" s="1"/>
  <c r="D21" i="53"/>
  <c r="B39" i="72" s="1"/>
  <c r="C18" i="9"/>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13" i="3"/>
  <c r="AC25" i="33"/>
  <c r="S27" i="33"/>
  <c r="W23" i="33"/>
  <c r="U23" i="33"/>
  <c r="W21" i="33"/>
  <c r="S38" i="33"/>
  <c r="S39" i="33"/>
  <c r="S45" i="33"/>
  <c r="U46" i="33"/>
  <c r="AA35" i="33"/>
  <c r="U35" i="33"/>
  <c r="AC34" i="33"/>
  <c r="AB34" i="33"/>
  <c r="AA34" i="33"/>
  <c r="S42" i="33"/>
  <c r="U42" i="33"/>
  <c r="AB36" i="33"/>
  <c r="S32" i="33"/>
  <c r="U32" i="33"/>
  <c r="AC32" i="33"/>
  <c r="S19" i="33"/>
  <c r="J17" i="33"/>
  <c r="F79" i="33"/>
  <c r="G79" i="33" s="1"/>
  <c r="U17" i="33"/>
  <c r="U15" i="33"/>
  <c r="S17" i="33"/>
  <c r="AA13" i="33"/>
  <c r="G6" i="1"/>
  <c r="I24" i="43"/>
  <c r="C28" i="67"/>
  <c r="G28" i="6"/>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D18" i="9" l="1"/>
  <c r="AC17" i="33"/>
  <c r="W17" i="33"/>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C33" i="33" l="1"/>
  <c r="B4" i="77"/>
  <c r="E65" i="39"/>
  <c r="L37" i="43"/>
  <c r="P36" i="43"/>
  <c r="N36" i="43"/>
  <c r="Q36" i="43"/>
  <c r="O36" i="43"/>
  <c r="M36" i="43"/>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H33" i="33" l="1"/>
  <c r="J33" i="33"/>
  <c r="F33" i="33"/>
  <c r="C36" i="77"/>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H21" i="6" l="1"/>
  <c r="H25" i="6"/>
  <c r="AA33" i="33"/>
  <c r="S33" i="33"/>
  <c r="AB33" i="33"/>
  <c r="U33" i="33"/>
  <c r="AC33" i="33"/>
  <c r="W33" i="33"/>
  <c r="F36" i="77"/>
  <c r="D39" i="77"/>
  <c r="E39" i="77"/>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H58" i="21"/>
  <c r="E47" i="37"/>
  <c r="F47" i="37" s="1"/>
  <c r="E46" i="37"/>
  <c r="F46" i="37" s="1"/>
  <c r="I47" i="37"/>
  <c r="J47" i="37" s="1"/>
  <c r="C33" i="15"/>
  <c r="C22" i="11"/>
  <c r="C31" i="11" s="1"/>
  <c r="C33" i="67"/>
  <c r="J19" i="67"/>
  <c r="C34" i="68"/>
  <c r="B6" i="76"/>
  <c r="C14" i="15"/>
  <c r="B3" i="43" l="1"/>
  <c r="C6" i="68"/>
  <c r="C7" i="68" s="1"/>
  <c r="C5"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B2" i="76"/>
  <c r="I69" i="39"/>
  <c r="J67" i="39"/>
  <c r="D9" i="71"/>
  <c r="I63" i="40"/>
  <c r="H65" i="40"/>
  <c r="I58" i="21"/>
  <c r="J58" i="21" s="1"/>
  <c r="K58" i="21" s="1"/>
  <c r="L58" i="21" s="1"/>
  <c r="M58" i="21" s="1"/>
  <c r="N58" i="21" s="1"/>
  <c r="O58" i="21" s="1"/>
  <c r="H7" i="21" s="1"/>
  <c r="F7" i="21"/>
  <c r="J48" i="35"/>
  <c r="C23" i="68" l="1"/>
  <c r="C11" i="33"/>
  <c r="G3" i="43"/>
  <c r="C21" i="12"/>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F26" i="43" l="1"/>
  <c r="G26" i="43"/>
  <c r="N370" i="46"/>
  <c r="H26" i="43"/>
  <c r="J26" i="43"/>
  <c r="E26" i="43"/>
  <c r="N94" i="46"/>
  <c r="B116" i="43"/>
  <c r="Z7" i="43"/>
  <c r="J11" i="33"/>
  <c r="F11" i="33"/>
  <c r="H11" i="33"/>
  <c r="C27" i="12"/>
  <c r="C25" i="12" s="1"/>
  <c r="C30" i="12"/>
  <c r="C28" i="12" s="1"/>
  <c r="D6" i="71"/>
  <c r="C5" i="7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AB11" i="33" l="1"/>
  <c r="T48" i="33" s="1"/>
  <c r="G48" i="33" s="1"/>
  <c r="U11" i="33"/>
  <c r="W11" i="33"/>
  <c r="AC11" i="33"/>
  <c r="V48" i="33" s="1"/>
  <c r="I48" i="33" s="1"/>
  <c r="I52" i="33" s="1"/>
  <c r="J52" i="3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AA11" i="33"/>
  <c r="R48" i="33" s="1"/>
  <c r="S11" i="33"/>
  <c r="E11" i="77"/>
  <c r="E7" i="77" s="1"/>
  <c r="C27" i="77" s="1"/>
  <c r="D7" i="77"/>
  <c r="C26" i="77" s="1"/>
  <c r="C32" i="77" s="1"/>
  <c r="C38" i="77" s="1"/>
  <c r="G25" i="9"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H24" i="9"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39" i="77" l="1"/>
  <c r="B24" i="31"/>
  <c r="E48" i="33"/>
  <c r="R49" i="33"/>
  <c r="C118" i="43"/>
  <c r="D116" i="43" s="1"/>
  <c r="C33" i="43"/>
  <c r="G53" i="33"/>
  <c r="H53" i="33" s="1"/>
  <c r="G52" i="33"/>
  <c r="H52" i="33" s="1"/>
  <c r="C102" i="9"/>
  <c r="C21" i="9"/>
  <c r="B3" i="68"/>
  <c r="H25" i="9"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E6" i="76"/>
  <c r="L51" i="67"/>
  <c r="C20" i="9"/>
  <c r="C40" i="77" l="1"/>
  <c r="G24" i="9"/>
  <c r="F27" i="9" s="1"/>
  <c r="B22" i="31"/>
  <c r="S24" i="31"/>
  <c r="S22" i="31" s="1"/>
  <c r="E2" i="76"/>
  <c r="B3" i="76" s="1"/>
  <c r="C48" i="33"/>
  <c r="C49" i="33"/>
  <c r="E33" i="43"/>
  <c r="I53" i="33"/>
  <c r="J53" i="33" s="1"/>
  <c r="E53" i="33"/>
  <c r="F53" i="33" s="1"/>
  <c r="E52" i="33"/>
  <c r="F52" i="33" s="1"/>
  <c r="C103" i="9"/>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F28" i="9" l="1"/>
  <c r="D14" i="74"/>
  <c r="G14" i="74" s="1"/>
  <c r="C41" i="77"/>
  <c r="B2" i="77"/>
  <c r="B3" i="77" s="1"/>
  <c r="R22" i="31"/>
  <c r="B20" i="31"/>
  <c r="B21" i="31" s="1"/>
  <c r="Q69" i="15"/>
  <c r="Q68" i="15" s="1"/>
  <c r="H33" i="1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D2" i="34"/>
  <c r="D2" i="35"/>
  <c r="L51" i="1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0" i="1"/>
  <c r="AO12" i="1"/>
  <c r="AO9" i="1"/>
  <c r="AO8"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B6" i="70" l="1"/>
  <c r="B2" i="70" s="1"/>
  <c r="B3" i="70" s="1"/>
  <c r="D21" i="9"/>
  <c r="G19" i="9"/>
  <c r="G21" i="9" s="1"/>
  <c r="D102" i="9"/>
  <c r="D22" i="9"/>
  <c r="D103" i="9"/>
  <c r="G20" i="9"/>
  <c r="C32" i="9" s="1"/>
  <c r="C35" i="9" s="1"/>
  <c r="C34"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F118" i="9"/>
  <c r="F4" i="52" s="1"/>
  <c r="B51" i="72" s="1"/>
  <c r="H118" i="9"/>
  <c r="H4" i="52" s="1"/>
  <c r="F119" i="9" l="1"/>
  <c r="F5" i="52" s="1"/>
  <c r="B53" i="72" s="1"/>
  <c r="H101" i="9"/>
  <c r="M48" i="9" s="1"/>
  <c r="I118" i="9"/>
  <c r="C105" i="9" s="1"/>
  <c r="G118" i="9"/>
  <c r="G4" i="52" s="1"/>
  <c r="B52" i="72" s="1"/>
  <c r="D119" i="9"/>
  <c r="D5" i="52" s="1"/>
  <c r="B49" i="72" s="1"/>
  <c r="H119" i="9"/>
  <c r="H5" i="52" s="1"/>
  <c r="C104" i="9"/>
  <c r="D5" i="53" l="1"/>
  <c r="B20" i="72" s="1"/>
  <c r="D45" i="9"/>
  <c r="C78" i="9" s="1"/>
  <c r="C73" i="9" s="1"/>
  <c r="H102" i="9"/>
  <c r="D7" i="53" s="1"/>
  <c r="B21" i="72" s="1"/>
  <c r="H107" i="9"/>
  <c r="D122" i="9" s="1"/>
  <c r="I4" i="52"/>
  <c r="E118" i="9"/>
  <c r="E4" i="52" s="1"/>
  <c r="B48" i="72" s="1"/>
  <c r="C5" i="74"/>
  <c r="D53" i="9"/>
  <c r="D48" i="9" s="1"/>
  <c r="M52" i="9" s="1"/>
  <c r="D13" i="53" l="1"/>
  <c r="D14" i="53" s="1"/>
  <c r="B32" i="72" s="1"/>
  <c r="D52" i="9"/>
  <c r="C64" i="9"/>
  <c r="C63" i="9" s="1"/>
  <c r="C67" i="9" s="1"/>
  <c r="C68" i="9" s="1"/>
  <c r="D54" i="9" s="1"/>
  <c r="D55" i="9"/>
  <c r="M53" i="9" s="1"/>
  <c r="D6" i="53"/>
  <c r="B22" i="72" s="1"/>
  <c r="C85" i="9"/>
  <c r="C93" i="9"/>
  <c r="C86" i="9" s="1"/>
  <c r="C72" i="9"/>
  <c r="C79" i="9" s="1"/>
  <c r="C80" i="9" s="1"/>
  <c r="E80" i="9" s="1"/>
  <c r="E81" i="9" s="1"/>
  <c r="H108" i="9"/>
  <c r="C6" i="74" s="1"/>
  <c r="M49" i="9"/>
  <c r="L63" i="9" s="1"/>
  <c r="M63" i="9" s="1"/>
  <c r="D8" i="52"/>
  <c r="D123" i="9"/>
  <c r="D9" i="52" s="1"/>
  <c r="B30" i="72"/>
  <c r="D59" i="9" l="1"/>
  <c r="M55" i="9" s="1"/>
  <c r="C95" i="9"/>
  <c r="L68" i="9"/>
  <c r="M68" i="9" s="1"/>
  <c r="L66" i="9"/>
  <c r="M66" i="9" s="1"/>
  <c r="D15" i="53"/>
  <c r="B31" i="72" s="1"/>
  <c r="L64" i="9"/>
  <c r="M64" i="9" s="1"/>
  <c r="L65" i="9"/>
  <c r="M65" i="9" s="1"/>
  <c r="L67" i="9"/>
  <c r="M67" i="9" s="1"/>
  <c r="C81" i="9"/>
  <c r="C96" i="9"/>
  <c r="E96" i="9" s="1"/>
  <c r="E97" i="9" s="1"/>
  <c r="M69" i="9" l="1"/>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<sst xmlns="http://schemas.openxmlformats.org/spreadsheetml/2006/main" count="9519" uniqueCount="4474">
  <si>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</si>
  <si>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</si>
  <si>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</si>
  <si>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</si>
  <si>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</si>
  <si>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</si>
  <si>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</si>
  <si>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</si>
  <si>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</si>
  <si>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</si>
  <si>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</si>
  <si>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</si>
  <si>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</si>
  <si>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</si>
  <si>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</si>
  <si>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</si>
  <si>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</si>
  <si>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</si>
  <si>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</si>
  <si>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</si>
  <si>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</si>
  <si>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</si>
  <si>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</si>
  <si>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</si>
  <si>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</si>
  <si>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</si>
  <si>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</si>
  <si>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</si>
  <si>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</si>
  <si>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</si>
  <si>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</si>
  <si>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</si>
  <si>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</si>
  <si>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</si>
  <si>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</si>
  <si>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</si>
  <si>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</si>
  <si>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</si>
  <si>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</si>
  <si>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</si>
  <si>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</si>
  <si>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</si>
  <si>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</si>
  <si>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</si>
  <si>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</si>
  <si>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</si>
  <si>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</si>
  <si>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</si>
  <si>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</si>
  <si>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</si>
  <si>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</si>
  <si>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</si>
  <si>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</si>
  <si>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</si>
  <si>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</si>
  <si>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</si>
  <si>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</si>
  <si>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</si>
  <si>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</si>
  <si>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</si>
  <si>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</si>
  <si>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</si>
  <si>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</si>
  <si>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</si>
  <si>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</si>
  <si>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</si>
  <si>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</si>
  <si>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</si>
  <si>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</si>
  <si>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</si>
  <si>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</si>
  <si>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</si>
  <si>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</si>
  <si>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</si>
  <si>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</si>
  <si>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</si>
  <si>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</si>
  <si>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</si>
  <si>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</si>
  <si>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</si>
  <si>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</si>
  <si>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</si>
  <si>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</si>
  <si>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</si>
  <si>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</si>
  <si>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</si>
  <si>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</si>
  <si>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</si>
  <si>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</si>
  <si>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</si>
  <si>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</si>
  <si>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</si>
  <si>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</si>
  <si>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</si>
  <si>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</si>
  <si>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</si>
  <si>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</si>
  <si>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</si>
  <si>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</si>
  <si>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</si>
  <si>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</si>
  <si>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</si>
  <si>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</si>
  <si>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</si>
  <si>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</si>
  <si>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</si>
  <si>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</si>
  <si>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</si>
  <si>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</si>
  <si>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</si>
  <si>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</si>
  <si>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</si>
  <si>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</si>
  <si>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</si>
  <si>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</si>
  <si>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</si>
  <si>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</si>
  <si>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</si>
  <si>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</si>
  <si>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</si>
  <si>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</si>
  <si>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</si>
  <si>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</si>
  <si>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</si>
  <si>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</si>
  <si>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</si>
  <si>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</si>
  <si>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</si>
  <si>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</si>
  <si>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</si>
  <si>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</si>
  <si>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</si>
  <si>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</si>
  <si>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</si>
  <si>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</si>
  <si>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</si>
  <si>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</si>
  <si>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</si>
  <si>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</si>
  <si>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</si>
  <si>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</si>
  <si>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</si>
  <si>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</si>
  <si>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</si>
  <si>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</si>
  <si>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</si>
  <si>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</si>
  <si>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</si>
  <si>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</si>
  <si>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</si>
  <si>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</si>
  <si>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</si>
  <si>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</si>
  <si>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</si>
  <si>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</si>
  <si>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</si>
  <si>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</si>
  <si>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</si>
  <si>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</si>
  <si>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</si>
  <si>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</si>
  <si>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</si>
  <si>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</si>
  <si>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</si>
  <si>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</si>
  <si>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</si>
  <si>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</si>
  <si>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</si>
  <si>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</si>
  <si>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</si>
  <si>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</si>
  <si>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</si>
  <si>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</si>
  <si>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</si>
  <si>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</si>
  <si>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</si>
  <si>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</si>
  <si>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</si>
  <si>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</si>
  <si>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</si>
  <si>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</si>
  <si>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</si>
  <si>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</si>
  <si>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</si>
  <si>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</si>
  <si>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</si>
  <si>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</si>
  <si>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</si>
  <si>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</si>
  <si>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</si>
  <si>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</si>
  <si>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</si>
  <si>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</si>
  <si>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</si>
  <si>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</si>
  <si>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</si>
  <si>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</si>
  <si>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</si>
  <si>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</si>
  <si>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</si>
  <si>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</si>
  <si>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</si>
  <si>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</si>
  <si>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</si>
  <si>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</si>
  <si>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</si>
  <si>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</si>
  <si>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</si>
  <si>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</si>
  <si>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</si>
  <si>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</si>
  <si>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</si>
  <si>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</si>
  <si>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</si>
  <si>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</si>
  <si>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</si>
  <si>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</si>
  <si>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</si>
  <si>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</si>
  <si>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</si>
  <si>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</si>
  <si>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</si>
  <si>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</si>
  <si>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</si>
  <si>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</si>
  <si>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</si>
  <si>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</si>
  <si>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</si>
  <si>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</si>
  <si>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</si>
  <si>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</si>
  <si>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</si>
  <si>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</si>
  <si>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</si>
  <si>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</si>
  <si>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</si>
  <si>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</si>
  <si>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</si>
  <si>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</si>
  <si>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</si>
  <si>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</si>
  <si>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</si>
  <si>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</si>
  <si>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</si>
  <si>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</si>
  <si>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</si>
  <si>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</si>
  <si>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</si>
  <si>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</si>
  <si>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</si>
  <si>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</si>
  <si>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</si>
  <si>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</si>
  <si>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</si>
  <si>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</si>
  <si>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</si>
  <si>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</si>
  <si>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</si>
  <si>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</si>
  <si>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</si>
  <si>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</si>
  <si>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</si>
  <si>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</si>
  <si>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</si>
  <si>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</si>
  <si>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</si>
  <si>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</si>
  <si>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</si>
  <si>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</si>
  <si>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</si>
  <si>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</si>
  <si>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</si>
  <si>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</si>
  <si>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</si>
  <si>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</si>
  <si>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</si>
  <si>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</si>
  <si>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</si>
  <si>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</si>
  <si>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</si>
  <si>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</si>
  <si>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</si>
  <si>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</si>
  <si>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</si>
  <si>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</si>
  <si>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</si>
  <si>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</si>
  <si>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</si>
  <si>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</si>
  <si>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</si>
  <si>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</si>
  <si>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</si>
  <si>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</si>
  <si>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</si>
  <si>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</si>
  <si>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</si>
  <si>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</si>
  <si>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</si>
  <si>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</si>
  <si>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</si>
  <si>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</si>
  <si>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</si>
  <si>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</si>
  <si>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</si>
  <si>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</si>
  <si>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</si>
  <si>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</si>
  <si>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</si>
  <si>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</si>
  <si>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</si>
  <si>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</si>
  <si>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</si>
  <si>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</si>
  <si>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</si>
  <si>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</si>
  <si>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</si>
  <si>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</si>
  <si>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</si>
  <si>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</si>
  <si>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</si>
  <si>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</si>
  <si>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</si>
  <si>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</si>
  <si>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</si>
  <si>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</si>
  <si>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</si>
  <si>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</si>
  <si>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</si>
  <si>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</si>
  <si>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</si>
  <si>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</si>
  <si>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</si>
  <si>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</si>
  <si>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</si>
  <si>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</si>
  <si>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</si>
  <si>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</si>
  <si>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</si>
  <si>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</si>
  <si>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</si>
  <si>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</si>
  <si>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</si>
  <si>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</si>
  <si>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</si>
  <si>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</si>
  <si>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</si>
  <si>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</si>
  <si>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</si>
  <si>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</si>
  <si>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</si>
  <si>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</si>
  <si>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</si>
  <si>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</si>
  <si>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</si>
  <si>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</si>
  <si>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</si>
  <si>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</si>
  <si>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</si>
  <si>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</si>
  <si>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</si>
  <si>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</si>
  <si>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</si>
  <si>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</si>
  <si>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</si>
  <si>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</si>
  <si>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</si>
  <si>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</si>
  <si>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</si>
  <si>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</si>
  <si>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</si>
  <si>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</si>
  <si>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</si>
  <si>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</si>
  <si>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</si>
  <si>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</si>
  <si>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</si>
  <si>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</si>
  <si>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</si>
  <si>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</si>
  <si>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</si>
  <si>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</si>
  <si>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</si>
  <si>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</si>
  <si>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</si>
  <si>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</si>
  <si>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</si>
  <si>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</si>
  <si>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</si>
  <si>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</si>
  <si>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</si>
  <si>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</si>
  <si>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</si>
  <si>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</si>
  <si>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</si>
  <si>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</si>
  <si>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</si>
  <si>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</si>
  <si>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</si>
  <si>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</si>
  <si>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</si>
  <si>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</si>
  <si>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</si>
  <si>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</si>
  <si>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</si>
  <si>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</si>
  <si>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</si>
  <si>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</si>
  <si>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</si>
  <si>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</si>
  <si>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</si>
  <si>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</si>
  <si>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</si>
  <si>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</si>
  <si>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</si>
  <si>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</si>
  <si>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</si>
  <si>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</si>
  <si>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</si>
  <si>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</si>
  <si>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</si>
  <si>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</si>
  <si>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</si>
  <si>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</si>
  <si>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</si>
  <si>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</si>
  <si>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</si>
  <si>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</si>
  <si>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</si>
  <si>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</si>
  <si>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</si>
  <si>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</si>
  <si>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</si>
  <si>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</si>
  <si>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</si>
  <si>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</si>
  <si>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</si>
  <si>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</si>
  <si>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</si>
  <si>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</si>
  <si>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</si>
  <si>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</si>
  <si>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</si>
  <si>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</si>
  <si>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</si>
  <si>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</si>
  <si>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</si>
  <si>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</si>
  <si>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</si>
  <si>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</si>
  <si>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</si>
  <si>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</si>
  <si>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</si>
  <si>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</si>
  <si>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</si>
  <si>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</si>
  <si>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</si>
  <si>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</si>
  <si>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</si>
  <si>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</si>
  <si>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</si>
  <si>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</si>
  <si>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</si>
  <si>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</si>
  <si>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</si>
  <si>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</si>
  <si>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</si>
  <si>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</si>
  <si>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</si>
  <si>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</si>
  <si>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</si>
  <si>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</si>
  <si>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</si>
  <si>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</si>
  <si>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</si>
  <si>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</si>
  <si>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</si>
  <si>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</si>
  <si>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</si>
  <si>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</si>
  <si>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</si>
  <si>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</si>
  <si>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</si>
  <si>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</si>
  <si>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</si>
  <si>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</si>
  <si>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</si>
  <si>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</si>
  <si>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</si>
  <si>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</si>
  <si>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</si>
  <si>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</si>
  <si>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</si>
  <si>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</si>
  <si>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</si>
  <si>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</si>
  <si>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</si>
  <si>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</si>
  <si>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</si>
  <si>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</si>
  <si>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</si>
  <si>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</si>
  <si>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</si>
  <si>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</si>
  <si>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</si>
  <si>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</si>
  <si>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</si>
  <si>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</si>
  <si>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</si>
  <si>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</si>
  <si>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</si>
  <si>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</si>
  <si>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</si>
  <si>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</si>
  <si>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</si>
  <si>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</si>
  <si>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</si>
  <si>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</si>
  <si>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</si>
  <si>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</si>
  <si>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</si>
  <si>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</si>
  <si>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</si>
  <si>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</si>
  <si>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</si>
  <si>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</si>
  <si>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</si>
  <si>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</si>
  <si>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</si>
  <si>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</si>
  <si>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</si>
  <si>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</si>
  <si>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</si>
  <si>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</si>
  <si>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</si>
  <si>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</si>
  <si>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</si>
  <si>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</si>
  <si>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</si>
  <si>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</si>
  <si>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</si>
  <si>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</si>
  <si>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</si>
  <si>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</si>
  <si>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</si>
  <si>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</si>
  <si>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</si>
  <si>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</si>
  <si>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</si>
  <si>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</si>
  <si>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</si>
  <si>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</si>
  <si>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</si>
  <si>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</si>
  <si>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</si>
  <si>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</si>
  <si>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</si>
  <si>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</si>
  <si>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</si>
  <si>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</si>
  <si>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</si>
  <si>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</si>
  <si>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</si>
  <si>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</si>
  <si>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</si>
  <si>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</si>
  <si>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</si>
  <si>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</si>
  <si>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</si>
  <si>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</si>
  <si>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</si>
  <si>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</si>
  <si>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</si>
  <si>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</si>
  <si>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</si>
  <si>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</si>
  <si>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</si>
  <si>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</si>
  <si>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</si>
  <si>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</si>
  <si>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</si>
  <si>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</si>
  <si>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</si>
  <si>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</si>
  <si>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</si>
  <si>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</si>
  <si>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</si>
  <si>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</si>
  <si>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</si>
  <si>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</si>
  <si>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</si>
  <si>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</si>
  <si>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</si>
  <si>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</si>
  <si>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</si>
  <si>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</si>
  <si>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</si>
  <si>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</si>
  <si>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</si>
  <si>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</si>
  <si>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</si>
  <si>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</si>
  <si>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</si>
  <si>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</si>
  <si>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</si>
  <si>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</si>
  <si>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</si>
  <si>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</si>
  <si>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</si>
  <si>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</si>
  <si>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</si>
  <si>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</si>
  <si>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</si>
  <si>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</si>
  <si>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</si>
  <si>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</si>
  <si>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</si>
  <si>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</si>
  <si>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</si>
  <si>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</si>
  <si>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</si>
  <si>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</si>
  <si>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</si>
  <si>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</si>
  <si>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</si>
  <si>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</si>
  <si>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</si>
  <si>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</si>
  <si>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</si>
  <si>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</si>
  <si>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</si>
  <si>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</si>
  <si>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</si>
  <si>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</si>
  <si>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</si>
  <si>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</si>
  <si>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</si>
  <si>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</si>
  <si>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</si>
  <si>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</si>
  <si>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</si>
  <si>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</si>
  <si>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</si>
  <si>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</si>
  <si>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</si>
  <si>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</si>
  <si>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</si>
  <si>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</si>
  <si>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</si>
  <si>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</si>
  <si>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</si>
  <si>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</si>
  <si>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</si>
  <si>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</si>
  <si>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</si>
  <si>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</si>
  <si>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</si>
  <si>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</si>
  <si>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</si>
  <si>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</si>
  <si>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</si>
  <si>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</si>
  <si>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</si>
  <si>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</si>
  <si>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</si>
  <si>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</si>
  <si>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</si>
  <si>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</si>
  <si>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</si>
  <si>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</si>
  <si>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</si>
  <si>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</si>
  <si>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</si>
  <si>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</si>
  <si>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</si>
  <si>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</si>
  <si>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</si>
  <si>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</si>
  <si>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</si>
  <si>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</si>
  <si>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</si>
  <si>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</si>
  <si>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</si>
  <si>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</si>
  <si>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</si>
  <si>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</si>
  <si>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</si>
  <si>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</si>
  <si>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</si>
  <si>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</si>
  <si>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</si>
  <si>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</si>
  <si>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</si>
  <si>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</si>
  <si>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</si>
  <si>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</si>
  <si>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</si>
  <si>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</si>
  <si>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</si>
  <si>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</si>
  <si>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</si>
  <si>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</si>
  <si>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</si>
  <si>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</si>
  <si>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</si>
  <si>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</si>
  <si>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</si>
  <si>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</si>
  <si>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</si>
  <si>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</si>
  <si>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</si>
  <si>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</si>
  <si>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</si>
  <si>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</si>
  <si>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</si>
  <si>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</si>
  <si>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</si>
  <si>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</si>
  <si>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</si>
  <si>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</si>
  <si>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</si>
  <si>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</si>
  <si>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</si>
  <si>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</si>
  <si>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</si>
  <si>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</si>
  <si>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</si>
  <si>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</si>
  <si>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</si>
  <si>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</si>
  <si>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</si>
  <si>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</si>
  <si>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</si>
  <si>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</si>
  <si>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</si>
  <si>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</si>
  <si>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</si>
  <si>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</si>
  <si>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</si>
  <si>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</si>
  <si>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</si>
  <si>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</si>
  <si>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</si>
  <si>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</si>
  <si>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</si>
  <si>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</si>
  <si>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</si>
  <si>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</si>
  <si>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</si>
  <si>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</si>
  <si>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</si>
  <si>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</si>
  <si>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</si>
  <si>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</si>
  <si>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</si>
  <si>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</si>
  <si>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</si>
  <si>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</si>
  <si>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</si>
  <si>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</si>
  <si>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</si>
  <si>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</si>
  <si>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</si>
  <si>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</si>
  <si>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</si>
  <si>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</si>
  <si>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</si>
  <si>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</si>
  <si>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</si>
  <si>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</si>
  <si>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</si>
  <si>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</si>
  <si>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</si>
  <si>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</si>
  <si>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</si>
  <si>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</si>
  <si>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</si>
  <si>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</si>
  <si>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</si>
  <si>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</si>
  <si>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</si>
  <si>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</si>
  <si>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</si>
  <si>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</si>
  <si>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</si>
  <si>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</si>
  <si>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</si>
  <si>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</si>
  <si>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</si>
  <si>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</si>
  <si>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</si>
  <si>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</si>
  <si>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</si>
  <si>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</si>
  <si>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</si>
  <si>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</si>
  <si>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</si>
  <si>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</si>
  <si>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</si>
  <si>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</si>
  <si>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</si>
  <si>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</si>
  <si>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</si>
  <si>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</si>
  <si>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</si>
  <si>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</si>
  <si>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</si>
  <si>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</si>
  <si>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</si>
  <si>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</si>
  <si>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</si>
  <si>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</si>
  <si>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</si>
  <si>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</si>
  <si>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</si>
  <si>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</si>
  <si>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</si>
  <si>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</si>
  <si>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</si>
  <si>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</si>
  <si>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</si>
  <si>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</si>
  <si>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</si>
  <si>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</si>
  <si>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</si>
  <si>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</si>
  <si>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</si>
  <si>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</si>
  <si>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</si>
  <si>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</si>
  <si>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</si>
  <si>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</si>
  <si>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</si>
  <si>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</si>
  <si>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</si>
  <si>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</si>
  <si>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</si>
  <si>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</si>
  <si>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</si>
  <si>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</si>
  <si>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</si>
  <si>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</si>
  <si>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</si>
  <si>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</si>
  <si>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</si>
  <si>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</si>
  <si>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</si>
  <si>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</si>
  <si>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</si>
  <si>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</si>
  <si>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</si>
  <si>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</si>
  <si>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</si>
  <si>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</si>
  <si>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</si>
  <si>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</si>
  <si>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</si>
  <si>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</si>
  <si>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</si>
  <si>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</si>
  <si>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</si>
  <si>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</si>
  <si>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</si>
  <si>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</si>
  <si>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</si>
  <si>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</si>
  <si>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</si>
  <si>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</si>
  <si>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</si>
  <si>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</si>
  <si>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</si>
  <si>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</si>
  <si>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</si>
  <si>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</si>
  <si>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</si>
  <si>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</si>
  <si>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</si>
  <si>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</si>
  <si>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</si>
  <si>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</si>
  <si>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</si>
  <si>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</si>
  <si>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</si>
  <si>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</si>
  <si>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</si>
  <si>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</si>
  <si>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</si>
  <si>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</si>
  <si>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</si>
  <si>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</si>
  <si>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</si>
  <si>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</si>
  <si>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</si>
  <si>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</si>
  <si>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</si>
  <si>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</si>
  <si>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</si>
  <si>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</si>
  <si>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</si>
  <si>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</si>
  <si>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</si>
  <si>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</si>
  <si>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</si>
  <si>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</si>
  <si>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</si>
  <si>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</si>
  <si>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</si>
  <si>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</si>
  <si>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</si>
  <si>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</si>
  <si>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</si>
  <si>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</si>
  <si>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</si>
  <si>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</si>
  <si>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</si>
  <si>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</si>
  <si>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</si>
  <si>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</si>
  <si>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</si>
  <si>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</si>
  <si>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</si>
  <si>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</si>
  <si>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</si>
  <si>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</si>
  <si>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</si>
  <si>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</si>
  <si>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</si>
  <si>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</si>
  <si>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</si>
  <si>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</si>
  <si>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</si>
  <si>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</si>
  <si>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</si>
  <si>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</si>
  <si>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</si>
  <si>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</si>
  <si>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</si>
  <si>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</si>
  <si>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</si>
  <si>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</si>
  <si>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</si>
  <si>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</si>
  <si>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</si>
  <si>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</si>
  <si>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</si>
  <si>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</si>
  <si>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</si>
  <si>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</si>
  <si>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</si>
  <si>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</si>
  <si>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</si>
  <si>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</si>
  <si>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</si>
  <si>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</si>
  <si>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</si>
  <si>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</si>
  <si>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</si>
  <si>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</si>
  <si>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</si>
  <si>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</si>
  <si>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</si>
  <si>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</si>
  <si>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</si>
  <si>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</si>
  <si>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</si>
  <si>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</si>
  <si>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</si>
  <si>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</si>
  <si>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</si>
  <si>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</si>
  <si>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</si>
  <si>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</si>
  <si>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</si>
  <si>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</si>
  <si>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</si>
  <si>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</si>
  <si>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</si>
  <si>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</si>
  <si>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</si>
  <si>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</si>
  <si>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</si>
  <si>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</si>
  <si>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</si>
  <si>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</si>
  <si>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</si>
  <si>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</si>
  <si>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</si>
  <si>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</si>
  <si>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</si>
  <si>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</si>
  <si>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</si>
  <si>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</si>
  <si>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</si>
  <si>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</si>
  <si>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</si>
  <si>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</si>
  <si>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</si>
  <si>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</si>
  <si>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</si>
  <si>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</si>
  <si>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</si>
  <si>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</si>
  <si>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</si>
  <si>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</si>
  <si>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</si>
  <si>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</si>
  <si>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</si>
  <si>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</si>
  <si>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</si>
  <si>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</si>
  <si>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</si>
  <si>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</si>
  <si>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</si>
  <si>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</si>
  <si>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</si>
  <si>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</si>
  <si>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</si>
  <si>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</si>
  <si>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</si>
  <si>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</si>
  <si>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</si>
  <si>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</si>
  <si>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</si>
  <si>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</si>
  <si>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</si>
  <si>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</si>
  <si>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</si>
  <si>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</si>
  <si>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</si>
  <si>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</si>
  <si>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</si>
  <si>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</si>
  <si>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</si>
  <si>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</si>
  <si>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</si>
  <si>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</si>
  <si>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</si>
  <si>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</si>
  <si>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</si>
  <si>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</si>
  <si>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</si>
  <si>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</si>
  <si>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</si>
  <si>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</si>
  <si>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</si>
  <si>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</si>
  <si>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</si>
  <si>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</si>
  <si>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</si>
  <si>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</si>
  <si>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</si>
  <si>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</si>
  <si>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</si>
  <si>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</si>
  <si>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</si>
  <si>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</si>
  <si>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</si>
  <si>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</si>
  <si>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</si>
  <si>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</si>
  <si>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</si>
  <si>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</si>
  <si>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</si>
  <si>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</si>
  <si>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</si>
  <si>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</si>
  <si>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</si>
  <si>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</si>
  <si>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</si>
  <si>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</si>
  <si>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</si>
  <si>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</si>
  <si>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</si>
  <si>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</si>
  <si>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</si>
  <si>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</si>
  <si>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</si>
  <si>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</si>
  <si>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</si>
  <si>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</si>
  <si>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</si>
  <si>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</si>
  <si>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</si>
  <si>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</si>
  <si>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</si>
  <si>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</si>
  <si>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</si>
  <si>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</si>
  <si>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</si>
  <si>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</si>
  <si>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</si>
  <si>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</si>
  <si>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</si>
  <si>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</si>
  <si>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</si>
  <si>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</si>
  <si>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</si>
  <si>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</si>
  <si>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</si>
  <si>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</si>
  <si>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</si>
  <si>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</si>
  <si>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</si>
  <si>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</si>
  <si>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</si>
  <si>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</si>
  <si>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</si>
  <si>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</si>
  <si>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</si>
  <si>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</si>
  <si>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</si>
  <si>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</si>
  <si>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</si>
  <si>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</si>
  <si>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</si>
  <si>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</si>
  <si>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</si>
  <si>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</si>
  <si>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</si>
  <si>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</si>
  <si>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</si>
  <si>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</si>
  <si>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</si>
  <si>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</si>
  <si>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</si>
  <si>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</si>
  <si>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</si>
  <si>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</si>
  <si>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</si>
  <si>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</si>
  <si>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</si>
  <si>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</si>
  <si>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</si>
  <si>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</si>
  <si>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</si>
  <si>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</si>
  <si>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</si>
  <si>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</si>
  <si>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</si>
  <si>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</si>
  <si>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</si>
  <si>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</si>
  <si>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</si>
  <si>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</si>
  <si>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</si>
  <si>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</si>
  <si>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</si>
  <si>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</si>
  <si>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</si>
  <si>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</si>
  <si>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</si>
  <si>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</si>
  <si>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</si>
  <si>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</si>
  <si>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</si>
  <si>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</si>
  <si>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</si>
  <si>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</si>
  <si>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</si>
  <si>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</si>
  <si>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</si>
  <si>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</si>
  <si>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</si>
  <si>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</si>
  <si>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</si>
  <si>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</si>
  <si>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</si>
  <si>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</si>
  <si>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</si>
  <si>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</si>
  <si>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</si>
  <si>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</si>
  <si>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</si>
  <si>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</si>
  <si>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</si>
  <si>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</si>
  <si>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</si>
  <si>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</si>
  <si>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</si>
  <si>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</si>
  <si>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</si>
  <si>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</si>
  <si>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</si>
  <si>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</si>
  <si>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</si>
  <si>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</si>
  <si>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</si>
  <si>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</si>
  <si>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</si>
  <si>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</si>
  <si>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</si>
  <si>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</si>
  <si>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</si>
  <si>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</si>
  <si>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</si>
  <si>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</si>
  <si>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</si>
  <si>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</si>
  <si>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</si>
  <si>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</si>
  <si>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</si>
  <si>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</si>
  <si>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</si>
  <si>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</si>
  <si>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</si>
  <si>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</si>
  <si>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</si>
  <si>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</si>
  <si>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</si>
  <si>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</si>
  <si>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</si>
  <si>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</si>
  <si>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</si>
  <si>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</si>
  <si>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</si>
  <si>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</si>
  <si>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</si>
  <si>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</si>
  <si>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</si>
  <si>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</si>
  <si>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</si>
  <si>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</si>
  <si>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</si>
  <si>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</si>
  <si>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</si>
  <si>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</si>
  <si>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</si>
  <si>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</si>
  <si>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</si>
  <si>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</si>
  <si>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</si>
  <si>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</si>
  <si>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</si>
  <si>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</si>
  <si>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</si>
  <si>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</si>
  <si>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</si>
  <si>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</si>
  <si>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</si>
  <si>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</si>
  <si>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</si>
  <si>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</si>
  <si>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</si>
  <si>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</si>
  <si>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</si>
  <si>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</si>
  <si>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</si>
  <si>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</si>
  <si>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</si>
  <si>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</si>
  <si>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</si>
  <si>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</si>
  <si>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</si>
  <si>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</si>
  <si>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</si>
  <si>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</si>
  <si>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</si>
  <si>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</si>
  <si>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</si>
  <si>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</si>
  <si>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</si>
  <si>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</si>
  <si>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</si>
  <si>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</si>
  <si>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</si>
  <si>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</si>
  <si>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</si>
  <si>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</si>
  <si>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</si>
  <si>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</si>
  <si>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</si>
  <si>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</si>
  <si>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</si>
  <si>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</si>
  <si>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</si>
  <si>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</si>
  <si>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</si>
  <si>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</si>
  <si>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</si>
  <si>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</si>
  <si>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</si>
  <si>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</si>
  <si>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</si>
  <si>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</si>
  <si>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</si>
  <si>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</si>
  <si>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</si>
  <si>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</si>
  <si>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</si>
  <si>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</si>
  <si>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</si>
  <si>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</si>
  <si>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</si>
  <si>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</si>
  <si>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</si>
  <si>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</si>
  <si>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</si>
  <si>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</si>
  <si>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</si>
  <si>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</si>
  <si>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</si>
  <si>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</si>
  <si>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</si>
  <si>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</si>
  <si>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</si>
  <si>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</si>
  <si>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</si>
  <si>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</si>
  <si>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</si>
  <si>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</si>
  <si>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</si>
  <si>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</si>
  <si>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</si>
  <si>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</si>
  <si>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</si>
  <si>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</si>
  <si>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</si>
  <si>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</si>
  <si>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</si>
  <si>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</si>
  <si>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</si>
  <si>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</si>
  <si>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</si>
  <si>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</si>
  <si>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</si>
  <si>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</si>
  <si>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</si>
  <si>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</si>
  <si>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</si>
  <si>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</si>
  <si>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</si>
  <si>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</si>
  <si>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</si>
  <si>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</si>
  <si>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</si>
  <si>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</si>
  <si>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</si>
  <si>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</si>
  <si>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</si>
  <si>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</si>
  <si>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</si>
  <si>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</si>
  <si>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</si>
  <si>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</si>
  <si>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</si>
  <si>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</si>
  <si>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</si>
  <si>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</si>
  <si>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</si>
  <si>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</si>
  <si>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</si>
  <si>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</si>
  <si>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</si>
  <si>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</si>
  <si>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</si>
  <si>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</si>
  <si>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</si>
  <si>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</si>
  <si>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</si>
  <si>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</si>
  <si>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</si>
  <si>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</si>
  <si>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</si>
  <si>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</si>
  <si>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</si>
  <si>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</si>
  <si>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</si>
  <si>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</si>
  <si>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</si>
  <si>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</si>
  <si>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</si>
  <si>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</si>
  <si>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</si>
  <si>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</si>
  <si>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</si>
  <si>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</si>
  <si>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</si>
  <si>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</si>
  <si>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</si>
  <si>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</si>
  <si>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</si>
  <si>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</si>
  <si>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</si>
  <si>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</si>
  <si>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</si>
  <si>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</si>
  <si>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</si>
  <si>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</si>
  <si>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</si>
  <si>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</si>
  <si>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</si>
  <si>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</si>
  <si>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</si>
  <si>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</si>
  <si>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</si>
  <si>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</si>
  <si>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</si>
  <si>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</si>
  <si>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</si>
  <si>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</si>
  <si>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</si>
  <si>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</si>
  <si>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</si>
  <si>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</si>
  <si>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</si>
  <si>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</si>
  <si>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</si>
  <si>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</si>
  <si>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</si>
  <si>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</si>
  <si>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</si>
  <si>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</si>
  <si>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</si>
  <si>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</si>
  <si>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</si>
  <si>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</si>
  <si>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</si>
  <si>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</si>
  <si>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</si>
  <si>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</si>
  <si>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</si>
  <si>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</si>
  <si>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</si>
  <si>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</si>
  <si>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</si>
  <si>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</si>
  <si>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</si>
  <si>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</si>
  <si>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</si>
  <si>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</si>
  <si>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</si>
  <si>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</si>
  <si>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</si>
  <si>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</si>
  <si>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</si>
  <si>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</si>
  <si>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</si>
  <si>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</si>
  <si>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</si>
  <si>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</si>
  <si>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</si>
  <si>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</si>
  <si>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</si>
  <si>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</si>
  <si>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</si>
  <si>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</si>
  <si>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</si>
  <si>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</si>
  <si>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</si>
  <si>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</si>
  <si>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</si>
  <si>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</si>
  <si>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</si>
  <si>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</si>
  <si>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</si>
  <si>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</si>
  <si>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</si>
  <si>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</si>
  <si>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</si>
  <si>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</si>
  <si>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</si>
  <si>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</si>
  <si>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</si>
  <si>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</si>
  <si>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</si>
  <si>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</si>
  <si>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</si>
  <si>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</si>
  <si>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</si>
  <si>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</si>
  <si>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</si>
  <si>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</si>
  <si>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</si>
  <si>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</si>
  <si>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</si>
  <si>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</si>
  <si>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</si>
  <si>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</si>
  <si>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</si>
  <si>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</si>
  <si>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</si>
  <si>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</si>
  <si>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</si>
  <si>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</si>
  <si>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</si>
  <si>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</si>
  <si>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</si>
  <si>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</si>
  <si>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</si>
  <si>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</si>
  <si>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</si>
  <si>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</si>
  <si>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</si>
  <si>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</si>
  <si>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</si>
  <si>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</si>
  <si>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</si>
  <si>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</si>
  <si>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</si>
  <si>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</si>
  <si>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</si>
  <si>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</si>
  <si>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</si>
  <si>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</si>
  <si>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</si>
  <si>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</si>
  <si>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</si>
  <si>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</si>
  <si>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</si>
  <si>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</si>
  <si>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</si>
  <si>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</si>
  <si>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</si>
  <si>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</si>
  <si>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</si>
  <si>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</si>
  <si>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</si>
  <si>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</si>
  <si>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</si>
  <si>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</si>
  <si>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</si>
  <si>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</si>
  <si>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</si>
  <si>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</si>
  <si>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</si>
  <si>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</si>
  <si>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</si>
  <si>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</si>
  <si>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</si>
  <si>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</si>
  <si>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</si>
  <si>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</si>
  <si>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</si>
  <si>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</si>
  <si>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</si>
  <si>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</si>
  <si>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</si>
  <si>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</si>
  <si>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</si>
  <si>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</si>
  <si>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</si>
  <si>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</si>
  <si>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</si>
  <si>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</si>
  <si>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</si>
  <si>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</si>
  <si>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</si>
  <si>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</si>
  <si>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</si>
  <si>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</si>
  <si>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</si>
  <si>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</si>
  <si>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</si>
  <si>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</si>
  <si>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</si>
  <si>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</si>
  <si>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</si>
  <si>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</si>
  <si>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</si>
  <si>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</si>
  <si>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</si>
  <si>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</si>
  <si>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</si>
  <si>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</si>
  <si>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</si>
  <si>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</si>
  <si>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</si>
  <si>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</si>
  <si>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</si>
  <si>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</si>
  <si>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</si>
  <si>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</si>
  <si>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</si>
  <si>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</si>
  <si>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</si>
  <si>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</si>
  <si>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</si>
  <si>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</si>
  <si>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</si>
  <si>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</si>
  <si>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</si>
  <si>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</si>
  <si>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</si>
  <si>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</si>
  <si>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</si>
  <si>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</si>
  <si>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</si>
  <si>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</si>
  <si>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</si>
  <si>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</si>
  <si>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</si>
  <si>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</si>
  <si>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</si>
  <si>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</si>
  <si>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</si>
  <si>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</si>
  <si>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</si>
  <si>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</si>
  <si>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</si>
  <si>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</si>
  <si>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</si>
  <si>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</si>
  <si>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</si>
  <si>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</si>
  <si>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</si>
  <si>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</si>
  <si>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</si>
  <si>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</si>
  <si>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</si>
  <si>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</si>
  <si>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</si>
  <si>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</si>
  <si>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</si>
  <si>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</si>
  <si>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</si>
  <si>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</si>
  <si>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</si>
  <si>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</si>
  <si>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</si>
  <si>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</si>
  <si>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</si>
  <si>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</si>
  <si>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</si>
  <si>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</si>
  <si>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</si>
  <si>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</si>
  <si>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</si>
  <si>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</si>
  <si>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</si>
  <si>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</si>
  <si>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</si>
  <si>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</si>
  <si>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</si>
  <si>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</si>
  <si>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</si>
  <si>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</si>
  <si>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</si>
  <si>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</si>
  <si>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</si>
  <si>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</si>
  <si>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</si>
  <si>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</si>
  <si>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</si>
  <si>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</si>
  <si>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</si>
  <si>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</si>
  <si>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</si>
  <si>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</si>
  <si>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</si>
  <si>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</si>
  <si>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</si>
  <si>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</si>
  <si>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</si>
  <si>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</si>
  <si>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</si>
  <si>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</si>
  <si>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</si>
  <si>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</si>
  <si>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</si>
  <si>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</si>
  <si>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</si>
  <si>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</si>
  <si>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</si>
  <si>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</si>
  <si>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</si>
  <si>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</si>
  <si>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</si>
  <si>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</si>
  <si>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</si>
  <si>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</si>
  <si>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</si>
  <si>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</si>
  <si>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</si>
  <si>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</si>
  <si>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</si>
  <si>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</si>
  <si>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</si>
  <si>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</si>
  <si>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</si>
  <si>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</si>
  <si>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</si>
  <si>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</si>
  <si>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</si>
  <si>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</si>
  <si>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</si>
  <si>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</si>
  <si>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</si>
  <si>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</si>
  <si>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</si>
  <si>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</si>
  <si>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</si>
  <si>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</si>
  <si>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</si>
  <si>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</si>
  <si>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</si>
  <si>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</si>
  <si>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</si>
  <si>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</si>
  <si>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</si>
  <si>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</si>
  <si>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</si>
  <si>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</si>
  <si>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</si>
  <si>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</si>
  <si>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</si>
  <si>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</si>
  <si>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</si>
  <si>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</si>
  <si>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</si>
  <si>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</si>
  <si>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</si>
  <si>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</si>
  <si>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</si>
  <si>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</si>
  <si>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</si>
  <si>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</si>
  <si>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</si>
  <si>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</si>
  <si>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</si>
  <si>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</si>
  <si>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</si>
  <si>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</si>
  <si>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</si>
  <si>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</si>
  <si>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</si>
  <si>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</si>
  <si>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</si>
  <si>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</si>
  <si>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</si>
  <si>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</si>
  <si>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</si>
  <si>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</si>
  <si>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</si>
  <si>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</si>
  <si>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</si>
  <si>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</si>
  <si>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</si>
  <si>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</si>
  <si>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</si>
  <si>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</si>
  <si>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</si>
  <si>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</si>
  <si>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</si>
  <si>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</si>
  <si>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</si>
  <si>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</si>
  <si>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</si>
  <si>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</si>
  <si>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</si>
  <si>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</si>
  <si>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</si>
  <si>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</si>
  <si>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</si>
  <si>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</si>
  <si>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</si>
  <si>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</si>
  <si>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</si>
  <si>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</si>
  <si>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</si>
  <si>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</si>
  <si>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</si>
  <si>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</si>
  <si>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</si>
  <si>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</si>
  <si>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</si>
  <si>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</si>
  <si>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</si>
  <si>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</si>
  <si>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</si>
  <si>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</si>
  <si>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</si>
  <si>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</si>
  <si>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</si>
  <si>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</si>
  <si>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</si>
  <si>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</si>
  <si>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</si>
  <si>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</si>
  <si>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</si>
  <si>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</si>
  <si>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</si>
  <si>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</si>
  <si>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</si>
  <si>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</si>
  <si>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</si>
  <si>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</si>
  <si>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</si>
  <si>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</si>
  <si>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</si>
  <si>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</si>
  <si>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</si>
  <si>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</si>
  <si>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</si>
  <si>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</si>
  <si>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</si>
  <si>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</si>
  <si>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</si>
  <si>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</si>
  <si>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</si>
  <si>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</si>
  <si>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</si>
  <si>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</si>
  <si>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</si>
  <si>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</si>
  <si>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</si>
  <si>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</si>
  <si>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</si>
  <si>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</si>
  <si>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</si>
  <si>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</si>
  <si>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</si>
  <si>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</si>
  <si>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</si>
  <si>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</si>
  <si>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</si>
  <si>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</si>
  <si>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</si>
  <si>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</si>
  <si>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</si>
  <si>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</si>
  <si>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</si>
  <si>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</si>
  <si>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</si>
  <si>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</si>
  <si>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</si>
  <si>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</si>
  <si>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</si>
  <si>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</si>
  <si>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</si>
  <si>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</si>
  <si>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</si>
  <si>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</si>
  <si>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</si>
  <si>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</si>
  <si>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</si>
  <si>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</si>
  <si>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</si>
  <si>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</si>
  <si>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</si>
  <si>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</si>
  <si>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</si>
  <si>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</si>
  <si>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</si>
  <si>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</si>
  <si>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</si>
  <si>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</si>
  <si>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</si>
  <si>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</si>
  <si>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</si>
  <si>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</si>
  <si>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</si>
  <si>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</si>
  <si>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</si>
  <si>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</si>
  <si>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</si>
  <si>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</si>
  <si>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</si>
  <si>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</si>
  <si>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</si>
  <si>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</si>
  <si>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</si>
  <si>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</si>
  <si>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</si>
  <si>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</si>
  <si>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</si>
  <si>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</si>
  <si>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</si>
  <si>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</si>
  <si>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</si>
  <si>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</si>
  <si>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</si>
  <si>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</si>
  <si>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</si>
  <si>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</si>
  <si>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</si>
  <si>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</si>
  <si>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</si>
  <si>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</si>
  <si>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</si>
  <si>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</si>
  <si>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</si>
  <si>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</si>
  <si>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</si>
  <si>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</si>
  <si>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</si>
  <si>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</si>
  <si>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</si>
  <si>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</si>
  <si>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</si>
  <si>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</si>
  <si>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</si>
  <si>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</si>
  <si>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</si>
  <si>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</si>
  <si>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</si>
  <si>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</si>
  <si>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</si>
  <si>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</si>
  <si>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</si>
  <si>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</si>
  <si>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</si>
  <si>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</si>
  <si>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</si>
  <si>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</si>
  <si>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</si>
  <si>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</si>
  <si>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</si>
  <si>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</si>
  <si>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</si>
  <si>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</si>
  <si>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</si>
  <si>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</si>
  <si>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</si>
  <si>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</si>
  <si>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</si>
  <si>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</si>
  <si>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</si>
  <si>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</si>
  <si>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</si>
  <si>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</si>
  <si>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</si>
  <si>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</si>
  <si>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</si>
  <si>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</si>
  <si>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</si>
  <si>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</si>
  <si>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</si>
  <si>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</si>
  <si>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</si>
  <si>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</si>
  <si>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</si>
  <si>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</si>
  <si>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</si>
  <si>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</si>
  <si>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</si>
  <si>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</si>
  <si>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</si>
  <si>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</si>
  <si>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</si>
  <si>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</si>
  <si>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</si>
  <si>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</si>
  <si>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</si>
  <si>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</si>
  <si>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</si>
  <si>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</si>
  <si>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</si>
  <si>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</si>
  <si>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</si>
  <si>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</si>
  <si>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</si>
  <si>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</si>
  <si>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</si>
  <si>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</si>
  <si>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</si>
  <si>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</si>
  <si>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</si>
  <si>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</si>
  <si>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</si>
  <si>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</si>
  <si>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</si>
  <si>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</si>
  <si>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</si>
  <si>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</si>
  <si>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</si>
  <si>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</si>
  <si>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</si>
  <si>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</si>
  <si>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</si>
  <si>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</si>
  <si>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</si>
  <si>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</si>
  <si>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</si>
  <si>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</si>
  <si>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</si>
  <si>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</si>
  <si>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</si>
  <si>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</si>
  <si>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</si>
  <si>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</si>
  <si>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</si>
  <si>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</si>
  <si>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</si>
  <si>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</si>
  <si>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</si>
  <si>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</si>
  <si>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</si>
  <si>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</si>
  <si>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</si>
  <si>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</si>
  <si>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</si>
  <si>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</si>
  <si>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</si>
  <si>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</si>
  <si>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</si>
  <si>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</si>
  <si>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</si>
  <si>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</si>
  <si>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</si>
  <si>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</si>
  <si>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</si>
  <si>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</si>
  <si>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</si>
  <si>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</si>
  <si>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</si>
  <si>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</si>
  <si>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</si>
  <si>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</si>
  <si>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</si>
  <si>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</si>
  <si>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</si>
  <si>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</si>
  <si>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</si>
  <si>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</si>
  <si>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</si>
  <si>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</si>
  <si>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</si>
  <si>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</si>
  <si>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</si>
  <si>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</si>
  <si>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</si>
  <si>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</si>
  <si>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</si>
  <si>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</si>
  <si>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</si>
  <si>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</si>
  <si>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</si>
  <si>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</si>
  <si>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</si>
  <si>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</si>
  <si>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</si>
  <si>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</si>
  <si>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</si>
  <si>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</si>
  <si>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</si>
  <si>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</si>
  <si>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</si>
  <si>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</si>
  <si>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</si>
  <si>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</si>
  <si>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</si>
  <si>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</si>
  <si>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</si>
  <si>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</si>
  <si>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</si>
  <si>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</si>
  <si>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</si>
  <si>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</si>
  <si>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</si>
  <si>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</si>
  <si>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</si>
  <si>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</si>
  <si>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</si>
  <si>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</si>
  <si>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</si>
  <si>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</si>
  <si>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</si>
  <si>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</si>
  <si>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</si>
  <si>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</si>
  <si>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</si>
  <si>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</si>
  <si>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</si>
  <si>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</si>
  <si>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</si>
  <si>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</si>
  <si>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</si>
  <si>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</si>
  <si>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</si>
  <si>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</si>
  <si>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</si>
  <si>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</si>
  <si>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</si>
  <si>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</si>
  <si>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</si>
  <si>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</si>
  <si>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</si>
  <si>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</si>
  <si>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</si>
  <si>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</si>
  <si>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</si>
  <si>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</si>
  <si>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</si>
  <si>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</si>
  <si>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</si>
  <si>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</si>
  <si>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</si>
  <si>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</si>
  <si>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</si>
  <si>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</si>
  <si>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</si>
  <si>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</si>
  <si>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</si>
  <si>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</si>
  <si>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</si>
  <si>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</si>
  <si>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</si>
  <si>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</si>
  <si>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</si>
  <si>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</si>
  <si>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</si>
  <si>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</si>
  <si>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</si>
  <si>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</si>
  <si>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</si>
  <si>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</si>
  <si>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</si>
  <si>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</si>
  <si>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</si>
  <si>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</si>
  <si>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</si>
  <si>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</si>
  <si>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</si>
  <si>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</si>
  <si>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</si>
  <si>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</si>
  <si>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</si>
  <si>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</si>
  <si>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</si>
  <si>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</si>
  <si>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</si>
  <si>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</si>
  <si>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</si>
  <si>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</si>
  <si>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</si>
  <si>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</si>
  <si>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</si>
  <si>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</si>
  <si>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</si>
  <si>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</si>
  <si>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</si>
  <si>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</si>
  <si>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</si>
  <si>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</si>
  <si>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</si>
  <si>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</si>
  <si>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</si>
  <si>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</si>
  <si>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</si>
  <si>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</si>
  <si>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</si>
  <si>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</si>
  <si>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</si>
  <si>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</si>
  <si>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</si>
  <si>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</si>
  <si>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</si>
  <si>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</si>
  <si>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</si>
  <si>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</si>
  <si>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</si>
  <si>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</si>
  <si>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</si>
  <si>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</si>
  <si>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</si>
  <si>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</si>
  <si>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</si>
  <si>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</si>
  <si>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</si>
  <si>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</si>
  <si>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</si>
  <si>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</si>
  <si>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</si>
  <si>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</si>
  <si>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</si>
  <si>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</si>
  <si>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</si>
  <si>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</si>
  <si>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</si>
  <si>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</si>
  <si>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</si>
  <si>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</si>
  <si>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</si>
  <si>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</si>
  <si>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</si>
  <si>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</si>
  <si>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</si>
  <si>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</si>
  <si>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</si>
  <si>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</si>
  <si>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</si>
  <si>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</si>
  <si>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</si>
  <si>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</si>
  <si>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</si>
  <si>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</si>
  <si>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</si>
  <si>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</si>
  <si>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</si>
  <si>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</si>
  <si>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</si>
  <si>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</si>
  <si>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</si>
  <si>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</si>
  <si>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</si>
  <si>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</si>
  <si>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</si>
  <si>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</si>
  <si>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</si>
  <si>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</si>
  <si>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</si>
  <si>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</si>
  <si>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</si>
  <si>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</si>
  <si>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</si>
  <si>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</si>
  <si>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</si>
  <si>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</si>
  <si>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</si>
  <si>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</si>
  <si>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</si>
  <si>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</si>
  <si>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</si>
  <si>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</si>
  <si>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</si>
  <si>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</si>
  <si>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</si>
  <si>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</si>
  <si>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</si>
  <si>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</si>
  <si>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</si>
  <si>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</si>
  <si>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</si>
  <si>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</si>
  <si>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</si>
  <si>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</si>
  <si>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</si>
  <si>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</si>
  <si>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</si>
  <si>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</si>
  <si>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</si>
  <si>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</si>
  <si>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</si>
  <si>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</si>
  <si>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</si>
  <si>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</si>
  <si>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</si>
  <si>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</si>
  <si>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</si>
  <si>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</si>
  <si>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</si>
  <si>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</si>
  <si>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</si>
  <si>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</si>
  <si>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</si>
  <si>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</si>
  <si>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</si>
  <si>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</si>
  <si>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</si>
  <si>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</si>
  <si>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</si>
  <si>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</si>
  <si>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</si>
  <si>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</si>
  <si>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</si>
  <si>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</si>
  <si>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</si>
  <si>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</si>
  <si>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</si>
  <si>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</si>
  <si>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</si>
  <si>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</si>
  <si>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</si>
  <si>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</si>
  <si>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</si>
  <si>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</si>
  <si>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</si>
  <si>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</si>
  <si>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</si>
  <si>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</si>
  <si>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</si>
  <si>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</si>
  <si>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</si>
  <si>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</si>
  <si>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</si>
  <si>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</si>
  <si>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</si>
  <si>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</si>
  <si>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</si>
  <si>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</si>
  <si>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</si>
  <si>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</si>
  <si>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</si>
  <si>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</si>
  <si>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</si>
  <si>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</si>
  <si>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</si>
  <si>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</si>
  <si>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</si>
  <si>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</si>
  <si>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</si>
  <si>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</si>
  <si>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</si>
  <si>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</si>
  <si>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</si>
  <si>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</si>
  <si>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</si>
  <si>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</si>
  <si>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</si>
  <si>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</si>
  <si>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</si>
  <si>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</si>
  <si>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</si>
  <si>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</si>
  <si>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</si>
  <si>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</si>
  <si>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</si>
  <si>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</si>
  <si>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</si>
  <si>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</si>
  <si>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</si>
  <si>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</si>
  <si>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</si>
  <si>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</si>
  <si>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</si>
  <si>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</si>
  <si>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</si>
  <si>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</si>
  <si>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</si>
  <si>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</si>
  <si>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</si>
  <si>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</si>
  <si>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</si>
  <si>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</si>
  <si>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</si>
  <si>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</si>
  <si>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</si>
  <si>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</si>
  <si>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</si>
  <si>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</si>
  <si>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</si>
  <si>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</si>
  <si>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</si>
  <si>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</si>
  <si>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</si>
  <si>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</si>
  <si>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</si>
  <si>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</si>
  <si>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</si>
  <si>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</si>
  <si>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</si>
  <si>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</si>
  <si>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</si>
  <si>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</si>
  <si>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</si>
  <si>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</si>
  <si>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</si>
  <si>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</si>
  <si>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</si>
  <si>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</si>
  <si>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</si>
  <si>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</si>
  <si>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</si>
  <si>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</si>
  <si>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</si>
  <si>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</si>
  <si>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</si>
  <si>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</si>
  <si>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</si>
  <si>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</si>
  <si>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</si>
  <si>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</si>
  <si>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</si>
  <si>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</si>
  <si>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</si>
  <si>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</si>
  <si>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</si>
  <si>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</si>
  <si>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</si>
  <si>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</si>
  <si>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</si>
  <si>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</si>
  <si>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</si>
  <si>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</si>
  <si>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</si>
  <si>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</si>
  <si>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</si>
  <si>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</si>
  <si>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</si>
  <si>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</si>
  <si>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</si>
  <si>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</si>
  <si>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</si>
  <si>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</si>
  <si>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</si>
  <si>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</si>
  <si>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</si>
  <si>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</si>
  <si>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</si>
  <si>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</si>
  <si>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</si>
  <si>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</si>
  <si>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</si>
  <si>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</si>
  <si>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</si>
  <si>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</si>
  <si>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</si>
  <si>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</si>
  <si>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</si>
  <si>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</si>
  <si>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</si>
  <si>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</si>
  <si>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</si>
  <si>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</si>
  <si>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</si>
  <si>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</si>
  <si>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</si>
  <si>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</si>
  <si>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</si>
  <si>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</si>
  <si>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</si>
  <si>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</si>
  <si>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</si>
  <si>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</si>
  <si>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</si>
  <si>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</si>
  <si>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</si>
  <si>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</si>
  <si>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</si>
  <si>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</si>
  <si>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</si>
  <si>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</si>
  <si>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</si>
  <si>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</si>
  <si>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</si>
  <si>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</si>
  <si>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</si>
  <si>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</si>
  <si>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</si>
  <si>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</si>
  <si>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</si>
  <si>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</si>
  <si>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</si>
  <si>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</si>
  <si>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</si>
  <si>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</si>
  <si>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</si>
  <si>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</si>
  <si>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</si>
  <si>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</si>
  <si>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</si>
  <si>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</si>
  <si>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</si>
  <si>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</si>
  <si>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</si>
  <si>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</si>
  <si>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</si>
  <si>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</si>
  <si>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</si>
  <si>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</si>
  <si>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</si>
  <si>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</si>
  <si>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</si>
  <si>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</si>
  <si>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</si>
  <si>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</si>
  <si>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</si>
  <si>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</si>
  <si>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</si>
  <si>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</si>
  <si>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</si>
  <si>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</si>
  <si>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</si>
  <si>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</si>
  <si>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</si>
  <si>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</si>
  <si>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</si>
  <si>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</si>
  <si>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</si>
  <si>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</si>
  <si>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</si>
  <si>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</si>
  <si>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</si>
  <si>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</si>
  <si>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</si>
  <si>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</si>
  <si>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</si>
  <si>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</si>
  <si>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</si>
  <si>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</si>
  <si>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</si>
  <si>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</si>
  <si>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</si>
  <si>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</si>
  <si>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</si>
  <si>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</si>
  <si>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</si>
  <si>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</si>
  <si>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</si>
  <si>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</si>
  <si>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</si>
  <si>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</si>
  <si>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</si>
  <si>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</si>
  <si>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</si>
  <si>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</si>
  <si>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</si>
  <si>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</si>
  <si>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</si>
  <si>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</si>
  <si>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</si>
  <si>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</si>
  <si>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</si>
  <si>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</si>
  <si>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</si>
  <si>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</si>
  <si>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</si>
  <si>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</si>
  <si>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</si>
  <si>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</si>
  <si>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</si>
  <si>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</si>
  <si>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</si>
  <si>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</si>
  <si>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</si>
  <si>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</si>
  <si>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</si>
  <si>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</si>
  <si>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</si>
  <si>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</si>
  <si>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</si>
  <si>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</si>
  <si>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</si>
  <si>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</si>
  <si>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</si>
  <si>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</si>
  <si>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</si>
  <si>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</si>
  <si>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</si>
  <si>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</si>
  <si>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</si>
  <si>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</si>
  <si>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</si>
  <si>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</si>
  <si>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</si>
  <si>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</si>
  <si>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</si>
  <si>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</si>
  <si>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</si>
  <si>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</si>
  <si>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</si>
  <si>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</si>
  <si>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</si>
  <si>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</si>
  <si>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</si>
  <si>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</si>
  <si>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</si>
  <si>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</si>
  <si>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</si>
  <si>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</si>
  <si>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</si>
  <si>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</si>
  <si>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</si>
  <si>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</si>
  <si>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</si>
  <si>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</si>
  <si>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</si>
  <si>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</si>
  <si>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</si>
  <si>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</si>
  <si>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</si>
  <si>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</si>
  <si>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</si>
  <si>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</si>
  <si>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</si>
  <si>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</si>
  <si>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</si>
  <si>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</si>
  <si>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</si>
  <si>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</si>
  <si>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</si>
  <si>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</si>
  <si>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</si>
  <si>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</si>
  <si>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</si>
  <si>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</si>
  <si>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</si>
  <si>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</si>
  <si>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</si>
  <si>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</si>
  <si>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</si>
  <si>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</si>
  <si>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</si>
  <si>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</si>
  <si>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</si>
  <si>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</si>
  <si>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</si>
  <si>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</si>
  <si>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</si>
  <si>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</si>
  <si>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</si>
  <si>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</si>
  <si>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</si>
  <si>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</si>
  <si>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</si>
  <si>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</si>
  <si>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</si>
  <si>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</si>
  <si>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</si>
  <si>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</si>
  <si>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</si>
  <si>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</si>
  <si>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</si>
  <si>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</si>
  <si>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</si>
  <si>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</si>
  <si>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</si>
  <si>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</si>
  <si>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</si>
  <si>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</si>
  <si>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</si>
  <si>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</si>
  <si>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</si>
  <si>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</si>
  <si>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</si>
  <si>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</si>
  <si>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</si>
  <si>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</si>
  <si>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</si>
  <si>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</si>
  <si>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</si>
  <si>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</si>
  <si>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</si>
  <si>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</si>
  <si>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</si>
  <si>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</si>
  <si>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</si>
  <si>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</si>
  <si>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</si>
  <si>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</si>
  <si>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</si>
  <si>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</si>
  <si>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</si>
  <si>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</si>
  <si>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</si>
  <si>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</si>
  <si>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</si>
  <si>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</si>
  <si>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</si>
  <si>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</si>
  <si>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</si>
  <si>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</si>
  <si>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</si>
  <si>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</si>
  <si>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</si>
  <si>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</si>
  <si>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</si>
  <si>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</si>
  <si>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</si>
  <si>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</si>
  <si>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</si>
  <si>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</si>
  <si>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</si>
  <si>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</si>
  <si>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</si>
  <si>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</si>
  <si>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</si>
  <si>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</si>
  <si>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</si>
  <si>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</si>
  <si>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</si>
  <si>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</si>
  <si>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</si>
  <si>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</si>
  <si>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</si>
  <si>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</si>
  <si>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</si>
  <si>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</si>
  <si>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</si>
  <si>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</si>
  <si>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</si>
  <si>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</si>
  <si>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</si>
  <si>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</si>
  <si>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</si>
  <si>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</si>
  <si>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</si>
  <si>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</si>
  <si>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</si>
  <si>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</si>
  <si>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</si>
  <si>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</si>
  <si>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</si>
  <si>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</si>
  <si>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</si>
  <si>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</si>
  <si>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</si>
  <si>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</si>
  <si>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</si>
  <si>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</si>
  <si>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</si>
  <si>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</si>
  <si>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</si>
  <si>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</si>
  <si>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</si>
  <si>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</si>
  <si>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</si>
  <si>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</si>
  <si>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</si>
  <si>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</si>
  <si>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</si>
  <si>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</si>
  <si>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</si>
  <si>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</si>
  <si>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</si>
  <si>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</si>
  <si>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</si>
  <si>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</si>
  <si>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</si>
  <si>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</si>
  <si>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</si>
  <si>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</si>
  <si>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</si>
  <si>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</si>
  <si>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</si>
  <si>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</si>
  <si>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</si>
  <si>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</si>
  <si>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</si>
  <si>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</si>
  <si>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</si>
  <si>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</si>
  <si>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</si>
  <si>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</si>
  <si>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</si>
  <si>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</si>
  <si>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</si>
  <si>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</si>
  <si>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</si>
  <si>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</si>
  <si>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</si>
  <si>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</si>
  <si>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</si>
  <si>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</si>
  <si>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</si>
  <si>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</si>
  <si>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</si>
  <si>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</si>
  <si>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</si>
  <si>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</si>
  <si>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</si>
  <si>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</si>
  <si>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</si>
  <si>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</si>
  <si>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</si>
  <si>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</si>
  <si>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</si>
  <si>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</si>
  <si>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</si>
  <si>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</si>
  <si>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</si>
  <si>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</si>
  <si>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</si>
  <si>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</si>
  <si>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</si>
  <si>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</si>
  <si>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</si>
  <si>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</si>
  <si>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</si>
  <si>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</si>
  <si>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</si>
  <si>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</si>
  <si>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</si>
  <si>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</si>
  <si>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</si>
  <si>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</si>
  <si>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</si>
  <si>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</si>
  <si>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</si>
  <si>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</si>
  <si>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</si>
  <si>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</si>
  <si>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</si>
  <si>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</si>
  <si>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</si>
  <si>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</si>
  <si>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</si>
  <si>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</si>
  <si>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</si>
  <si>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</si>
  <si>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</si>
  <si>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</si>
  <si>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</si>
  <si>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</si>
  <si>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</si>
  <si>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</si>
  <si>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</si>
  <si>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</si>
  <si>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</si>
  <si>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</si>
  <si>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</si>
  <si>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</si>
  <si>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</si>
  <si>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</si>
  <si>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</si>
  <si>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</si>
  <si>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</si>
  <si>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</si>
  <si>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</si>
  <si>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</si>
  <si>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</si>
  <si>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</si>
  <si>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</si>
  <si>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</si>
  <si>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</si>
  <si>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</si>
  <si>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</si>
  <si>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</si>
  <si>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</si>
  <si>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</si>
  <si>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</si>
  <si>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</si>
  <si>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</si>
  <si>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</si>
  <si>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</si>
  <si>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</si>
  <si>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</si>
  <si>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</si>
  <si>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</si>
  <si>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</si>
  <si>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</si>
  <si>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</si>
  <si>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</si>
  <si>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</si>
  <si>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</si>
  <si>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</si>
  <si>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</si>
  <si>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</si>
  <si>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</si>
  <si>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</si>
  <si>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</si>
  <si>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</si>
  <si>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</si>
  <si>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</si>
  <si>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</si>
  <si>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</si>
  <si>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</si>
  <si>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</si>
  <si>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</si>
  <si>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</si>
  <si>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</si>
  <si>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</si>
  <si>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</si>
  <si>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</si>
  <si>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</si>
  <si>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</si>
  <si>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</si>
  <si>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</si>
  <si>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</si>
  <si>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</si>
  <si>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</si>
  <si>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</si>
  <si>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</si>
  <si>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</si>
  <si>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</si>
  <si>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</si>
  <si>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</si>
  <si>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</si>
  <si>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</si>
  <si>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</si>
  <si>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</si>
  <si>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</si>
  <si>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</si>
  <si>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</si>
  <si>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</si>
  <si>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</si>
  <si>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</si>
  <si>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</si>
  <si>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</si>
  <si>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</si>
  <si>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</si>
  <si>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</si>
  <si>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</si>
  <si>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</si>
  <si>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</si>
  <si>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</si>
  <si>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</si>
  <si>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</si>
  <si>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</si>
  <si>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</si>
  <si>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</si>
  <si>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</si>
  <si>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</si>
  <si>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</si>
  <si>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</si>
  <si>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</si>
  <si>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</si>
  <si>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</si>
  <si>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</si>
  <si>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</si>
  <si>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</si>
  <si>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</si>
  <si>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</si>
  <si>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</si>
  <si>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</si>
  <si>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</si>
  <si>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</si>
  <si>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</si>
  <si>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</si>
  <si>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</si>
  <si>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</si>
  <si>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</si>
  <si>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</si>
  <si>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</si>
  <si>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</si>
  <si>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</si>
  <si>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</si>
  <si>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</si>
  <si>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</si>
  <si>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</si>
  <si>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</si>
  <si>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</si>
  <si>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</si>
  <si>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</si>
  <si>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</si>
  <si>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</si>
  <si>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</si>
  <si>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</si>
  <si>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</si>
  <si>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</si>
  <si>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</si>
  <si>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</si>
  <si>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</si>
  <si>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</si>
  <si>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</si>
  <si>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</si>
  <si>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</si>
  <si>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</si>
  <si>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</si>
  <si>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</si>
  <si>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</si>
  <si>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</si>
  <si>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</si>
  <si>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</si>
  <si>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</si>
  <si>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</si>
  <si>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</si>
  <si>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</si>
  <si>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</si>
  <si>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</si>
  <si>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</si>
  <si>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</si>
  <si>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</si>
  <si>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</si>
  <si>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</si>
  <si>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</si>
  <si>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</si>
  <si>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</si>
  <si>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</si>
  <si>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</si>
  <si>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</si>
  <si>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</si>
  <si>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</si>
  <si>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</si>
  <si>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</si>
  <si>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</si>
  <si>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</si>
  <si>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</si>
  <si>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</si>
  <si>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</si>
  <si>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</si>
  <si>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</si>
  <si>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</si>
  <si>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</si>
  <si>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</si>
  <si>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</si>
  <si>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</si>
  <si>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</si>
  <si>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</si>
  <si>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</si>
  <si>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</si>
  <si>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</si>
  <si>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</si>
  <si>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</si>
  <si>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</si>
  <si>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</si>
  <si>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</si>
  <si>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</si>
  <si>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</si>
  <si>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</si>
  <si>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</si>
  <si>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</si>
  <si>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</si>
  <si>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</si>
  <si>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</si>
  <si>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</si>
  <si>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</si>
  <si>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</si>
  <si>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</si>
  <si>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</si>
  <si>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</si>
  <si>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</si>
  <si>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</si>
  <si>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</si>
  <si>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</si>
  <si>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</si>
  <si>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</si>
  <si>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</si>
  <si>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</si>
  <si>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</si>
  <si>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</si>
  <si>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</si>
  <si>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</si>
  <si>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</si>
  <si>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</si>
  <si>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</si>
  <si>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</si>
  <si>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</si>
  <si>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</si>
  <si>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</si>
  <si>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</si>
  <si>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</si>
  <si>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</si>
  <si>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</si>
  <si>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</si>
  <si>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</si>
  <si>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</si>
  <si>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</si>
  <si>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</si>
  <si>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</si>
  <si>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</si>
  <si>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</si>
  <si>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</si>
  <si>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</si>
  <si>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</si>
  <si>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</si>
  <si>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</si>
  <si>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</si>
  <si>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</si>
  <si>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</si>
  <si>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</si>
  <si>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</si>
  <si>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</si>
  <si>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</si>
  <si>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</si>
  <si>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</si>
  <si>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</si>
  <si>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</si>
  <si>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</si>
  <si>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</si>
  <si>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</si>
  <si>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</si>
  <si>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</si>
  <si>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</si>
  <si>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</si>
  <si>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</si>
  <si>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</si>
  <si>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</si>
  <si>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</si>
  <si>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</si>
  <si>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</si>
  <si>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</si>
  <si>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</si>
  <si>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</si>
  <si>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</si>
  <si>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</si>
  <si>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</si>
  <si>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</si>
  <si>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</si>
  <si>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</si>
  <si>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</si>
  <si>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</si>
  <si>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</si>
  <si>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</si>
  <si>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</si>
  <si>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</si>
  <si>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</si>
  <si>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</si>
  <si>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</si>
  <si>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</si>
  <si>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</si>
  <si>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</si>
  <si>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</si>
  <si>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</si>
  <si>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</si>
  <si>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</si>
  <si>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</si>
  <si>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</si>
  <si>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</si>
  <si>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</si>
  <si>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</si>
  <si>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</si>
  <si>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</si>
  <si>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</si>
  <si>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</si>
  <si>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</si>
  <si>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</si>
  <si>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</si>
  <si>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</si>
  <si>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</si>
  <si>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</si>
  <si>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</si>
  <si>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</si>
  <si>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</si>
  <si>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</si>
  <si>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</si>
  <si>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</si>
  <si>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</si>
  <si>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</si>
  <si>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</si>
  <si>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</si>
  <si>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</si>
  <si>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</si>
  <si>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</si>
  <si>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</si>
  <si>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</si>
  <si>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</si>
  <si>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</si>
  <si>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</si>
  <si>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</si>
  <si>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</si>
  <si>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</si>
  <si>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</si>
  <si>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</si>
  <si>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</si>
  <si>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</si>
  <si>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</si>
  <si>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</si>
  <si>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</si>
  <si>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</si>
  <si>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</si>
  <si>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</si>
  <si>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</si>
  <si>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</si>
  <si>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</si>
  <si>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</si>
  <si>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</si>
  <si>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</si>
  <si>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</si>
  <si>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</si>
  <si>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</si>
  <si>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</si>
  <si>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</si>
  <si>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</si>
  <si>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</si>
  <si>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</si>
  <si>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</si>
  <si>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</si>
  <si>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</si>
  <si>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</si>
  <si>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</si>
  <si>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</si>
  <si>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</si>
  <si>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</si>
  <si>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</si>
  <si>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</si>
  <si>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</si>
  <si>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</si>
  <si>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</si>
  <si>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</si>
  <si>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</si>
  <si>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</si>
  <si>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</si>
  <si>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</si>
  <si>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</si>
  <si>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</si>
  <si>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</si>
  <si>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</si>
  <si>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</si>
  <si>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</si>
  <si>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</si>
  <si>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</si>
  <si>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</si>
  <si>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</si>
  <si>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</si>
  <si>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</si>
  <si>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</si>
  <si>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</si>
  <si>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</si>
  <si>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</si>
  <si>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</si>
  <si>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</si>
  <si>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</si>
  <si>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</si>
  <si>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</si>
  <si>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</si>
  <si>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</si>
  <si>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</si>
  <si>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</si>
  <si>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</si>
  <si>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</si>
  <si>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</si>
  <si>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</si>
  <si>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</si>
  <si>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</si>
  <si>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</si>
  <si>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</si>
  <si>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</si>
  <si>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</si>
  <si>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</si>
  <si>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</si>
  <si>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</si>
  <si>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</si>
  <si>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</si>
  <si>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</si>
  <si>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</si>
  <si>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</si>
  <si>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</si>
  <si>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</si>
  <si>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</si>
  <si>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</si>
  <si>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</si>
  <si>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</si>
  <si>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</si>
  <si>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</si>
  <si>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</si>
  <si>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</si>
  <si>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</si>
  <si>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</si>
  <si>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</si>
  <si>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</si>
  <si>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</si>
  <si>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</si>
  <si>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</si>
  <si>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</si>
  <si>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</si>
  <si>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</si>
  <si>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</si>
  <si>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</si>
  <si>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</si>
  <si>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</si>
  <si>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</si>
  <si>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</si>
  <si>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</si>
  <si>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</si>
  <si>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</si>
  <si>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</si>
  <si>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</si>
  <si>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</si>
  <si>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</si>
  <si>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</si>
  <si>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</si>
  <si>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</si>
  <si>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</si>
  <si>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</si>
  <si>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</si>
  <si>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</si>
  <si>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</si>
  <si>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</si>
  <si>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</si>
  <si>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</si>
  <si>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</si>
  <si>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</si>
  <si>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</si>
  <si>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</si>
  <si>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</si>
  <si>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</si>
  <si>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</si>
  <si>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</si>
  <si>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</si>
  <si>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</si>
  <si>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</si>
  <si>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</si>
  <si>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</si>
  <si>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</si>
  <si>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</si>
  <si>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</si>
  <si>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</si>
  <si>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</si>
  <si>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</si>
  <si>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</si>
  <si>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</si>
  <si>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</si>
  <si>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</si>
  <si>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</si>
  <si>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</si>
  <si>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</si>
  <si>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</si>
  <si>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</si>
  <si>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</si>
  <si>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</si>
  <si>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</si>
  <si>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</si>
  <si>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</si>
  <si>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</si>
  <si>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</si>
  <si>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</si>
  <si>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</si>
  <si>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</si>
  <si>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</si>
  <si>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</si>
  <si>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</si>
  <si>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</si>
  <si>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</si>
  <si>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</si>
  <si>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</si>
  <si>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</si>
  <si>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</si>
  <si>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</si>
  <si>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</si>
  <si>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</si>
  <si>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</si>
  <si>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</si>
  <si>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</si>
  <si>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</si>
  <si>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</si>
  <si>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</si>
  <si>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</si>
  <si>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</si>
  <si>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</si>
  <si>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</si>
  <si>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</si>
  <si>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</si>
  <si>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</si>
  <si>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</si>
  <si>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</si>
  <si>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</si>
  <si>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</si>
  <si>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</si>
  <si>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</si>
  <si>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</si>
  <si>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</si>
  <si>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</si>
  <si>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</si>
  <si>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</si>
  <si>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</si>
  <si>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</si>
  <si>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</si>
  <si>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</si>
  <si>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</si>
  <si>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</si>
  <si>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</si>
  <si>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</si>
  <si>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</si>
  <si>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</si>
  <si>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</si>
  <si>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</si>
  <si>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</si>
  <si>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</si>
  <si>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</si>
  <si>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</si>
  <si>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</si>
  <si>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</si>
  <si>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</si>
  <si>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</si>
  <si>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</si>
  <si>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</si>
  <si>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</si>
  <si>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</si>
  <si>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</si>
  <si>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</si>
  <si>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</si>
  <si>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</si>
  <si>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</si>
  <si>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</si>
  <si>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</si>
  <si>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</si>
  <si>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</si>
  <si>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</si>
  <si>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</si>
  <si>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</si>
  <si>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</si>
  <si>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</si>
  <si>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</si>
  <si>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</si>
  <si>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</si>
  <si>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</si>
  <si>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</si>
  <si>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</si>
  <si>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</si>
  <si>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</si>
  <si>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</si>
  <si>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</si>
  <si>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</si>
  <si>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</si>
  <si>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</si>
  <si>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</si>
  <si>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</si>
  <si>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</si>
  <si>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</si>
  <si>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</si>
  <si>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</si>
  <si>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</si>
  <si>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</si>
  <si>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</si>
  <si>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</si>
  <si>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</si>
  <si>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房地产抵押价值</t>
  </si>
  <si>
    <t>抵押</t>
  </si>
  <si>
    <t>商业</t>
    <phoneticPr fontId="3" type="noConversion"/>
  </si>
  <si>
    <t>地上</t>
  </si>
  <si>
    <t>建筑面积</t>
    <phoneticPr fontId="247" type="noConversion"/>
  </si>
  <si>
    <t>1号楼-101</t>
    <phoneticPr fontId="247" type="noConversion"/>
  </si>
  <si>
    <t>1号楼205</t>
    <phoneticPr fontId="247" type="noConversion"/>
  </si>
  <si>
    <t>2号楼-101</t>
    <phoneticPr fontId="247" type="noConversion"/>
  </si>
  <si>
    <t>3号楼-101</t>
    <phoneticPr fontId="247" type="noConversion"/>
  </si>
  <si>
    <t>1号楼-102</t>
    <phoneticPr fontId="247" type="noConversion"/>
  </si>
  <si>
    <t>1号楼206</t>
  </si>
  <si>
    <t>2号楼101</t>
    <phoneticPr fontId="247" type="noConversion"/>
  </si>
  <si>
    <t>3号楼-102</t>
  </si>
  <si>
    <t>1号楼-103</t>
  </si>
  <si>
    <t>1号楼207</t>
  </si>
  <si>
    <t>2号楼102</t>
  </si>
  <si>
    <t>3号楼101</t>
    <phoneticPr fontId="247" type="noConversion"/>
  </si>
  <si>
    <t>1号楼-104</t>
  </si>
  <si>
    <t>1号楼208</t>
  </si>
  <si>
    <t>2号楼103</t>
  </si>
  <si>
    <t>3号楼102</t>
  </si>
  <si>
    <t>1号楼-105</t>
  </si>
  <si>
    <t>1号楼209</t>
  </si>
  <si>
    <t>2号楼105</t>
  </si>
  <si>
    <t>3号楼201</t>
    <phoneticPr fontId="247" type="noConversion"/>
  </si>
  <si>
    <t>1号楼-106</t>
  </si>
  <si>
    <t>1号楼210</t>
  </si>
  <si>
    <t>2号楼201</t>
    <phoneticPr fontId="247" type="noConversion"/>
  </si>
  <si>
    <t>3号楼202</t>
  </si>
  <si>
    <t>1号楼101</t>
    <phoneticPr fontId="247" type="noConversion"/>
  </si>
  <si>
    <t>1号楼301</t>
    <phoneticPr fontId="247" type="noConversion"/>
  </si>
  <si>
    <t>2号楼202</t>
  </si>
  <si>
    <t>3号楼301</t>
    <phoneticPr fontId="247" type="noConversion"/>
  </si>
  <si>
    <t>1号楼102</t>
    <phoneticPr fontId="247" type="noConversion"/>
  </si>
  <si>
    <t>1号楼302</t>
  </si>
  <si>
    <t>2号楼203</t>
  </si>
  <si>
    <t>3号楼302</t>
  </si>
  <si>
    <t>1号楼103</t>
  </si>
  <si>
    <t>1号楼303</t>
  </si>
  <si>
    <t>2号楼301</t>
    <phoneticPr fontId="247" type="noConversion"/>
  </si>
  <si>
    <t>1号楼104</t>
  </si>
  <si>
    <t>1号楼304</t>
  </si>
  <si>
    <t>2号楼302</t>
  </si>
  <si>
    <t>1号楼105</t>
  </si>
  <si>
    <t>1号楼305</t>
  </si>
  <si>
    <t>1号楼106</t>
  </si>
  <si>
    <t>1号楼306</t>
  </si>
  <si>
    <t>1号楼201</t>
    <phoneticPr fontId="247" type="noConversion"/>
  </si>
  <si>
    <t>1号楼307</t>
  </si>
  <si>
    <t>1号楼202</t>
  </si>
  <si>
    <t>1号楼308</t>
  </si>
  <si>
    <t>1号楼309</t>
  </si>
  <si>
    <t>1号楼204</t>
  </si>
  <si>
    <t>1号楼310</t>
  </si>
  <si>
    <t>1号楼</t>
    <phoneticPr fontId="247" type="noConversion"/>
  </si>
  <si>
    <t>2号楼</t>
    <phoneticPr fontId="247" type="noConversion"/>
  </si>
  <si>
    <t>3号楼</t>
    <phoneticPr fontId="247" type="noConversion"/>
  </si>
  <si>
    <t>合计</t>
    <phoneticPr fontId="247" type="noConversion"/>
  </si>
  <si>
    <t xml:space="preserve"> -1层</t>
    <phoneticPr fontId="247" type="noConversion"/>
  </si>
  <si>
    <t>1层</t>
    <phoneticPr fontId="247" type="noConversion"/>
  </si>
  <si>
    <t>2层</t>
    <phoneticPr fontId="247" type="noConversion"/>
  </si>
  <si>
    <t>3层</t>
    <phoneticPr fontId="247" type="noConversion"/>
  </si>
  <si>
    <t>地下</t>
  </si>
  <si>
    <t>商业</t>
    <phoneticPr fontId="7" type="noConversion"/>
  </si>
  <si>
    <t>是</t>
  </si>
  <si>
    <t>成新度</t>
  </si>
  <si>
    <t>利息：取LPR加浮动点数</t>
  </si>
  <si>
    <t>楼层修正</t>
  </si>
  <si>
    <t>不临65条商业街</t>
  </si>
  <si>
    <t>与级别开发程度一致</t>
  </si>
  <si>
    <t>未包含在土地购买价格中</t>
  </si>
  <si>
    <t>已包含在土地取得成本中</t>
  </si>
  <si>
    <t>全部缴纳</t>
  </si>
  <si>
    <t>收益法</t>
  </si>
  <si>
    <t>北京银都房地产发展有限公司</t>
  </si>
  <si>
    <t>序号</t>
  </si>
  <si>
    <t>物业位置*</t>
  </si>
  <si>
    <t>租客名称*</t>
  </si>
  <si>
    <t>租客经营品牌简称</t>
  </si>
  <si>
    <t>承租物业（层数+单元）*</t>
  </si>
  <si>
    <r>
      <rPr>
        <b/>
        <sz val="11"/>
        <color rgb="FFFF0000"/>
        <rFont val="宋体"/>
        <family val="3"/>
        <charset val="134"/>
        <scheme val="minor"/>
      </rPr>
      <t>实际租赁面积（m</t>
    </r>
    <r>
      <rPr>
        <b/>
        <vertAlign val="superscript"/>
        <sz val="11"/>
        <color rgb="FFFF0000"/>
        <rFont val="宋体"/>
        <family val="3"/>
        <charset val="134"/>
        <scheme val="minor"/>
      </rPr>
      <t>2</t>
    </r>
    <r>
      <rPr>
        <b/>
        <sz val="11"/>
        <color rgb="FFFF0000"/>
        <rFont val="宋体"/>
        <family val="3"/>
        <charset val="134"/>
        <scheme val="minor"/>
      </rPr>
      <t>)*</t>
    </r>
  </si>
  <si>
    <t>租金
（元）*</t>
  </si>
  <si>
    <t>租金单价
（元）</t>
  </si>
  <si>
    <t>管理费（元）*</t>
  </si>
  <si>
    <t>管理费单价</t>
  </si>
  <si>
    <t>收入合计数（元）*</t>
  </si>
  <si>
    <t>租赁起始日（YYYY/MM/DD）*</t>
  </si>
  <si>
    <t>租赁到期日
（YYYY/MM/DD）*</t>
  </si>
  <si>
    <t>租金支付频次*</t>
  </si>
  <si>
    <t>北京市海淀区西直门北大街32号院1号楼等3幢部分房地产</t>
  </si>
  <si>
    <t>北京必胜客比萨饼有限公司</t>
  </si>
  <si>
    <t>必胜客</t>
  </si>
  <si>
    <t>A座一层</t>
  </si>
  <si>
    <t>按季</t>
  </si>
  <si>
    <t>北京市海淀区西直门北大街32号枫蓝国际中心商场B座一层</t>
  </si>
  <si>
    <t>北京肯德基有限公司</t>
  </si>
  <si>
    <t>肯德基</t>
  </si>
  <si>
    <t>北京市海淀区西直门北大街32号院1号楼一层106-2</t>
  </si>
  <si>
    <t>北京星巴克咖啡有限公司</t>
  </si>
  <si>
    <t>星巴克</t>
  </si>
  <si>
    <t>1号楼一层106-2</t>
  </si>
  <si>
    <t>按月</t>
  </si>
  <si>
    <t>北京市海淀区西直门北大街32号院1号楼一层104号</t>
  </si>
  <si>
    <t>通用磨坊贸易（上海）有限公司</t>
  </si>
  <si>
    <t>哈根达斯Häagen-Dazs</t>
  </si>
  <si>
    <t>1号楼一层104号</t>
  </si>
  <si>
    <t>北京市海淀区西直门北大街32号院2号楼一层101-6至20号</t>
  </si>
  <si>
    <t>北京丰茂餐饮有限公司</t>
  </si>
  <si>
    <t>丰茂烤串</t>
  </si>
  <si>
    <t>2号楼一层101-6至20号</t>
  </si>
  <si>
    <t>北京市海淀区西直门北大街32号院2号楼一层103-5至7号</t>
  </si>
  <si>
    <t>北京法麦香溢食品有限公司</t>
  </si>
  <si>
    <t>巴黎贝甜</t>
  </si>
  <si>
    <t>2号楼一层103-5至7号</t>
  </si>
  <si>
    <t>北京市海淀区西直门北大街32号院2号楼一层103-23至24号</t>
  </si>
  <si>
    <t>北京西舍文化发展有限公司</t>
  </si>
  <si>
    <t>Seesaw</t>
  </si>
  <si>
    <t>2号楼一层103-23至24号</t>
  </si>
  <si>
    <t>北京市海淀区西直门北大街32号院3号楼一层101-100至107号</t>
  </si>
  <si>
    <t>北京麦达人餐饮管理有限公司</t>
  </si>
  <si>
    <t>原麦山丘</t>
  </si>
  <si>
    <t>3号楼一层101-100至107号</t>
  </si>
  <si>
    <t>北京市海淀区西直门北大街32号院3号楼一层102-5至6号</t>
  </si>
  <si>
    <t>北京灵感之茶餐饮管理有限公司</t>
  </si>
  <si>
    <t>喜茶HEYTEA</t>
  </si>
  <si>
    <t>3号楼一层102-5至6号</t>
  </si>
  <si>
    <t>北京市海淀区西直门北大街32号院3号楼一层102</t>
  </si>
  <si>
    <t>北京悦活餐饮管理有限责任公司</t>
  </si>
  <si>
    <t>BLUEGLASS</t>
  </si>
  <si>
    <t>3号楼一层102</t>
  </si>
  <si>
    <t>北京市海淀区西直门北大街 32 号院3号楼一层102</t>
  </si>
  <si>
    <t>卡洛斯（北京）餐饮有限责任公司</t>
  </si>
  <si>
    <t xml:space="preserve">nama  cocoa </t>
  </si>
  <si>
    <t>北京市海淀区西直门北大街 32 号院3号楼三层301</t>
  </si>
  <si>
    <t>3号楼三层301</t>
  </si>
  <si>
    <t>北京市海淀区西直门北大街32号院3号楼一层101-1-5号</t>
  </si>
  <si>
    <t>沃歌斯（天津）餐饮管理有限公司</t>
  </si>
  <si>
    <t>wagas</t>
  </si>
  <si>
    <t>3号楼一层101-1-5号</t>
  </si>
  <si>
    <t>北京市海淀区西直门北大街32号院1号楼2层210-第1-16号</t>
  </si>
  <si>
    <t>北京中天火炉火餐饮有限公司</t>
  </si>
  <si>
    <t>火炉火</t>
  </si>
  <si>
    <t>1号楼2层210-第1-16号</t>
  </si>
  <si>
    <t>北京市海淀区西直门北大街32号院1号楼二层210</t>
  </si>
  <si>
    <t>北京聚湘源餐饮有限公司</t>
  </si>
  <si>
    <t>潇湘阁</t>
  </si>
  <si>
    <t>1号楼二层210</t>
  </si>
  <si>
    <t>北京市海淀区西直门北大街32号院1号楼二层210-25至29号</t>
  </si>
  <si>
    <t>北京速胜博叁餐饮有限公司</t>
  </si>
  <si>
    <t>锦尚阁</t>
  </si>
  <si>
    <t>1号楼二层210-25至29号</t>
  </si>
  <si>
    <t>北京市海淀区西直门北大街32号院1号楼二层210-30至41号及库房</t>
  </si>
  <si>
    <t>北京文慧京华烟云餐饮有限责任公司</t>
  </si>
  <si>
    <t>京华烟云</t>
  </si>
  <si>
    <t>1号楼二层210-30至41号及库房</t>
  </si>
  <si>
    <t>北京市海淀区西直门北大街32号院2号楼二层203-第3至27号房间</t>
  </si>
  <si>
    <t>北京西贝凤兰餐饮管理有限公司</t>
  </si>
  <si>
    <t>西贝</t>
  </si>
  <si>
    <t>2号楼二层203-第3至27号房间</t>
  </si>
  <si>
    <t>北京市海淀区西直门北大街32号院2号楼二层203-2号</t>
  </si>
  <si>
    <t>同心坊（北京）餐饮管理有限公司</t>
  </si>
  <si>
    <t>韩时烤肉</t>
  </si>
  <si>
    <t>2号楼二层203-2号</t>
  </si>
  <si>
    <t>北京市海淀区西直门北大街32号院2号楼二层201-33至68号房间</t>
  </si>
  <si>
    <t>眉州东坡餐饮管理（北京）有限公司</t>
  </si>
  <si>
    <t>眉州东坡酒楼</t>
  </si>
  <si>
    <t>2号楼二层201-33至68号房间</t>
  </si>
  <si>
    <t>北京市海淀区西直门北大街32号院2号楼二层203-43号房间</t>
  </si>
  <si>
    <t>朱沛豪</t>
  </si>
  <si>
    <r>
      <rPr>
        <sz val="10"/>
        <color theme="1"/>
        <rFont val="宋体"/>
        <family val="3"/>
        <charset val="134"/>
        <scheme val="minor"/>
      </rPr>
      <t>ARTE</t>
    </r>
    <r>
      <rPr>
        <sz val="10"/>
        <color theme="1"/>
        <rFont val="宋体"/>
        <family val="3"/>
        <charset val="134"/>
        <scheme val="minor"/>
      </rPr>
      <t>∀</t>
    </r>
    <r>
      <rPr>
        <sz val="10"/>
        <color theme="1"/>
        <rFont val="宋体"/>
        <family val="3"/>
        <charset val="134"/>
        <scheme val="minor"/>
      </rPr>
      <t>SG</t>
    </r>
  </si>
  <si>
    <t>2号楼二层203-43号房间</t>
  </si>
  <si>
    <t>北京市海淀区西直门北大街32号院3号楼二层201</t>
  </si>
  <si>
    <t xml:space="preserve">北京阳光撒露投资发展有限公司 </t>
  </si>
  <si>
    <t>Salud撒露</t>
  </si>
  <si>
    <t>3号楼二层201</t>
  </si>
  <si>
    <t>北京市海淀区西直门北大街32号院3号楼二层202</t>
  </si>
  <si>
    <t>贝特比商贸（北京）有限公司</t>
  </si>
  <si>
    <t>cococean</t>
  </si>
  <si>
    <t>3号楼二层202</t>
  </si>
  <si>
    <t>北京市海淀区西直门北大街32号院3号楼二层202-第33至45号</t>
  </si>
  <si>
    <t>北京船歌餐饮管理服务有限公司</t>
  </si>
  <si>
    <t>船歌鱼水饺</t>
  </si>
  <si>
    <t>3号楼二层202-第33至45号</t>
  </si>
  <si>
    <t>北京市海淀区西直门北大街32号院2号楼三层301-1至7号房间</t>
  </si>
  <si>
    <t>贝拉吉奥（北京）餐饮管理有限公司</t>
  </si>
  <si>
    <t>鹿港小镇</t>
  </si>
  <si>
    <t>2号楼三层301-1至7号房间</t>
  </si>
  <si>
    <t>北京市海淀区西直门北大街32号院2号楼三层302-27至57号房间、2号楼三层302-60号房间</t>
  </si>
  <si>
    <t>海鸿达（北京）餐饮管理有限公司</t>
  </si>
  <si>
    <t>海底捞</t>
  </si>
  <si>
    <t>北京市海淀区西直门北大街32号院2号楼三层302</t>
  </si>
  <si>
    <t>北京文慧泰合院餐饮有限责任公司</t>
  </si>
  <si>
    <t>千乘泰合院</t>
  </si>
  <si>
    <t>2号楼三层302</t>
  </si>
  <si>
    <t>北京市海淀区西直门北大街32号院2号楼三层302-3至12号</t>
  </si>
  <si>
    <t>伊豆野菜村（北京）餐饮管理有限公司海淀第二分公司</t>
  </si>
  <si>
    <t>伊豆野菜村</t>
  </si>
  <si>
    <t>2号楼三层302-3至12号</t>
  </si>
  <si>
    <r>
      <rPr>
        <sz val="10"/>
        <color theme="1"/>
        <rFont val="宋体"/>
        <family val="3"/>
        <charset val="134"/>
        <scheme val="minor"/>
      </rPr>
      <t>北京市海淀区西直门北大街32号院</t>
    </r>
    <r>
      <rPr>
        <u/>
        <sz val="10"/>
        <color theme="1"/>
        <rFont val="宋体"/>
        <family val="3"/>
        <charset val="134"/>
        <scheme val="minor"/>
      </rPr>
      <t>2</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302-13至17</t>
    </r>
    <r>
      <rPr>
        <sz val="10"/>
        <color theme="1"/>
        <rFont val="宋体"/>
        <family val="3"/>
        <charset val="134"/>
        <scheme val="minor"/>
      </rPr>
      <t>号房间</t>
    </r>
  </si>
  <si>
    <t>京容大西岚餐饮（北京）有限公司</t>
  </si>
  <si>
    <t>牛角</t>
  </si>
  <si>
    <t>2号楼三层302-13至17号房间</t>
  </si>
  <si>
    <t>北京市海淀区西直门北大街32号院2号楼三层302-21至26号</t>
  </si>
  <si>
    <t>北京盐盐牛排西餐有限公司</t>
  </si>
  <si>
    <t>牛排家</t>
  </si>
  <si>
    <t>2号楼三层302-21至26号</t>
  </si>
  <si>
    <t>北京市海淀区西直门北大街32号院2号楼三层302-27至29号</t>
  </si>
  <si>
    <t>争鲜（上海）食品有限公司北京海淀第九餐饮分公司</t>
  </si>
  <si>
    <t>争鲜</t>
  </si>
  <si>
    <t>2号楼三层302-27至29号</t>
  </si>
  <si>
    <r>
      <rPr>
        <sz val="10"/>
        <color theme="1"/>
        <rFont val="宋体"/>
        <family val="3"/>
        <charset val="134"/>
        <scheme val="minor"/>
      </rPr>
      <t>北京市海淀区西直门北大街32号院</t>
    </r>
    <r>
      <rPr>
        <u/>
        <sz val="10"/>
        <color theme="1"/>
        <rFont val="宋体"/>
        <family val="3"/>
        <charset val="134"/>
        <scheme val="minor"/>
      </rPr>
      <t>2</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302-61至67</t>
    </r>
    <r>
      <rPr>
        <sz val="10"/>
        <color theme="1"/>
        <rFont val="宋体"/>
        <family val="3"/>
        <charset val="134"/>
        <scheme val="minor"/>
      </rPr>
      <t>号</t>
    </r>
  </si>
  <si>
    <t>北京沸腾鱼乡餐饮有限责任公司</t>
  </si>
  <si>
    <t>沸腾鱼乡</t>
  </si>
  <si>
    <t>2号楼三层302-61至67号</t>
  </si>
  <si>
    <r>
      <rPr>
        <sz val="10"/>
        <color theme="1"/>
        <rFont val="宋体"/>
        <family val="3"/>
        <charset val="134"/>
        <scheme val="minor"/>
      </rPr>
      <t>北京市海淀区西直门北大街32号院</t>
    </r>
    <r>
      <rPr>
        <u/>
        <sz val="10"/>
        <color theme="1"/>
        <rFont val="宋体"/>
        <family val="3"/>
        <charset val="134"/>
        <scheme val="minor"/>
      </rPr>
      <t>2</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302-18至20</t>
    </r>
    <r>
      <rPr>
        <sz val="10"/>
        <color theme="1"/>
        <rFont val="宋体"/>
        <family val="3"/>
        <charset val="134"/>
        <scheme val="minor"/>
      </rPr>
      <t>号</t>
    </r>
  </si>
  <si>
    <t>2号楼三层302-18至20号</t>
  </si>
  <si>
    <t>北京市海淀区西直门北大街32号院2号楼三层302-74号</t>
  </si>
  <si>
    <t>北京亿泓餐饮有限公司</t>
  </si>
  <si>
    <t>COCO都可</t>
  </si>
  <si>
    <t>2号楼三层302-74号</t>
  </si>
  <si>
    <r>
      <rPr>
        <sz val="10"/>
        <color theme="1"/>
        <rFont val="宋体"/>
        <family val="3"/>
        <charset val="134"/>
        <scheme val="minor"/>
      </rPr>
      <t>北京市海淀区西直门北大街32号院</t>
    </r>
    <r>
      <rPr>
        <u/>
        <sz val="10"/>
        <color theme="1"/>
        <rFont val="宋体"/>
        <family val="3"/>
        <charset val="134"/>
        <scheme val="minor"/>
      </rPr>
      <t>2</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302-76</t>
    </r>
    <r>
      <rPr>
        <sz val="10"/>
        <color theme="1"/>
        <rFont val="宋体"/>
        <family val="3"/>
        <charset val="134"/>
        <scheme val="minor"/>
      </rPr>
      <t>号房间</t>
    </r>
  </si>
  <si>
    <t>北京美味优食品有限公司</t>
  </si>
  <si>
    <t>西树泡芙</t>
  </si>
  <si>
    <t>2号楼三层302-76号房间</t>
  </si>
  <si>
    <t>北京市海淀区西直门北大街32号院3号楼地下一层-101号</t>
  </si>
  <si>
    <t>闫帆</t>
  </si>
  <si>
    <t>元寳甑糕</t>
  </si>
  <si>
    <t>地下一层-101号</t>
  </si>
  <si>
    <t>北京市海淀区西直门北大街32号院3号楼地下一层-101</t>
  </si>
  <si>
    <t>爱尚鲜果（北京）商业连锁有限公司海淀分公司</t>
  </si>
  <si>
    <t>野人牧坊</t>
  </si>
  <si>
    <t>地下一层-101</t>
  </si>
  <si>
    <t>北京市海淀区西直门北大街32号院3号楼地下一层-101-8至9号</t>
  </si>
  <si>
    <t>千寻百味（北京）餐饮管理有限公司</t>
  </si>
  <si>
    <t>海盗虾饭</t>
  </si>
  <si>
    <t>3号楼地下一层-101-8至9号</t>
  </si>
  <si>
    <t>北京市海淀区西直门北大街32号院3号楼地下一层-101-10号</t>
  </si>
  <si>
    <t>北京一手店食品有限公司</t>
  </si>
  <si>
    <t>一手店</t>
  </si>
  <si>
    <t>3号楼地下一层-101-10号</t>
  </si>
  <si>
    <t>北京市海淀区西直门北大街32号院3号楼地下一层-101-12号</t>
  </si>
  <si>
    <t>北京臻奇诚品网络科技有限公司</t>
  </si>
  <si>
    <t>稻香村</t>
  </si>
  <si>
    <t>3号楼地下一层-101-12号</t>
  </si>
  <si>
    <t>北京市海淀区西直门北大街32号院3号楼地下一层-101-13号</t>
  </si>
  <si>
    <t>北京沐淇源餐饮管理有限公司</t>
  </si>
  <si>
    <t>三元梅园</t>
  </si>
  <si>
    <t>3号楼地下一层-101-13号</t>
  </si>
  <si>
    <t>北京市海淀区西直门北大街32号院3号楼地下一层-101-14号</t>
  </si>
  <si>
    <t>北京啤鲜生酒业有限公司</t>
  </si>
  <si>
    <t>优布劳精酿啤酒</t>
  </si>
  <si>
    <t>3号楼地下一层-101-14号</t>
  </si>
  <si>
    <t>北京市海淀区西直门北大街32号院3号楼地下一层-101-15号</t>
  </si>
  <si>
    <t>河北金景居食品销售有限公司</t>
  </si>
  <si>
    <t>糖葫芦、驴打滚</t>
  </si>
  <si>
    <t>3号楼地下一层-101-15号</t>
  </si>
  <si>
    <t>北京市海淀区西直门北大街32号院3号楼地下一层-101-16号</t>
  </si>
  <si>
    <t>北京林楚梓夕商贸有限公司</t>
  </si>
  <si>
    <t>梅你不渴</t>
  </si>
  <si>
    <t>3号楼地下一层-101-16号</t>
  </si>
  <si>
    <t>北京市海淀区西直门北大街32号院3号楼地下一层-101-17号</t>
  </si>
  <si>
    <t>北京唐饼家食品有限公司</t>
  </si>
  <si>
    <t>唐饼家</t>
  </si>
  <si>
    <t>3号楼地下一层-101-17号</t>
  </si>
  <si>
    <t>北京玺文商务服务有限公司</t>
  </si>
  <si>
    <t>薛记炒货</t>
  </si>
  <si>
    <t>3号楼地下一层-101</t>
  </si>
  <si>
    <t>北京祯祺餐饮管理有限公司</t>
  </si>
  <si>
    <t xml:space="preserve">绝味鸭脖 </t>
  </si>
  <si>
    <t>北京市海淀区西直门北大街32号院3号楼地下一层-101-19号</t>
  </si>
  <si>
    <t>北京心之膂餐饮管理有限公司</t>
  </si>
  <si>
    <t>讨喜烧</t>
  </si>
  <si>
    <t>3号楼地下一层-101-19号</t>
  </si>
  <si>
    <t>北京市海淀区西直门北大街32号院3号楼地下一层-101-22号</t>
  </si>
  <si>
    <t>北京筑地银餐饮服务有限公司</t>
  </si>
  <si>
    <t>筑地银</t>
  </si>
  <si>
    <t>3号楼地下一层-101-22号</t>
  </si>
  <si>
    <t>北京市海淀区西直门北大街32号院1号楼地下一层-104</t>
  </si>
  <si>
    <t>北京金焕焕餐饮文化管理有限公司</t>
  </si>
  <si>
    <t>金烫烫</t>
  </si>
  <si>
    <t>地下一层-104</t>
  </si>
  <si>
    <t>北京陈风破浪餐饮管理有限公司</t>
  </si>
  <si>
    <t>马记永</t>
  </si>
  <si>
    <t>北京市海淀区西直门北大街32号院3号楼地下一层-101-1号</t>
  </si>
  <si>
    <t>廖艳华</t>
  </si>
  <si>
    <t>廖记棒棒鸡</t>
  </si>
  <si>
    <t>3号楼地下一层-101-1号</t>
  </si>
  <si>
    <t>北京市海淀区西直门北大街32号院3号楼地下一层-101-2号</t>
  </si>
  <si>
    <t>北京聚百味餐饮有限公司</t>
  </si>
  <si>
    <t>阿甘锅盔</t>
  </si>
  <si>
    <t>3号楼地下一层-101-2号</t>
  </si>
  <si>
    <t>北京油梨树企业管理有限公司</t>
  </si>
  <si>
    <t>油梨树</t>
  </si>
  <si>
    <t>北京市海淀区西直门北大街32号院3号楼地下一层-101-第20至21号</t>
  </si>
  <si>
    <t>优禾生活新实业（上海）有限公司</t>
  </si>
  <si>
    <t>优禾生活</t>
  </si>
  <si>
    <t>3号楼地下一层-101-第20至21号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</si>
  <si>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地下一</t>
    </r>
    <r>
      <rPr>
        <sz val="10"/>
        <color theme="1"/>
        <rFont val="宋体"/>
        <family val="3"/>
        <charset val="134"/>
        <scheme val="minor"/>
      </rPr>
      <t>层</t>
    </r>
    <r>
      <rPr>
        <u/>
        <sz val="10"/>
        <color theme="1"/>
        <rFont val="宋体"/>
        <family val="3"/>
        <charset val="134"/>
        <scheme val="minor"/>
      </rPr>
      <t>-101</t>
    </r>
  </si>
  <si>
    <t>北京全牛匠餐饮管理有限公司</t>
  </si>
  <si>
    <t>全牛匠</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</si>
  <si>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地下一</t>
    </r>
    <r>
      <rPr>
        <sz val="10"/>
        <color theme="1"/>
        <rFont val="宋体"/>
        <family val="3"/>
        <charset val="134"/>
        <scheme val="minor"/>
      </rPr>
      <t>层</t>
    </r>
    <r>
      <rPr>
        <u/>
        <sz val="10"/>
        <color theme="1"/>
        <rFont val="宋体"/>
        <family val="3"/>
        <charset val="134"/>
        <scheme val="minor"/>
      </rPr>
      <t>-101-25号</t>
    </r>
  </si>
  <si>
    <t>北京喜人餐饮管理有限公司西直门分公司</t>
  </si>
  <si>
    <t>最喜</t>
  </si>
  <si>
    <t>地下一层-101-25号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</si>
  <si>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地下一</t>
    </r>
    <r>
      <rPr>
        <sz val="10"/>
        <color theme="1"/>
        <rFont val="宋体"/>
        <family val="3"/>
        <charset val="134"/>
        <scheme val="minor"/>
      </rPr>
      <t>层</t>
    </r>
    <r>
      <rPr>
        <u/>
        <sz val="10"/>
        <color theme="1"/>
        <rFont val="宋体"/>
        <family val="3"/>
        <charset val="134"/>
        <scheme val="minor"/>
      </rPr>
      <t>-101-26</t>
    </r>
    <r>
      <rPr>
        <sz val="10"/>
        <color theme="1"/>
        <rFont val="宋体"/>
        <family val="3"/>
        <charset val="134"/>
        <scheme val="minor"/>
      </rPr>
      <t>号</t>
    </r>
  </si>
  <si>
    <t>北京七分甜餐饮管理有限公司</t>
  </si>
  <si>
    <r>
      <rPr>
        <sz val="10"/>
        <color theme="1"/>
        <rFont val="Times New Roman"/>
        <family val="1"/>
      </rPr>
      <t>SWEET7|7</t>
    </r>
    <r>
      <rPr>
        <sz val="10"/>
        <color theme="1"/>
        <rFont val="宋体"/>
        <family val="3"/>
        <charset val="134"/>
        <scheme val="minor"/>
      </rPr>
      <t>分甜</t>
    </r>
  </si>
  <si>
    <t>3号楼地下一层-101-26号</t>
  </si>
  <si>
    <t>北京市海淀区西直门北大街32号院3号楼地下一层-101-27号</t>
  </si>
  <si>
    <t>北京芳坊通达商贸有限公司</t>
  </si>
  <si>
    <t>来伊份</t>
  </si>
  <si>
    <t>3号楼地下一层-101-27号</t>
  </si>
  <si>
    <t>北京市海淀区西直门北大街32号院3号楼地下一层-102</t>
  </si>
  <si>
    <t>哈尔滨新宝澳门酒店管理有限公司北京八星瑞祥餐饮分公司</t>
  </si>
  <si>
    <t>六顺福记茶楼</t>
  </si>
  <si>
    <t>3号楼地下一层-102</t>
  </si>
  <si>
    <t>北京市海淀区西直门北大街32号院3号楼地下一层-101-276号</t>
  </si>
  <si>
    <t>北京韩力餐饮管理有限公司第五分公司</t>
  </si>
  <si>
    <t>满满元气枣糕</t>
  </si>
  <si>
    <t>3号楼地下一层-101-276号</t>
  </si>
  <si>
    <r>
      <rPr>
        <sz val="10"/>
        <color theme="1"/>
        <rFont val="宋体"/>
        <family val="3"/>
        <charset val="134"/>
        <scheme val="minor"/>
      </rPr>
      <t>海淀区西直门北大街32号院</t>
    </r>
    <r>
      <rPr>
        <u/>
        <sz val="10"/>
        <color theme="1"/>
        <rFont val="宋体"/>
        <family val="3"/>
        <charset val="134"/>
        <scheme val="minor"/>
      </rPr>
      <t>1</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310</t>
    </r>
  </si>
  <si>
    <t>北京枫趣乐游商贸店</t>
  </si>
  <si>
    <t>熙熙趣</t>
  </si>
  <si>
    <t>1号楼三层310</t>
  </si>
  <si>
    <t>北京市海淀区西直门北大街32号院1号楼三层310</t>
  </si>
  <si>
    <t>北京衣恋阳光商贸有限公司</t>
  </si>
  <si>
    <t>NEW BALANCE</t>
  </si>
  <si>
    <t>北京市海淀区西直门北大街32号院1号楼三层310-35号</t>
  </si>
  <si>
    <t xml:space="preserve"> 北京三木星驰文化有限责任公司 </t>
  </si>
  <si>
    <t>海底小纵队</t>
  </si>
  <si>
    <t>1号楼三层310-35号</t>
  </si>
  <si>
    <t>北京市海淀区西直门北大街32号院1号楼三层310-5至6号</t>
  </si>
  <si>
    <t>北京星咔萌美容美发有限公司</t>
  </si>
  <si>
    <t>星咔萌儿童剪发</t>
  </si>
  <si>
    <t>1号楼三层310-5至6号</t>
  </si>
  <si>
    <t>北京市海淀区西直门北大街32号院1号楼三层309、1号楼三层 310-7号房间</t>
  </si>
  <si>
    <t>银春川</t>
  </si>
  <si>
    <t>树心旁</t>
  </si>
  <si>
    <t>1号楼三层309、1号楼三层 310-7号房间</t>
  </si>
  <si>
    <r>
      <rPr>
        <sz val="10"/>
        <color theme="1"/>
        <rFont val="宋体"/>
        <family val="3"/>
        <charset val="134"/>
        <scheme val="minor"/>
      </rPr>
      <t>北京市海淀区西直门北大街32号院</t>
    </r>
    <r>
      <rPr>
        <u/>
        <sz val="10"/>
        <color theme="1"/>
        <rFont val="宋体"/>
        <family val="3"/>
        <charset val="134"/>
        <scheme val="minor"/>
      </rPr>
      <t>1</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310-8</t>
    </r>
    <r>
      <rPr>
        <sz val="10"/>
        <color theme="1"/>
        <rFont val="宋体"/>
        <family val="3"/>
        <charset val="134"/>
        <scheme val="minor"/>
      </rPr>
      <t>号</t>
    </r>
  </si>
  <si>
    <t>北京星创优商贸有限公司</t>
  </si>
  <si>
    <t>B.Duck</t>
  </si>
  <si>
    <t>1号楼三层310-8号</t>
  </si>
  <si>
    <t>北京市海淀区西直门北大街32号院1号楼三层310-9至23号</t>
  </si>
  <si>
    <t>北京爱乐乐融教育科技有限公司</t>
  </si>
  <si>
    <t>爱乐乐享、童话奇缘</t>
  </si>
  <si>
    <t>1号楼三层310-9至23号</t>
  </si>
  <si>
    <t>北京市海淀区西直门北大街32号院1号楼三层310—第04至45号</t>
  </si>
  <si>
    <t>北京市海淀区英孚语言培训中心</t>
  </si>
  <si>
    <t>英孚</t>
  </si>
  <si>
    <t>1号楼三层310—第04至45号</t>
  </si>
  <si>
    <t>北京市海淀区西直门北大街32号院1号楼三层310-24至310-28号</t>
  </si>
  <si>
    <t>英孚/英孚教育</t>
  </si>
  <si>
    <t>1号楼三层310-24至310-28号</t>
  </si>
  <si>
    <r>
      <rPr>
        <sz val="10"/>
        <color theme="1"/>
        <rFont val="宋体"/>
        <family val="3"/>
        <charset val="134"/>
        <scheme val="minor"/>
      </rPr>
      <t>北京市海淀区西直门北大街32号院</t>
    </r>
    <r>
      <rPr>
        <u/>
        <sz val="10"/>
        <color theme="1"/>
        <rFont val="宋体"/>
        <family val="3"/>
        <charset val="134"/>
        <scheme val="minor"/>
      </rPr>
      <t>1</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310-30至31</t>
    </r>
    <r>
      <rPr>
        <sz val="10"/>
        <color theme="1"/>
        <rFont val="宋体"/>
        <family val="3"/>
        <charset val="134"/>
        <scheme val="minor"/>
      </rPr>
      <t>号房间</t>
    </r>
  </si>
  <si>
    <t>paw in paw</t>
  </si>
  <si>
    <t>1号楼三层310-30至31号房间</t>
  </si>
  <si>
    <t>北京市海淀区西直门北大街32号院1号楼三层310-54-73号</t>
  </si>
  <si>
    <t>北京禾园盛文化发展有限公司</t>
  </si>
  <si>
    <t>美育</t>
  </si>
  <si>
    <t>1号楼三层310-54-73号</t>
  </si>
  <si>
    <t>北京市海淀区西直门北大街32号院1号楼三层310-第46至53号</t>
  </si>
  <si>
    <t>北京博乐益智教育科技有限公司</t>
  </si>
  <si>
    <t>乐创</t>
  </si>
  <si>
    <t>1号楼三层310-第46至53号</t>
  </si>
  <si>
    <t>北京市海淀区西直门北大街32号院1号楼三层 310</t>
  </si>
  <si>
    <t>北京北汕商贸有限公司</t>
  </si>
  <si>
    <t>泰兰尼斯</t>
  </si>
  <si>
    <t>1号楼三层 310</t>
  </si>
  <si>
    <t>北京市海淀区西直门北大街32号院3号楼三层301-7至8号</t>
  </si>
  <si>
    <t>北京文慧德港鞋业有限公司</t>
  </si>
  <si>
    <t>江博士</t>
  </si>
  <si>
    <t>3号楼三层301-7至8号</t>
  </si>
  <si>
    <t>北京市海淀区西直门北大街32号院3号楼三层301-9至10号</t>
  </si>
  <si>
    <t>北京嘉贝乐文化有限公司</t>
  </si>
  <si>
    <t>嘉贝乐</t>
  </si>
  <si>
    <t>3号楼三层301-9至10号</t>
  </si>
  <si>
    <t>北京市海淀区西直门北大街32号院3号楼三层301-11至12号</t>
  </si>
  <si>
    <t>3号楼三层301-11至12号</t>
  </si>
  <si>
    <t>北京市海淀区西直门北大街32号院3号楼三层301-13至14号</t>
  </si>
  <si>
    <t>3号楼三层301-13至14号</t>
  </si>
  <si>
    <t>北京市海淀区西直门北大街32号院3号楼三层301-15号</t>
  </si>
  <si>
    <t>北京圆童服饰有限公司</t>
  </si>
  <si>
    <t>久岁伴</t>
  </si>
  <si>
    <t>3号楼三层301-15号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</si>
  <si>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301-17至27</t>
    </r>
    <r>
      <rPr>
        <sz val="10"/>
        <color theme="1"/>
        <rFont val="宋体"/>
        <family val="3"/>
        <charset val="134"/>
        <scheme val="minor"/>
      </rPr>
      <t>号房间</t>
    </r>
  </si>
  <si>
    <t>北京赫石体育文化发展有限公司</t>
  </si>
  <si>
    <t>赫石小超人</t>
  </si>
  <si>
    <t>3号楼三层301-17至27号房间</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</si>
  <si>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302-1</t>
    </r>
    <r>
      <rPr>
        <sz val="10"/>
        <color theme="1"/>
        <rFont val="宋体"/>
        <family val="3"/>
        <charset val="134"/>
        <scheme val="minor"/>
      </rPr>
      <t>号房间</t>
    </r>
  </si>
  <si>
    <t xml:space="preserve">北京奇趣时光商贸有限公司 </t>
  </si>
  <si>
    <t>Carrera</t>
  </si>
  <si>
    <t>3号楼三层302-1号房间</t>
  </si>
  <si>
    <t>北京市海淀区西直门北大街32号院3号楼三层302-第1至21号</t>
  </si>
  <si>
    <t>北京丽家丽婴婴童用品股份有限公司</t>
  </si>
  <si>
    <t>丽家宝贝</t>
  </si>
  <si>
    <t>3号楼三层302-第1至21号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</si>
  <si>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302-12至14</t>
    </r>
    <r>
      <rPr>
        <sz val="10"/>
        <color theme="1"/>
        <rFont val="宋体"/>
        <family val="3"/>
        <charset val="134"/>
        <scheme val="minor"/>
      </rPr>
      <t>号</t>
    </r>
  </si>
  <si>
    <t>北京易文朗信科技有限公司</t>
  </si>
  <si>
    <t>GogoReading</t>
  </si>
  <si>
    <t>3号楼三层302-12至14号</t>
  </si>
  <si>
    <r>
      <rPr>
        <sz val="10"/>
        <color theme="1"/>
        <rFont val="宋体"/>
        <family val="3"/>
        <charset val="134"/>
      </rPr>
      <t>北京市海淀区西直门北大街32号院3</t>
    </r>
    <r>
      <rPr>
        <sz val="10"/>
        <color indexed="8"/>
        <rFont val="宋体"/>
        <family val="3"/>
        <charset val="134"/>
      </rPr>
      <t>号楼三层301-第92至94号房间、3号楼三层301-第110号</t>
    </r>
  </si>
  <si>
    <t>深圳市安奈儿股份有限公司北京海淀分公司</t>
  </si>
  <si>
    <t>安奈儿</t>
  </si>
  <si>
    <t>3号楼三层301-第92至94号房间、3号楼三层301-第110号</t>
  </si>
  <si>
    <t>北京市海淀区西直门北大街32号院3号楼三层301-第116号</t>
  </si>
  <si>
    <t>北京幸福果科技有限公司</t>
  </si>
  <si>
    <t>康朴乐</t>
  </si>
  <si>
    <t>3号楼三层301-第116号</t>
  </si>
  <si>
    <t>北京市海淀区西直门北大街32号院1号楼三层310-1至4号</t>
  </si>
  <si>
    <t>北京巴拉巴拉服饰有限公司</t>
  </si>
  <si>
    <t xml:space="preserve"> 巴拉巴拉</t>
  </si>
  <si>
    <t>1号楼三层310-1至4号</t>
  </si>
  <si>
    <t>北京市海淀区西直门北大街32号院3号楼三层301-第152至154号</t>
  </si>
  <si>
    <t>北京斯凯彻斯商业有限公司</t>
  </si>
  <si>
    <t>SKECHERS  KIDS(斯凯奇儿童）</t>
  </si>
  <si>
    <t>3号楼三层301-第152至154号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</si>
  <si>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302-2</t>
    </r>
    <r>
      <rPr>
        <sz val="10"/>
        <color theme="1"/>
        <rFont val="宋体"/>
        <family val="3"/>
        <charset val="134"/>
        <scheme val="minor"/>
      </rPr>
      <t>号</t>
    </r>
  </si>
  <si>
    <t>张少华</t>
  </si>
  <si>
    <t>小天才、步步高</t>
  </si>
  <si>
    <t>3号楼三层302-2号</t>
  </si>
  <si>
    <t>北京市海淀区西直门北大街32号院2号楼二层201-1至2号房间、201-69至80号房间</t>
  </si>
  <si>
    <t>北京市海淀区光明美术培训学校</t>
  </si>
  <si>
    <t>明光美术学校</t>
  </si>
  <si>
    <t>2号楼二层201-1至2号房间、201-69至80号房间</t>
  </si>
  <si>
    <t>北京市海淀区西直门北大街32号院2号楼二层203-14号房间</t>
  </si>
  <si>
    <t>北京明光新起点教育咨询有限公司</t>
  </si>
  <si>
    <t>2号楼二层203-14号房间</t>
  </si>
  <si>
    <t>北京市海淀区西直门北大街32号院1号楼一层106</t>
  </si>
  <si>
    <t>1号楼一层106</t>
  </si>
  <si>
    <t>北京市海淀区西直门北大街32号院2号楼一层101-2至5号</t>
  </si>
  <si>
    <t>北京亨通达科技有限公司</t>
  </si>
  <si>
    <t>LEGO乐高</t>
  </si>
  <si>
    <t>2号楼一层101-2至5号</t>
  </si>
  <si>
    <t>北京市海淀区西直门北大街32号院2号楼三层302-1至2号</t>
  </si>
  <si>
    <t>北京瑞歆企业管理咨询有限公司</t>
  </si>
  <si>
    <t>圣大保罗、伦敦雾</t>
  </si>
  <si>
    <t>2号楼三层302-1至2号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</si>
  <si>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二</t>
    </r>
    <r>
      <rPr>
        <sz val="10"/>
        <color theme="1"/>
        <rFont val="宋体"/>
        <family val="3"/>
        <charset val="134"/>
        <scheme val="minor"/>
      </rPr>
      <t>层</t>
    </r>
    <r>
      <rPr>
        <u/>
        <sz val="10"/>
        <color theme="1"/>
        <rFont val="宋体"/>
        <family val="3"/>
        <charset val="134"/>
        <scheme val="minor"/>
      </rPr>
      <t>201-3至4</t>
    </r>
    <r>
      <rPr>
        <sz val="10"/>
        <color theme="1"/>
        <rFont val="宋体"/>
        <family val="3"/>
        <charset val="134"/>
        <scheme val="minor"/>
      </rPr>
      <t>号房间</t>
    </r>
  </si>
  <si>
    <t>广州天创服饰有限公司北京第十五分公司</t>
  </si>
  <si>
    <t>KISSCAT</t>
  </si>
  <si>
    <t>3号楼二层201-3至4号房间</t>
  </si>
  <si>
    <t>北京市海淀区西直门北大街32号院3号楼二层201-5至7号</t>
  </si>
  <si>
    <t>北京意芙服饰有限公司第一分公司</t>
  </si>
  <si>
    <t>MM麦檬</t>
  </si>
  <si>
    <t>3号楼二层201-5至7号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</si>
  <si>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二</t>
    </r>
    <r>
      <rPr>
        <sz val="10"/>
        <color theme="1"/>
        <rFont val="宋体"/>
        <family val="3"/>
        <charset val="134"/>
        <scheme val="minor"/>
      </rPr>
      <t>层</t>
    </r>
    <r>
      <rPr>
        <u/>
        <sz val="10"/>
        <color theme="1"/>
        <rFont val="宋体"/>
        <family val="3"/>
        <charset val="134"/>
        <scheme val="minor"/>
      </rPr>
      <t>201-14至15</t>
    </r>
    <r>
      <rPr>
        <sz val="10"/>
        <color theme="1"/>
        <rFont val="宋体"/>
        <family val="3"/>
        <charset val="134"/>
        <scheme val="minor"/>
      </rPr>
      <t>号</t>
    </r>
  </si>
  <si>
    <t>孙彩莲</t>
  </si>
  <si>
    <t>森林鸟</t>
  </si>
  <si>
    <t>3号楼二层201-14至15号</t>
  </si>
  <si>
    <r>
      <rPr>
        <sz val="10"/>
        <color theme="1"/>
        <rFont val="宋体"/>
        <family val="3"/>
        <charset val="134"/>
      </rPr>
      <t>北京市海淀区西直门北大街32号院3号楼二层20</t>
    </r>
    <r>
      <rPr>
        <sz val="10"/>
        <color indexed="8"/>
        <rFont val="宋体"/>
        <family val="3"/>
        <charset val="134"/>
      </rPr>
      <t>1</t>
    </r>
    <r>
      <rPr>
        <sz val="10"/>
        <color theme="1"/>
        <rFont val="宋体"/>
        <family val="3"/>
        <charset val="134"/>
      </rPr>
      <t>-18至</t>
    </r>
    <r>
      <rPr>
        <sz val="10"/>
        <color indexed="8"/>
        <rFont val="宋体"/>
        <family val="3"/>
        <charset val="134"/>
      </rPr>
      <t>20</t>
    </r>
    <r>
      <rPr>
        <sz val="10"/>
        <color theme="1"/>
        <rFont val="宋体"/>
        <family val="3"/>
        <charset val="134"/>
      </rPr>
      <t>号</t>
    </r>
  </si>
  <si>
    <t>北京西清月下商贸有限公司</t>
  </si>
  <si>
    <t>Teenmix天美意</t>
  </si>
  <si>
    <t>3号楼二层201-18至20号</t>
  </si>
  <si>
    <t>北京市海淀区西直门北大街32号院3号楼二层201-26号</t>
  </si>
  <si>
    <t>北京亚裆服装科技有限公司</t>
  </si>
  <si>
    <t>亚裆裤子</t>
  </si>
  <si>
    <t>3号楼二层201-26号</t>
  </si>
  <si>
    <t>两个月</t>
  </si>
  <si>
    <t>北京市海淀区西直门北大街32号院3号楼二层201-27至29号</t>
  </si>
  <si>
    <t>百丽鞋业（北京）有限公司</t>
  </si>
  <si>
    <t>BELLE  (百丽）</t>
  </si>
  <si>
    <t>3号楼二层201-27至29号</t>
  </si>
  <si>
    <t>北京市海淀区西直门北大街32号院3号楼二层201-62至63号</t>
  </si>
  <si>
    <t>北京静飘服饰有限公司</t>
  </si>
  <si>
    <t>Hopeshow红袖</t>
  </si>
  <si>
    <t>3号楼二层201-62至63号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</si>
  <si>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二</t>
    </r>
    <r>
      <rPr>
        <sz val="10"/>
        <color theme="1"/>
        <rFont val="宋体"/>
        <family val="3"/>
        <charset val="134"/>
        <scheme val="minor"/>
      </rPr>
      <t>层</t>
    </r>
    <r>
      <rPr>
        <u/>
        <sz val="10"/>
        <color theme="1"/>
        <rFont val="宋体"/>
        <family val="3"/>
        <charset val="134"/>
        <scheme val="minor"/>
      </rPr>
      <t>201</t>
    </r>
  </si>
  <si>
    <t>北京阿戈亚贸易有限公司</t>
  </si>
  <si>
    <t>CRIS</t>
  </si>
  <si>
    <t>北京市海淀区西直门北大街32号院2号楼二层203</t>
  </si>
  <si>
    <t>北京利尔美服饰文化有限公司</t>
  </si>
  <si>
    <t>树生活</t>
  </si>
  <si>
    <t>2号楼二层203</t>
  </si>
  <si>
    <t>北京市海淀区西直门北大街32号院2号楼二层203-1至2号</t>
  </si>
  <si>
    <t>北京意丰歌服饰有限公司第二十六分公司</t>
  </si>
  <si>
    <t>伊芙丽</t>
  </si>
  <si>
    <t>2号楼二层203-1至2号</t>
  </si>
  <si>
    <t>北京市海淀区西直门北大街32号院2号楼二层203-3号</t>
  </si>
  <si>
    <t>瑞金零度服装有限公司</t>
  </si>
  <si>
    <t>Degre Zero</t>
  </si>
  <si>
    <t>2号楼二层203-3号</t>
  </si>
  <si>
    <t>北京市海淀区西直门北大街32号院2号楼二层203-5至6号</t>
  </si>
  <si>
    <t>北京京韩嘉信商贸有限公司</t>
  </si>
  <si>
    <t>Lavinia</t>
  </si>
  <si>
    <t>2号楼二层203-5至6号</t>
  </si>
  <si>
    <t>北京市海淀区西直门北大街32号院2号楼二层203-12至13号</t>
  </si>
  <si>
    <t>上海格饶普服饰有限公司</t>
  </si>
  <si>
    <t>Ushgee</t>
  </si>
  <si>
    <t>2号楼二层203-12至13号</t>
  </si>
  <si>
    <t>北京市海淀区西直门北大街32号院2号楼二层203-第42至47号</t>
  </si>
  <si>
    <t>北京德西语贸易有限公司</t>
  </si>
  <si>
    <t>DEZOEE</t>
  </si>
  <si>
    <t>2号楼二层203-第42至47号</t>
  </si>
  <si>
    <t>北京市海淀区西直门北大街32号院1号楼二层210-21至24号</t>
  </si>
  <si>
    <t>绫致时装（天津）有限公司</t>
  </si>
  <si>
    <t>ONLY</t>
  </si>
  <si>
    <t>北京市海淀区西直门北大街32号院1号楼二层210-193至201号</t>
  </si>
  <si>
    <t>卡汐（北京）服装服饰有限公司</t>
  </si>
  <si>
    <t>KACY</t>
  </si>
  <si>
    <t>1号楼二层210-193至201号</t>
  </si>
  <si>
    <t>北京市海淀区西直门北大街32号院3号楼二层201-第79至81号</t>
  </si>
  <si>
    <t>北京爱慕服饰销售有限公司</t>
  </si>
  <si>
    <t>爱美丽</t>
  </si>
  <si>
    <t>3号楼二层201-第79至81号</t>
  </si>
  <si>
    <t>北京市海淀区西直门北大街32号院3号楼二层201-第90至98号</t>
  </si>
  <si>
    <t>北京芳苑环宇商贸中心</t>
  </si>
  <si>
    <t>GIRDEAR哥弟</t>
  </si>
  <si>
    <t>3号楼二层201-第90至98号</t>
  </si>
  <si>
    <t>北京市海淀区西直门北大街32号院3号楼二层201-第77至78号</t>
  </si>
  <si>
    <t>华欧御泰（北京）贸易有限公司</t>
  </si>
  <si>
    <t>舒雅</t>
  </si>
  <si>
    <t>北京市海淀区西直门北大街32号院2号楼二层201-22至29号</t>
  </si>
  <si>
    <t>北京盛益兴商贸有限公司</t>
  </si>
  <si>
    <t>翠贝卡</t>
  </si>
  <si>
    <t>2号楼二层201-22至29号</t>
  </si>
  <si>
    <t>北京市海淀区西直门北大街32号院3号楼一层101</t>
  </si>
  <si>
    <t>北京李宁体育用品销售有限公司</t>
  </si>
  <si>
    <t>LI-NING</t>
  </si>
  <si>
    <t>3号楼一层101</t>
  </si>
  <si>
    <t>北京市海淀区西直门北大街32号院2号楼一层103-1至3号</t>
  </si>
  <si>
    <t>北京爱步商贸有限公司</t>
  </si>
  <si>
    <t>ecco</t>
  </si>
  <si>
    <t>2号楼一层103-1至3号</t>
  </si>
  <si>
    <t>北京市海淀区西直门北大街32号院2号楼一层103-8至11号</t>
  </si>
  <si>
    <t>SKECHERS (斯凯奇）</t>
  </si>
  <si>
    <t>2号楼一层103-8至11号</t>
  </si>
  <si>
    <t>北京市海淀区西直门北大街32号院2号楼一层103-17至20号</t>
  </si>
  <si>
    <t>海南拓驰商贸有限公司</t>
  </si>
  <si>
    <t>UNDER ARMOUR</t>
  </si>
  <si>
    <t>2号楼一层103-17至20号</t>
  </si>
  <si>
    <t>北京市海淀区西直门北大街32号院2号楼一层103-21至22号</t>
  </si>
  <si>
    <t>北京探路者飞越户外用品销售有限公司</t>
  </si>
  <si>
    <t>Discovery Expedition</t>
  </si>
  <si>
    <t>2号楼一层103-21至22号</t>
  </si>
  <si>
    <t>北京市海淀区西直门北大街32号院1号楼一层106-28至71号房间、3号楼一层101-2至21号房间</t>
  </si>
  <si>
    <t>迅销（中国）商贸有限公司</t>
  </si>
  <si>
    <t>优衣库</t>
  </si>
  <si>
    <t>1号楼一层106-28至71号房间、3号楼一层101-2至21号房间</t>
  </si>
  <si>
    <t>北京市海淀区西直门北大街32号院2号楼一层103-第52至59号房间、2号楼二层202、2号楼二层203-第1号房间</t>
  </si>
  <si>
    <t>北京文卉麦颂娱乐有限公司</t>
  </si>
  <si>
    <t>麦颂</t>
  </si>
  <si>
    <t>2号楼一层103-第52至59号房间、2号楼二层202、2号楼二层203-第1号房间</t>
  </si>
  <si>
    <t>北京市海淀区西直门北大街32号院1号楼地下一层-104-2至-104-69、3号楼一层101-72、3号楼地下一层-101-1至101-23</t>
  </si>
  <si>
    <t>迪卡侬（北京）体育用品有限公司</t>
  </si>
  <si>
    <t>迪卡侬</t>
  </si>
  <si>
    <t>1号楼地下一层-104-2至-104-69、3号楼一层101-72、3号楼地下一层-101-1至101-23</t>
  </si>
  <si>
    <t>北京市海淀区西直门北大街32号院1号楼三层301、302号</t>
  </si>
  <si>
    <t>北京经典空间美容美发有限责任公司</t>
  </si>
  <si>
    <t>奥婷</t>
  </si>
  <si>
    <t>1号楼三层301、302号</t>
  </si>
  <si>
    <t>北京市海淀区西直门北大街32号院2号楼三层302-30至33号</t>
  </si>
  <si>
    <t>松山棉店（北京）纺织科技有限公司</t>
  </si>
  <si>
    <t>松山棉店</t>
  </si>
  <si>
    <t>2号楼三层302-30至33号</t>
  </si>
  <si>
    <t>北京市海淀区西直门北大街32号院2号楼三层302-第58至59号</t>
  </si>
  <si>
    <t>北京美丽美影商贸有限公司</t>
  </si>
  <si>
    <t>臻彩</t>
  </si>
  <si>
    <t>2号楼三层302-第58至59号</t>
  </si>
  <si>
    <t>北京市海淀区西直门北大街32号院2号楼三层302-81号</t>
  </si>
  <si>
    <t>京东方艺云科技有限公司</t>
  </si>
  <si>
    <t>BOE</t>
  </si>
  <si>
    <t>2号楼三层302-81号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</si>
  <si>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301-28至38</t>
    </r>
    <r>
      <rPr>
        <sz val="10"/>
        <color theme="1"/>
        <rFont val="宋体"/>
        <family val="3"/>
        <charset val="134"/>
        <scheme val="minor"/>
      </rPr>
      <t>号房间</t>
    </r>
  </si>
  <si>
    <t>北京帆一体育健身服务有限公司</t>
  </si>
  <si>
    <t>梵音瑜伽</t>
  </si>
  <si>
    <t>3号楼三层301-28至38号房间</t>
  </si>
  <si>
    <t>路彪</t>
  </si>
  <si>
    <t xml:space="preserve">Prima  Rider </t>
  </si>
  <si>
    <t>北京市海淀区西直门北大街32号院1号楼二层204号</t>
  </si>
  <si>
    <t>北京靓彩净界洗衣服务有限公司</t>
  </si>
  <si>
    <t>玛奴拉</t>
  </si>
  <si>
    <t>1号楼二层204号</t>
  </si>
  <si>
    <t>北京贝黎诗商业管理有限公司</t>
  </si>
  <si>
    <t>贝黎诗</t>
  </si>
  <si>
    <t>北京市海淀区西直门北大街32号院1号楼二层209</t>
  </si>
  <si>
    <t>1号楼二层209</t>
  </si>
  <si>
    <t>北京市海淀区西直门北大街32号院1号楼二层210-11至14号</t>
  </si>
  <si>
    <t>聚创优品（北京）商贸有限公司</t>
  </si>
  <si>
    <t>名创优品</t>
  </si>
  <si>
    <t>1号楼二层210-11至14号</t>
  </si>
  <si>
    <t>北京市海淀区西直门北大街32号院1号楼二层210-15至17号</t>
  </si>
  <si>
    <t>宁波玩品汇商贸发展有限公司</t>
  </si>
  <si>
    <t>酷乐潮玩</t>
  </si>
  <si>
    <t>1号楼二层210-15至17号</t>
  </si>
  <si>
    <r>
      <rPr>
        <sz val="10"/>
        <color theme="1"/>
        <rFont val="宋体"/>
        <family val="3"/>
        <charset val="134"/>
        <scheme val="minor"/>
      </rPr>
      <t>北京市海淀区西直门北大街32号院</t>
    </r>
    <r>
      <rPr>
        <u/>
        <sz val="10"/>
        <color theme="1"/>
        <rFont val="宋体"/>
        <family val="3"/>
        <charset val="134"/>
        <scheme val="minor"/>
      </rPr>
      <t>1</t>
    </r>
    <r>
      <rPr>
        <sz val="10"/>
        <color theme="1"/>
        <rFont val="宋体"/>
        <family val="3"/>
        <charset val="134"/>
        <scheme val="minor"/>
      </rPr>
      <t>号楼</t>
    </r>
    <r>
      <rPr>
        <u/>
        <sz val="10"/>
        <color theme="1"/>
        <rFont val="宋体"/>
        <family val="3"/>
        <charset val="134"/>
        <scheme val="minor"/>
      </rPr>
      <t>二</t>
    </r>
    <r>
      <rPr>
        <sz val="10"/>
        <color theme="1"/>
        <rFont val="宋体"/>
        <family val="3"/>
        <charset val="134"/>
        <scheme val="minor"/>
      </rPr>
      <t>层</t>
    </r>
    <r>
      <rPr>
        <u/>
        <sz val="10"/>
        <color theme="1"/>
        <rFont val="宋体"/>
        <family val="3"/>
        <charset val="134"/>
        <scheme val="minor"/>
      </rPr>
      <t>210-43</t>
    </r>
    <r>
      <rPr>
        <sz val="10"/>
        <color theme="1"/>
        <rFont val="宋体"/>
        <family val="3"/>
        <charset val="134"/>
        <scheme val="minor"/>
      </rPr>
      <t>号房间</t>
    </r>
  </si>
  <si>
    <t>北京纷落柔化妆品销售有限公司</t>
  </si>
  <si>
    <r>
      <rPr>
        <sz val="10"/>
        <color theme="1"/>
        <rFont val="Times New Roman"/>
        <family val="1"/>
      </rPr>
      <t>Mr.JUDY</t>
    </r>
    <r>
      <rPr>
        <sz val="10"/>
        <color theme="1"/>
        <rFont val="宋体"/>
        <family val="3"/>
        <charset val="134"/>
      </rPr>
      <t>洗个头发</t>
    </r>
  </si>
  <si>
    <t>1号楼二层210-43号房间</t>
  </si>
  <si>
    <t>北京首泰菁英体育科技有限公司</t>
  </si>
  <si>
    <t>ShouTai CTC</t>
  </si>
  <si>
    <t>北京市海淀区西直门北大街32号院2号楼二层201-3至21号</t>
  </si>
  <si>
    <t>北京中信书店有限责任公司</t>
  </si>
  <si>
    <t>中信书店</t>
  </si>
  <si>
    <t>2号楼二层201-3至21号</t>
  </si>
  <si>
    <t>北京市海淀区西直门北大街32号院3号楼二层201-8至13号</t>
  </si>
  <si>
    <t>北京思妍丽美容有限公司西直门分公司</t>
  </si>
  <si>
    <t>思妍丽</t>
  </si>
  <si>
    <t>3号楼二层201-8至13号</t>
  </si>
  <si>
    <t>北京市海淀区西直门北大街32号院3号楼二层201-24号</t>
  </si>
  <si>
    <t>北京道晟和美发制品有限公司</t>
  </si>
  <si>
    <t>V'S</t>
  </si>
  <si>
    <t>3号楼二层201-24号</t>
  </si>
  <si>
    <t>北京市海淀区西直门北大街32号院3号楼二层201-25号</t>
  </si>
  <si>
    <t>北京耀唐文化发展有限公司</t>
  </si>
  <si>
    <t>结绳匠人</t>
  </si>
  <si>
    <t>3号楼二层201-25号</t>
  </si>
  <si>
    <t>北京市海淀区西直门北大街32号院3号楼二层201-第104号</t>
  </si>
  <si>
    <t>北京千珺雅苑企业管理有限公司</t>
  </si>
  <si>
    <t>谭木匠</t>
  </si>
  <si>
    <t>3号楼二层201-第104号</t>
  </si>
  <si>
    <t>北京市海淀区西直门北大街32号院3号楼二层201-107至108号</t>
  </si>
  <si>
    <t>北京珺慧雅极商贸有限公司</t>
  </si>
  <si>
    <t>珺慧</t>
  </si>
  <si>
    <t>3号楼二层201-107至108号</t>
  </si>
  <si>
    <t>北京市海淀区西直门北大街32号院3号楼二层202-1至3号</t>
  </si>
  <si>
    <t>北京欧洛洺轩美容美发形象设计有限公司海淀分公司</t>
  </si>
  <si>
    <t>ESSENSUALS彩秀</t>
  </si>
  <si>
    <t>3号楼二层202-1至3号</t>
  </si>
  <si>
    <t>北京市海淀区西直门北大街32号院3号楼一层101-9至11号</t>
  </si>
  <si>
    <t>睛姿（上海）企业管理有限公司北京海淀分公司</t>
  </si>
  <si>
    <t>JINS睛姿</t>
  </si>
  <si>
    <t>3号楼一层101-9至11号</t>
  </si>
  <si>
    <t>北京市海淀区西直门北大街32号院3号楼一层101-15号</t>
  </si>
  <si>
    <t>天津泡泡玛特文化传播有限公司</t>
  </si>
  <si>
    <t>泡泡玛特</t>
  </si>
  <si>
    <t>3号楼一层101-15号</t>
  </si>
  <si>
    <t>按半年</t>
  </si>
  <si>
    <t>北京市海淀区西直门北大街32号院3号楼一层102-3至4号</t>
  </si>
  <si>
    <t>江苏萱子文化传播有限公司</t>
  </si>
  <si>
    <t>SHINE萱子</t>
  </si>
  <si>
    <t>3号楼一层102-3至4号</t>
  </si>
  <si>
    <t>北京市海淀区西直门北大街32号院3号楼一层102-7号</t>
  </si>
  <si>
    <t>禾羽淑（北京）科技有限公司</t>
  </si>
  <si>
    <t>HYS</t>
  </si>
  <si>
    <t>3号楼一层102-7号</t>
  </si>
  <si>
    <t>北京市海淀区西直门北大街32号院2号楼一层103第2-29号</t>
  </si>
  <si>
    <t>中国建设银行股份有限公司北京市分行</t>
  </si>
  <si>
    <t>建设银行</t>
  </si>
  <si>
    <t>2号楼一层103第2-29号</t>
  </si>
  <si>
    <t>按年</t>
  </si>
  <si>
    <t>北京市海淀区西直门北大街32号院2号楼一层103-47至49号</t>
  </si>
  <si>
    <t>华为</t>
  </si>
  <si>
    <t>2号楼一层103-47至49号</t>
  </si>
  <si>
    <r>
      <rPr>
        <sz val="10"/>
        <color theme="1"/>
        <rFont val="宋体"/>
        <family val="3"/>
        <charset val="134"/>
        <scheme val="minor"/>
      </rPr>
      <t>北京市海淀区西直门北大街32号院</t>
    </r>
    <r>
      <rPr>
        <u/>
        <sz val="10"/>
        <color theme="1"/>
        <rFont val="宋体"/>
        <family val="3"/>
        <charset val="134"/>
        <scheme val="minor"/>
      </rPr>
      <t>2</t>
    </r>
    <r>
      <rPr>
        <sz val="10"/>
        <color theme="1"/>
        <rFont val="宋体"/>
        <family val="3"/>
        <charset val="134"/>
        <scheme val="minor"/>
      </rPr>
      <t>号楼</t>
    </r>
    <r>
      <rPr>
        <u/>
        <sz val="10"/>
        <color theme="1"/>
        <rFont val="宋体"/>
        <family val="3"/>
        <charset val="134"/>
        <scheme val="minor"/>
      </rPr>
      <t>一</t>
    </r>
    <r>
      <rPr>
        <sz val="10"/>
        <color theme="1"/>
        <rFont val="宋体"/>
        <family val="3"/>
        <charset val="134"/>
        <scheme val="minor"/>
      </rPr>
      <t>层</t>
    </r>
    <r>
      <rPr>
        <u/>
        <sz val="10"/>
        <color theme="1"/>
        <rFont val="宋体"/>
        <family val="3"/>
        <charset val="134"/>
        <scheme val="minor"/>
      </rPr>
      <t>103-53</t>
    </r>
    <r>
      <rPr>
        <sz val="10"/>
        <color theme="1"/>
        <rFont val="宋体"/>
        <family val="3"/>
        <charset val="134"/>
        <scheme val="minor"/>
      </rPr>
      <t>号房间</t>
    </r>
  </si>
  <si>
    <t>北京满沅东体育有限公司</t>
  </si>
  <si>
    <t>满沅東滑板</t>
  </si>
  <si>
    <t>2号楼一层103-53号房间</t>
  </si>
  <si>
    <t>北京市海淀区西直门北大街32号院2号楼一层101-1号</t>
  </si>
  <si>
    <t>北京京豫凯达商贸有限公司</t>
  </si>
  <si>
    <t>鲜花坊</t>
  </si>
  <si>
    <t>2号楼一层101-1号</t>
  </si>
  <si>
    <t>北京环耀晟世汽车销售有限公司海淀分公司</t>
  </si>
  <si>
    <t>比亚迪</t>
  </si>
  <si>
    <t>北京市海淀区西直门北大街32号院2号楼一层103</t>
  </si>
  <si>
    <t xml:space="preserve">北京凌跑汽车销售服务有限公司 </t>
  </si>
  <si>
    <t>零跑汽车</t>
  </si>
  <si>
    <t>2号楼一层103</t>
  </si>
  <si>
    <t>北京市海淀区西直门北大街32号院1号楼一层106-1至5号</t>
  </si>
  <si>
    <t>斯瓦娜马萨科技（北京）有限公司</t>
  </si>
  <si>
    <t>小象馆</t>
  </si>
  <si>
    <t>1号楼一层106-1至5号</t>
  </si>
  <si>
    <t>北京市海淀区西直门北大街32号院1 号楼一层106-10至19号房间</t>
  </si>
  <si>
    <t>招商银行股份有限公司北京分行</t>
  </si>
  <si>
    <t>招商银行</t>
  </si>
  <si>
    <t>1 号楼一层106-10至19号房间</t>
  </si>
  <si>
    <r>
      <rPr>
        <sz val="10"/>
        <color theme="1"/>
        <rFont val="宋体"/>
        <family val="3"/>
        <charset val="134"/>
        <scheme val="minor"/>
      </rPr>
      <t>北京市海淀区西直门北大街32号院</t>
    </r>
    <r>
      <rPr>
        <u/>
        <sz val="10"/>
        <color theme="1"/>
        <rFont val="宋体"/>
        <family val="3"/>
        <charset val="134"/>
        <scheme val="minor"/>
      </rPr>
      <t>1</t>
    </r>
    <r>
      <rPr>
        <sz val="10"/>
        <color theme="1"/>
        <rFont val="宋体"/>
        <family val="3"/>
        <charset val="134"/>
        <scheme val="minor"/>
      </rPr>
      <t>号楼</t>
    </r>
    <r>
      <rPr>
        <u/>
        <sz val="10"/>
        <color theme="1"/>
        <rFont val="宋体"/>
        <family val="3"/>
        <charset val="134"/>
        <scheme val="minor"/>
      </rPr>
      <t>一</t>
    </r>
    <r>
      <rPr>
        <sz val="10"/>
        <color theme="1"/>
        <rFont val="宋体"/>
        <family val="3"/>
        <charset val="134"/>
        <scheme val="minor"/>
      </rPr>
      <t>层</t>
    </r>
    <r>
      <rPr>
        <u/>
        <sz val="10"/>
        <color theme="1"/>
        <rFont val="宋体"/>
        <family val="3"/>
        <charset val="134"/>
        <scheme val="minor"/>
      </rPr>
      <t>106</t>
    </r>
  </si>
  <si>
    <t>铂林眼科医院集团有限公司</t>
  </si>
  <si>
    <t>铂林眼科</t>
  </si>
  <si>
    <t>北京市海淀区西直门北大街32号院1号楼一层106-24至25号</t>
  </si>
  <si>
    <t>北京华夏理想文化集团有限责任公司</t>
  </si>
  <si>
    <t>品真阁</t>
  </si>
  <si>
    <t>1号楼一层106-24至25号</t>
  </si>
  <si>
    <t>北京市海淀区西直门北大街32号院1号楼一层106-26号</t>
  </si>
  <si>
    <t>北京市华夏典当行有限责任公司</t>
  </si>
  <si>
    <t>华夏典当行</t>
  </si>
  <si>
    <t>1号楼一层106-26号</t>
  </si>
  <si>
    <t>北京市海淀区西直门北大街32号院1号楼一层106-27号</t>
  </si>
  <si>
    <t>中国移动通信集团北京有限公司</t>
  </si>
  <si>
    <t>中国移动</t>
  </si>
  <si>
    <t>1号楼一层106-27号</t>
  </si>
  <si>
    <t>北京市海淀区西直门北大街32号院2号楼101号1-9号</t>
  </si>
  <si>
    <t>柒一拾壹（北京）有限公司</t>
  </si>
  <si>
    <t>7-11</t>
  </si>
  <si>
    <t>2号楼101号1-9号</t>
  </si>
  <si>
    <t>北京市海淀区西直门北大街32号院1号楼一层106-第72至76号</t>
  </si>
  <si>
    <t>中国联合网络通信有限公司北京市分公司</t>
  </si>
  <si>
    <t>中国联通</t>
  </si>
  <si>
    <t>1号楼一层106-第72至76号</t>
  </si>
  <si>
    <t>北京市海淀区西直门北大街32号2号楼首层101-第50至72号</t>
  </si>
  <si>
    <t>北京屈臣氏个人用品连锁商店有限公司</t>
  </si>
  <si>
    <t>屈臣氏</t>
  </si>
  <si>
    <t>2号楼首层101-第50至72号</t>
  </si>
  <si>
    <t>北京市海淀区西直门北大街32号院3号楼一层101-14号</t>
  </si>
  <si>
    <t>谢瑞麟（广州）珠宝有限公司</t>
  </si>
  <si>
    <t>谢瑞麟</t>
  </si>
  <si>
    <t>3号楼一层101-14号</t>
  </si>
  <si>
    <t xml:space="preserve">北京琳琅璞美首饰有限公司 </t>
  </si>
  <si>
    <t>老凤祥</t>
  </si>
  <si>
    <t xml:space="preserve"> 北京和明兴商贸有限公司</t>
  </si>
  <si>
    <t>契意坊</t>
  </si>
  <si>
    <t>爱鑫达（北京）信息咨询有限责任公司</t>
  </si>
  <si>
    <t>APPLE</t>
  </si>
  <si>
    <t>北京市海淀区西直门北大街32号院3号楼一层101-57至58号</t>
  </si>
  <si>
    <t>北京菜市口百货股份有限公司</t>
  </si>
  <si>
    <t>菜百</t>
  </si>
  <si>
    <t>3号楼一层101-57至58号</t>
  </si>
  <si>
    <t>北京市海淀区西直门北大街32号院3号楼一层101-109至113号</t>
  </si>
  <si>
    <t>北京周大福珠宝金行有限公司</t>
  </si>
  <si>
    <t>周大福</t>
  </si>
  <si>
    <t>3号楼一层101-109至113号</t>
  </si>
  <si>
    <t>北京市海淀区西直门北大街32号院3号楼一层101-108号</t>
  </si>
  <si>
    <t>北京齐饮齐悦葡萄酒商贸有限公司</t>
  </si>
  <si>
    <t>CHEERS齐饮</t>
  </si>
  <si>
    <t>3号楼一层101-108号</t>
  </si>
  <si>
    <t>北京市海淀区西直门北大街32号院3号楼地下一层-101-23至24号房间、3号楼地下一层-101-93号房间</t>
  </si>
  <si>
    <t>北京智想有为通信技术有限公司</t>
  </si>
  <si>
    <t>京东之家</t>
  </si>
  <si>
    <t>3号楼地下一层-101-23至24号房间、3号楼地下一层-101-93号房间</t>
  </si>
  <si>
    <t>北京市海淀区西直门北大街32号院3号楼地下一层-101—87至271号房间、2号楼一层103—119至123号房间</t>
  </si>
  <si>
    <t>北京沃谷农业发展有限公司</t>
  </si>
  <si>
    <t>果蔬好</t>
  </si>
  <si>
    <t>3号楼地下一层-101—87至271号房间、2号楼一层103—119至123号房间</t>
  </si>
  <si>
    <t>北京市海淀区西直门北大街32号院3号楼地下一层-101-88号</t>
  </si>
  <si>
    <t>上海悦亿网络信息技术有限公司</t>
  </si>
  <si>
    <t>爱回收</t>
  </si>
  <si>
    <t>3号楼地下一层-101-88号</t>
  </si>
  <si>
    <t>北京市海淀区西直门北大街32号院3号楼地下一层-101-89至90号</t>
  </si>
  <si>
    <t>北京高文瀚德广告有限公司</t>
  </si>
  <si>
    <t>诗碧曼</t>
  </si>
  <si>
    <t>3号楼地下一层-101-89至90号</t>
  </si>
  <si>
    <t>北京市海淀区西直门北大街32号院1号楼三层304</t>
  </si>
  <si>
    <t>1号楼三层304</t>
  </si>
  <si>
    <t>北京市海淀区西直门北大街32号院3号楼地下一层-102-1号</t>
  </si>
  <si>
    <t>北京钒熹米娅商贸有限公司</t>
  </si>
  <si>
    <t>FANCNX</t>
  </si>
  <si>
    <t>地下一层-102-1号</t>
  </si>
  <si>
    <t>北京市海淀区西直门北大街32号院3号楼地下一层-102-2至3号</t>
  </si>
  <si>
    <t>北京星创眼镜有限公司</t>
  </si>
  <si>
    <t>宝岛眼镜</t>
  </si>
  <si>
    <t>3号楼地下一层-102-2至3号</t>
  </si>
  <si>
    <t>北京市海淀区西直门北大街32号院2号楼地下一层-101-第1至24号</t>
  </si>
  <si>
    <t>北京网鱼西门互联网上网服务有限公司</t>
  </si>
  <si>
    <t>网鱼网咖</t>
  </si>
  <si>
    <t>2号楼地下一层-101-第1至24号</t>
  </si>
  <si>
    <t>北京市海淀区西直门北大街32号院2号楼地下一层-101-8至16号</t>
  </si>
  <si>
    <t>北京优品酷卖科技有限公司</t>
  </si>
  <si>
    <t>HITGOO</t>
  </si>
  <si>
    <t>2号楼地下一层-101-8至16号</t>
  </si>
  <si>
    <t>北京市海淀区西直门北大街32号院1号楼地下一层-104-37至38号</t>
  </si>
  <si>
    <t>瑞诗（北京）科技发展有限公司</t>
  </si>
  <si>
    <t>冉耳</t>
  </si>
  <si>
    <t>1号楼地下一层-104-37至38号</t>
  </si>
  <si>
    <t>北京市海淀区西直门北大街32号院1号楼地下一层-104-40号</t>
  </si>
  <si>
    <t>张玉军</t>
  </si>
  <si>
    <t>手机维修、手表维修</t>
  </si>
  <si>
    <t>1号楼地下一层-104-40号</t>
  </si>
  <si>
    <t>北京市海淀区西直门北大街32号院1号楼地下一层-106、-107-4至4号</t>
  </si>
  <si>
    <t>北京乐刻拍档网络技术有限公司</t>
  </si>
  <si>
    <t>乐刻健身</t>
  </si>
  <si>
    <t>1号楼地下一层-106、-107-4至4号</t>
  </si>
  <si>
    <t>北京市海淀区西直门北大街32号院1号楼地下一层-107</t>
  </si>
  <si>
    <t>北京博彦宏达科技有限公司</t>
  </si>
  <si>
    <t>1号楼地下一层-107</t>
  </si>
  <si>
    <t>北京市海淀区西直门北大街32号院3号楼地下一层-101-28号</t>
  </si>
  <si>
    <t>北京多星美科技有限公司</t>
  </si>
  <si>
    <t>优剪</t>
  </si>
  <si>
    <t>3号楼地下一层-101-28号</t>
  </si>
  <si>
    <t>北京市海淀区西直门北大街32号院3号楼地下一层-101-87号</t>
  </si>
  <si>
    <t>北京聚鑫鼎盛商贸有限责任公司</t>
  </si>
  <si>
    <t>利群</t>
  </si>
  <si>
    <t>3号楼地下一层-101-87号</t>
  </si>
  <si>
    <t>2号楼三层302-27至57号房间、2号楼三层302-60号房间</t>
    <phoneticPr fontId="134" type="noConversion"/>
  </si>
  <si>
    <t>1号楼203</t>
    <phoneticPr fontId="134" type="noConversion"/>
  </si>
  <si>
    <t>3号楼二层201-第77至78号</t>
    <phoneticPr fontId="134" type="noConversion"/>
  </si>
  <si>
    <t>B座一层</t>
    <phoneticPr fontId="134" type="noConversion"/>
  </si>
  <si>
    <t>需补充资料：
项目土地使用权证
他项权证/不动产登记证明
租赁合同疑问：
1.A座一层必胜客、B座一层肯德基是否在本次评估范围内；
2.台账中部分商户租金为0，是否有其他计租方式；
3.台账中管理费内涵；
4.租金、管理费是否包含物业费、能源费等；
5.部分商户租赁面积较小，租金单价较高，是否实际使用面积与租赁面积不符；
6.本次评估范围部分商铺目前是否满租</t>
    <phoneticPr fontId="134" type="noConversion"/>
  </si>
  <si>
    <t>钢混</t>
  </si>
  <si>
    <t>非生产用房</t>
  </si>
  <si>
    <t>否</t>
  </si>
  <si>
    <t>交易时间</t>
    <phoneticPr fontId="134" type="noConversion"/>
  </si>
  <si>
    <t>类别</t>
    <phoneticPr fontId="134" type="noConversion"/>
  </si>
  <si>
    <t>项目</t>
    <phoneticPr fontId="134" type="noConversion"/>
  </si>
  <si>
    <t>地理位置</t>
    <phoneticPr fontId="134" type="noConversion"/>
  </si>
  <si>
    <t>成交金额（亿）</t>
    <phoneticPr fontId="134" type="noConversion"/>
  </si>
  <si>
    <t>成交面积（平方米）</t>
    <phoneticPr fontId="134" type="noConversion"/>
  </si>
  <si>
    <t>地上/商业面积（平方米）</t>
    <phoneticPr fontId="134" type="noConversion"/>
  </si>
  <si>
    <t>地下/面积（平方米）</t>
    <phoneticPr fontId="134" type="noConversion"/>
  </si>
  <si>
    <t>总建筑面积单价（元/㎡）</t>
    <phoneticPr fontId="134" type="noConversion"/>
  </si>
  <si>
    <t>单价/按地上（商业）面积（元）</t>
    <phoneticPr fontId="134" type="noConversion"/>
  </si>
  <si>
    <t>交易结构</t>
    <phoneticPr fontId="134" type="noConversion"/>
  </si>
  <si>
    <t>卖方</t>
    <phoneticPr fontId="134" type="noConversion"/>
  </si>
  <si>
    <t>买房</t>
    <phoneticPr fontId="134" type="noConversion"/>
  </si>
  <si>
    <t>类型</t>
    <phoneticPr fontId="134" type="noConversion"/>
  </si>
  <si>
    <t>信息来源</t>
    <phoneticPr fontId="134" type="noConversion"/>
  </si>
  <si>
    <t>主要用途</t>
    <phoneticPr fontId="134" type="noConversion"/>
  </si>
  <si>
    <t>备注</t>
    <phoneticPr fontId="134" type="noConversion"/>
  </si>
  <si>
    <t>零售</t>
  </si>
  <si>
    <t>京西大悦城</t>
    <phoneticPr fontId="134" type="noConversion"/>
  </si>
  <si>
    <t>石景山区</t>
  </si>
  <si>
    <t>资产交易</t>
  </si>
  <si>
    <t>大悦城/华远</t>
  </si>
  <si>
    <t>私人投资者</t>
  </si>
  <si>
    <t>2022年中国大宗交易成交记录</t>
    <phoneticPr fontId="134" type="noConversion"/>
  </si>
  <si>
    <t>尚未营业</t>
    <phoneticPr fontId="134" type="noConversion"/>
  </si>
  <si>
    <t>丰台科技园零售物业</t>
  </si>
  <si>
    <t>丰台区</t>
  </si>
  <si>
    <t>境内股权交易</t>
  </si>
  <si>
    <t>乐华梅兰</t>
  </si>
  <si>
    <t>StorHub(趣存自助仓）</t>
  </si>
  <si>
    <t>零售</t>
    <phoneticPr fontId="134" type="noConversion"/>
  </si>
  <si>
    <t>光彩国际公寓底商</t>
    <phoneticPr fontId="134" type="noConversion"/>
  </si>
  <si>
    <t>工体</t>
    <phoneticPr fontId="134" type="noConversion"/>
  </si>
  <si>
    <t>资产交易</t>
    <phoneticPr fontId="134" type="noConversion"/>
  </si>
  <si>
    <t>泛海集团</t>
    <phoneticPr fontId="134" type="noConversion"/>
  </si>
  <si>
    <t>金隅集团</t>
    <phoneticPr fontId="134" type="noConversion"/>
  </si>
  <si>
    <t>开发商</t>
    <phoneticPr fontId="134" type="noConversion"/>
  </si>
  <si>
    <t>地产资管界公众号</t>
    <phoneticPr fontId="134" type="noConversion"/>
  </si>
  <si>
    <t>公寓</t>
    <phoneticPr fontId="134" type="noConversion"/>
  </si>
  <si>
    <t>招商花园里3号楼</t>
    <phoneticPr fontId="134" type="noConversion"/>
  </si>
  <si>
    <t>大兴黄村</t>
    <phoneticPr fontId="134" type="noConversion"/>
  </si>
  <si>
    <t>招商蛇口</t>
    <phoneticPr fontId="134" type="noConversion"/>
  </si>
  <si>
    <t>北京百肯供应链管理有限公司</t>
    <phoneticPr fontId="134" type="noConversion"/>
  </si>
  <si>
    <t>优士阁</t>
    <phoneticPr fontId="134" type="noConversion"/>
  </si>
  <si>
    <t>双井</t>
    <phoneticPr fontId="134" type="noConversion"/>
  </si>
  <si>
    <t>华润置地</t>
    <phoneticPr fontId="134" type="noConversion"/>
  </si>
  <si>
    <t>艺星整形</t>
    <phoneticPr fontId="134" type="noConversion"/>
  </si>
  <si>
    <t>企业</t>
    <phoneticPr fontId="134" type="noConversion"/>
  </si>
  <si>
    <t>办公</t>
    <phoneticPr fontId="134" type="noConversion"/>
  </si>
  <si>
    <t>奥林匹克地下空间</t>
    <phoneticPr fontId="134" type="noConversion"/>
  </si>
  <si>
    <t>奥体</t>
    <phoneticPr fontId="134" type="noConversion"/>
  </si>
  <si>
    <t>北京新奥集团</t>
    <phoneticPr fontId="134" type="noConversion"/>
  </si>
  <si>
    <t>未披露</t>
    <phoneticPr fontId="134" type="noConversion"/>
  </si>
  <si>
    <t>其他</t>
    <phoneticPr fontId="134" type="noConversion"/>
  </si>
  <si>
    <t>招商花园里5号楼</t>
    <phoneticPr fontId="134" type="noConversion"/>
  </si>
  <si>
    <t>综合体</t>
  </si>
  <si>
    <t>颐堤港一期项目50%股权</t>
    <phoneticPr fontId="134" type="noConversion"/>
  </si>
  <si>
    <t>朝阳区</t>
  </si>
  <si>
    <t>远洋</t>
  </si>
  <si>
    <t>国寿资本</t>
  </si>
  <si>
    <t>占地约5.9万平方米，总楼面面积约17.6万平方米（不含停车场）。该项目建有一座时尚购物商场，高25层的甲级办公楼颐堤港一座.酒店33286.96；办公54726.19；地上商业68568.98；地下商业47237.33；车库68795.64</t>
    <phoneticPr fontId="134" type="noConversion"/>
  </si>
  <si>
    <t>北京远洋锐中心34.5%股权</t>
    <phoneticPr fontId="134" type="noConversion"/>
  </si>
  <si>
    <t>丰台区</t>
    <phoneticPr fontId="134" type="noConversion"/>
  </si>
  <si>
    <t>平安人寿</t>
  </si>
  <si>
    <t>建筑面积14.74万平方米</t>
    <phoneticPr fontId="134" type="noConversion"/>
  </si>
  <si>
    <t>玫瑰坊商业中心</t>
    <phoneticPr fontId="134" type="noConversion"/>
  </si>
  <si>
    <t>通州</t>
    <phoneticPr fontId="134" type="noConversion"/>
  </si>
  <si>
    <t>北京君合百年房地产开发有限公司</t>
    <phoneticPr fontId="134" type="noConversion"/>
  </si>
  <si>
    <t>北京通华业科技发展有限公司</t>
    <phoneticPr fontId="134" type="noConversion"/>
  </si>
  <si>
    <t>世茂工三</t>
    <phoneticPr fontId="134" type="noConversion"/>
  </si>
  <si>
    <t>【高和内部】2017-2021京沪大宗交易数据</t>
  </si>
  <si>
    <t>https://weibo.com/ttarticle/p/show?id=2309404695060502413339
商业面积约为6.6万平方米，其中1#楼写字楼1-4层底商部分1.5万余平方米出售；2#楼5万余平方米商场部分由世茂集团自持，分为地上四层及地下一层，其中地上由旗舰店/主力店、零售店铺、中高档餐饮等商业业态组成，地下一层由超市、零售店铺及食街组成。</t>
    <phoneticPr fontId="134" type="noConversion"/>
  </si>
  <si>
    <t>北京来福士中心</t>
    <phoneticPr fontId="134" type="noConversion"/>
  </si>
  <si>
    <t>东城区</t>
  </si>
  <si>
    <t>办公、商业、公寓、附属用房、地下车库</t>
    <phoneticPr fontId="134" type="noConversion"/>
  </si>
  <si>
    <t>项目占地14686平方米，总建筑面积为143865平方米，由38665平方米写字楼、40000平方米零售商场、27000平方米高档公寓、38200平方米附属用房和停车场组成。凯德置地将其建成集高档公寓、商务写字楼、零售商场于一体的综合项目，其中地面建筑面积为97665平方米，地下建筑面积为40000平方米，地下直接连通东直门交通枢纽。</t>
    <phoneticPr fontId="134" type="noConversion"/>
  </si>
  <si>
    <t>北京悦荟广场</t>
    <phoneticPr fontId="134" type="noConversion"/>
  </si>
  <si>
    <t>昌平区</t>
  </si>
  <si>
    <t>https://weibo.com/ttarticle/p/show?id=2309404695060502413339
地上8层，地下2层，其中地下1层为商业</t>
    <phoneticPr fontId="134" type="noConversion"/>
  </si>
  <si>
    <t>五棵松华熙LIVE（50%股权）</t>
  </si>
  <si>
    <t>海淀区</t>
  </si>
  <si>
    <t>商业、办公、地下车库</t>
  </si>
  <si>
    <t>盈都中心D座</t>
    <phoneticPr fontId="134" type="noConversion"/>
  </si>
  <si>
    <t>中关村</t>
  </si>
  <si>
    <t>华远盈都（北京中关村）</t>
  </si>
  <si>
    <t>普洛斯</t>
  </si>
  <si>
    <t>2020年大单购买成交信息表-北京</t>
    <phoneticPr fontId="134" type="noConversion"/>
  </si>
  <si>
    <t>办公/https://caifuhao.eastmoney.com/news/20211012220931952393380</t>
    <phoneticPr fontId="134" type="noConversion"/>
  </si>
  <si>
    <t>地下商业9789.56平方米，地下车库1249.69平方米（34个）；商业到2042.5.13、地下车库2052.5.13</t>
  </si>
  <si>
    <t>办公、商业、车库</t>
  </si>
  <si>
    <t>金融街万科丰科中心</t>
  </si>
  <si>
    <t>总部基地</t>
  </si>
  <si>
    <t>金融街</t>
  </si>
  <si>
    <t>平安人寿保险</t>
  </si>
  <si>
    <t>土地年限商业2055-8-18，办公2065-8-18；地下商业6212.14平方米，车位16495.97平方米（445个），地下库房6.42平方米，其他用房</t>
  </si>
  <si>
    <t>商业、库房</t>
  </si>
  <si>
    <t>保利百合花园底商</t>
    <phoneticPr fontId="134" type="noConversion"/>
  </si>
  <si>
    <t>丽泽</t>
  </si>
  <si>
    <t>个人</t>
  </si>
  <si>
    <t>个人</t>
    <phoneticPr fontId="134" type="noConversion"/>
  </si>
  <si>
    <t>临街住宅配套商业</t>
    <phoneticPr fontId="134" type="noConversion"/>
  </si>
  <si>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</si>
  <si>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商业、车库</t>
  </si>
  <si>
    <t>旺座中心地下及1-3层</t>
    <phoneticPr fontId="134" type="noConversion"/>
  </si>
  <si>
    <t>CBD</t>
  </si>
  <si>
    <t>北京首地恒瑞投资管理有限公司</t>
  </si>
  <si>
    <t>北京百祥商贸有限公司</t>
  </si>
  <si>
    <t>地上1层商业1549.32平方米，地上2层商业2405.37平方米，地上3层2620.22平方米，地下1层商业5698.07平方米，地下2层-地下3层车库17031.21平方米</t>
  </si>
  <si>
    <t xml:space="preserve">综合体   </t>
  </si>
  <si>
    <t xml:space="preserve"> 北京通州综合发展项目（信德中心二期）   </t>
    <phoneticPr fontId="134" type="noConversion"/>
  </si>
  <si>
    <t xml:space="preserve">运河大街   </t>
  </si>
  <si>
    <t xml:space="preserve">--   </t>
  </si>
  <si>
    <t xml:space="preserve">股权交易   </t>
  </si>
  <si>
    <t xml:space="preserve">   崇新发展有限公司 </t>
  </si>
  <si>
    <t xml:space="preserve">  鹏瑞利(成都)实业有限公司(外资),顺丰控股有限公司(外资)  </t>
  </si>
  <si>
    <t>中指数据-2017至2021大宗交易统计-全国</t>
    <phoneticPr fontId="134" type="noConversion"/>
  </si>
  <si>
    <t>富力城B区底商</t>
    <phoneticPr fontId="134" type="noConversion"/>
  </si>
  <si>
    <t>东三环</t>
  </si>
  <si>
    <t>2042年4月24日止；有（租期至2024年4月30日）；租户为唯颜医美</t>
  </si>
  <si>
    <t>富力城A区底商</t>
  </si>
  <si>
    <t xml:space="preserve"> 琨御府   </t>
    <phoneticPr fontId="134" type="noConversion"/>
  </si>
  <si>
    <t xml:space="preserve">资产交易   </t>
  </si>
  <si>
    <t xml:space="preserve">   京投发展股份有限公司 </t>
  </si>
  <si>
    <t xml:space="preserve">  北京市基础设施投资有限公司(内资)  </t>
  </si>
  <si>
    <t>悦秀城生活广场</t>
    <phoneticPr fontId="134" type="noConversion"/>
  </si>
  <si>
    <t>国美控股集</t>
  </si>
  <si>
    <t>Sigma Delta Partners, GI</t>
    <phoneticPr fontId="134" type="noConversion"/>
  </si>
  <si>
    <t>【高和内部】2017-2021京沪大宗交易数据</t>
    <phoneticPr fontId="134" type="noConversion"/>
  </si>
  <si>
    <t>靠近北京南站</t>
    <phoneticPr fontId="134" type="noConversion"/>
  </si>
  <si>
    <t>办公、商业</t>
  </si>
  <si>
    <t>长城金融大厦1号楼</t>
    <phoneticPr fontId="134" type="noConversion"/>
  </si>
  <si>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</si>
  <si>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</si>
  <si>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</si>
  <si>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中冀斯巴鲁大厦A-2101</t>
    <phoneticPr fontId="134" type="noConversion"/>
  </si>
  <si>
    <t>北京经济技术开发区</t>
  </si>
  <si>
    <t>企业</t>
  </si>
  <si>
    <t>北京热海之城贸易有限公司</t>
  </si>
  <si>
    <t>套内建筑面积750.75㎡；</t>
  </si>
  <si>
    <t>上海沙龙底商</t>
  </si>
  <si>
    <t>亦庄</t>
  </si>
  <si>
    <t>地上、地下面积不详</t>
  </si>
  <si>
    <t>丽水莲花小区</t>
  </si>
  <si>
    <t>西客站</t>
  </si>
  <si>
    <t>详细租赁情况未提供；临广莲路，开间4米，层高约4米；土地使用年限至2044年8月30日</t>
  </si>
  <si>
    <t>绿地三元桥1-2#配套楼</t>
  </si>
  <si>
    <t>三元桥</t>
  </si>
  <si>
    <t>绿地控股</t>
  </si>
  <si>
    <t>小配楼1-2层</t>
  </si>
  <si>
    <t>丰台金茂广场2#楼</t>
    <phoneticPr fontId="134" type="noConversion"/>
  </si>
  <si>
    <t>南四环</t>
  </si>
  <si>
    <t>金茂集团</t>
  </si>
  <si>
    <t>2号楼地上1-21层，地下1层商业</t>
  </si>
  <si>
    <t>文化艺术大厦202-2</t>
  </si>
  <si>
    <t>北京华景豪泰科技有限公司</t>
  </si>
  <si>
    <t>海淀区中关村大街28-1号（海淀区文化艺术大厦）2层;有（1份租赁合同到2034年（19年4.3元/平方米.月（不含物业管理费），每年递增0.1元/平方米.月），1份合同到2027年）</t>
  </si>
  <si>
    <t>顺迈金钻商务中心1至3层商2（含跃层）</t>
  </si>
  <si>
    <t>双井</t>
  </si>
  <si>
    <t>房屋设计用途为商业用房，所在层数为1-3层；一层约为3.8米，二、三层约为2.8米</t>
  </si>
  <si>
    <t>老番街</t>
  </si>
  <si>
    <t>朝外</t>
  </si>
  <si>
    <t>北京鸿豪科技文化有限公司</t>
  </si>
  <si>
    <t>房屋规划用途：商业。房屋性质：商品房。房屋建筑面积905.35平方米，房屋总层数：14（-1），估价对象所在楼层：1层。有电梯。</t>
  </si>
  <si>
    <t xml:space="preserve">商业   </t>
  </si>
  <si>
    <t xml:space="preserve"> 姚家园路住宅区某物业发展项目   </t>
    <phoneticPr fontId="134" type="noConversion"/>
  </si>
  <si>
    <t xml:space="preserve">   华润(集团)有限公司 </t>
  </si>
  <si>
    <t xml:space="preserve">  华润置地(北京)股份有限公司(内资)  </t>
  </si>
  <si>
    <t>商业、办公</t>
  </si>
  <si>
    <t>亚之杰中心办公楼A、B座和京顺路109号院2号楼</t>
    <phoneticPr fontId="134" type="noConversion"/>
  </si>
  <si>
    <t>四元桥</t>
  </si>
  <si>
    <t>亚之杰置业房地产开发有限公司</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</si>
  <si>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</si>
  <si>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</si>
  <si>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京杭广场</t>
    <phoneticPr fontId="134" type="noConversion"/>
  </si>
  <si>
    <t>通州</t>
  </si>
  <si>
    <t>绿城</t>
  </si>
  <si>
    <t>北投，爱琴海集团</t>
  </si>
  <si>
    <t>丰台金茂广场4#楼</t>
  </si>
  <si>
    <t>4号楼地上2-11层</t>
  </si>
  <si>
    <t xml:space="preserve"> 北京工体3号   </t>
  </si>
  <si>
    <t xml:space="preserve">   中海晟融(北京)资本管理集团有限公司 </t>
  </si>
  <si>
    <t xml:space="preserve">  上海世茂投资管理有限公司(外资)  </t>
  </si>
  <si>
    <t>成大广场</t>
  </si>
  <si>
    <t>石榴集团</t>
  </si>
  <si>
    <t>三峡集团</t>
  </si>
  <si>
    <t>商业、经营性办公</t>
  </si>
  <si>
    <t>临河里1号楼</t>
  </si>
  <si>
    <t>北京君合百年房地产开发有限公司</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</si>
  <si>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</si>
  <si>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</si>
  <si>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 xml:space="preserve"> 华业国际中心   </t>
  </si>
  <si>
    <t xml:space="preserve">大望路   </t>
  </si>
  <si>
    <t xml:space="preserve">   北京华业资本控股股份有限公司 </t>
  </si>
  <si>
    <t xml:space="preserve">  北京西丁府(内资)  </t>
  </si>
  <si>
    <t xml:space="preserve"> Naga上院   </t>
    <phoneticPr fontId="134" type="noConversion"/>
  </si>
  <si>
    <t xml:space="preserve">东直门   </t>
  </si>
  <si>
    <t xml:space="preserve">   河南省景瑞控股有限责任公司 </t>
  </si>
  <si>
    <t xml:space="preserve">  迁安市九江线材有限责任公司(内资)  </t>
  </si>
  <si>
    <t>LG双子座大厦</t>
    <phoneticPr fontId="134" type="noConversion"/>
  </si>
  <si>
    <t>境外股权交易</t>
  </si>
  <si>
    <t>乐金</t>
  </si>
  <si>
    <t>GIC</t>
  </si>
  <si>
    <t>办公、商业、商办公寓、地下车库</t>
  </si>
  <si>
    <t>成大广场1、2、4A\4B办公楼、5商业楼、3#商务公寓</t>
  </si>
  <si>
    <t>中国长江三峡集团
有限公司</t>
  </si>
  <si>
    <t>地下商业8733.13平方米，地下车库13403.01平方米（98个车位含机械车位50个）</t>
  </si>
  <si>
    <t xml:space="preserve"> 双子座大厦   </t>
  </si>
  <si>
    <t xml:space="preserve">建国门   </t>
  </si>
  <si>
    <t xml:space="preserve">   LG电子株式会社 </t>
  </si>
  <si>
    <t xml:space="preserve">  新加坡政府投资有限公司(外资),中粮集团有限公司(内资)  </t>
  </si>
  <si>
    <t>侨商中心2-3商业楼（原售楼处）</t>
  </si>
  <si>
    <t>侨商</t>
  </si>
  <si>
    <t>浙商北分</t>
  </si>
  <si>
    <t>1-3层（原售楼处）；精装修，总高15米</t>
  </si>
  <si>
    <t>配套商业</t>
  </si>
  <si>
    <t>莲怡园一区裙房</t>
  </si>
  <si>
    <t>六里桥</t>
  </si>
  <si>
    <t>北京兴丰房地产经营开发公司</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</si>
  <si>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</si>
  <si>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</si>
  <si>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丰台金茂广场7#楼</t>
  </si>
  <si>
    <t>7号楼地上1-11层</t>
  </si>
  <si>
    <t xml:space="preserve"> 八达岭奥特莱斯   </t>
  </si>
  <si>
    <t xml:space="preserve">   南通凯宝农副产品有限公司 </t>
  </si>
  <si>
    <t xml:space="preserve">  北京华联大信商业管理有限公司(内资)  </t>
  </si>
  <si>
    <t xml:space="preserve"> 中粮万科FUNMIX半岛广场   </t>
  </si>
  <si>
    <t xml:space="preserve">   中粮集团有限公司 </t>
  </si>
  <si>
    <t xml:space="preserve">  万科企业股份有限公司(内资)  </t>
  </si>
  <si>
    <t xml:space="preserve"> 丽泽金融商务区 D-03/04地块   </t>
  </si>
  <si>
    <t xml:space="preserve">丽泽桥   </t>
  </si>
  <si>
    <t xml:space="preserve">   华夏幸福基业股份有限公司 </t>
  </si>
  <si>
    <t xml:space="preserve">  中国平安人寿保险股份有限公司(内资)  </t>
  </si>
  <si>
    <t xml:space="preserve"> 赛特大厦   </t>
  </si>
  <si>
    <t xml:space="preserve">   北京赛特商贸有限公司 </t>
  </si>
  <si>
    <t xml:space="preserve">  碧桂园地产集团有限公司(内资)  </t>
  </si>
  <si>
    <t xml:space="preserve"> 北京翠宫饭店   </t>
  </si>
  <si>
    <t xml:space="preserve">知春路   </t>
  </si>
  <si>
    <t xml:space="preserve">   北京翠宫饭店有限公司 </t>
  </si>
  <si>
    <t xml:space="preserve">  北京京东尚科信息技术有限公司(外资)  </t>
  </si>
  <si>
    <t xml:space="preserve"> 碧生源大厦（玲珑天地D座）   </t>
  </si>
  <si>
    <t xml:space="preserve">四季青   </t>
  </si>
  <si>
    <t xml:space="preserve">   北京畅升商务咨询有限公司 </t>
  </si>
  <si>
    <t xml:space="preserve">  吉宝湖畔(无锡)房地产开发有限公司(外资)  </t>
  </si>
  <si>
    <t>爱琴海购物广场</t>
  </si>
  <si>
    <t>太阳宫</t>
  </si>
  <si>
    <t>安贞华联</t>
  </si>
  <si>
    <t>北三环</t>
  </si>
  <si>
    <t>丰台龙湖西宸广场1#</t>
    <phoneticPr fontId="134" type="noConversion"/>
  </si>
  <si>
    <t>丰台科技园</t>
  </si>
  <si>
    <t>北苑阳光新业广场</t>
  </si>
  <si>
    <t>北苑</t>
  </si>
  <si>
    <t>西北旺商业项目</t>
  </si>
  <si>
    <t>上地</t>
  </si>
  <si>
    <t xml:space="preserve"> 安贞凯德广场   </t>
  </si>
  <si>
    <t xml:space="preserve">   北京华联商厦股份有限公司 </t>
  </si>
  <si>
    <t xml:space="preserve">  远洋地产控股有限公司(外资)  </t>
  </si>
  <si>
    <t xml:space="preserve"> 北京SKP   </t>
  </si>
  <si>
    <t xml:space="preserve">   -- </t>
  </si>
  <si>
    <t xml:space="preserve">  北京国华置业有限公司(合资),北京华联集团(内资)  </t>
  </si>
  <si>
    <t>22Q2</t>
  </si>
  <si>
    <t>22Q1</t>
  </si>
  <si>
    <t>21Q2</t>
  </si>
  <si>
    <t>21Q1</t>
  </si>
  <si>
    <t>23Q2</t>
    <phoneticPr fontId="3" type="noConversion"/>
  </si>
  <si>
    <t>23Q1</t>
    <phoneticPr fontId="3" type="noConversion"/>
  </si>
  <si>
    <t>22Q4</t>
    <phoneticPr fontId="3" type="noConversion"/>
  </si>
  <si>
    <t>22Q3</t>
    <phoneticPr fontId="30" type="noConversion"/>
  </si>
  <si>
    <t>21Q4</t>
    <phoneticPr fontId="30" type="noConversion"/>
  </si>
  <si>
    <t>21Q3</t>
    <phoneticPr fontId="30" type="noConversion"/>
  </si>
  <si>
    <t>20Q4</t>
    <phoneticPr fontId="30" type="noConversion"/>
  </si>
  <si>
    <t>地下车库占比</t>
  </si>
  <si>
    <t>一般</t>
  </si>
  <si>
    <t>一般</t>
    <phoneticPr fontId="30" type="noConversion"/>
  </si>
  <si>
    <t>较小</t>
  </si>
  <si>
    <t>较小</t>
    <phoneticPr fontId="30" type="noConversion"/>
  </si>
  <si>
    <t>较大</t>
  </si>
  <si>
    <t>无</t>
    <phoneticPr fontId="30" type="noConversion"/>
  </si>
  <si>
    <t>0-10%</t>
    <phoneticPr fontId="30" type="noConversion"/>
  </si>
  <si>
    <t>10-20%</t>
    <phoneticPr fontId="30" type="noConversion"/>
  </si>
  <si>
    <t>好</t>
  </si>
  <si>
    <t>较好</t>
  </si>
  <si>
    <t>独立商业</t>
  </si>
  <si>
    <t>独立商业</t>
    <phoneticPr fontId="30" type="noConversion"/>
  </si>
  <si>
    <t>较好</t>
    <phoneticPr fontId="3" type="noConversion"/>
  </si>
  <si>
    <t>一般</t>
    <phoneticPr fontId="3" type="noConversion"/>
  </si>
  <si>
    <t>售价</t>
  </si>
  <si>
    <t>项目模式</t>
  </si>
  <si>
    <t>比较法-商业</t>
  </si>
  <si>
    <t>全年收入/亿元</t>
    <phoneticPr fontId="134" type="noConversion"/>
  </si>
  <si>
    <t>年份</t>
    <phoneticPr fontId="134" type="noConversion"/>
  </si>
  <si>
    <t>银行提供，无法提供明细</t>
    <phoneticPr fontId="134" type="noConversion"/>
  </si>
  <si>
    <t>总价</t>
  </si>
  <si>
    <t>情况3</t>
  </si>
  <si>
    <t>正常</t>
  </si>
  <si>
    <t>自行开发建设</t>
  </si>
  <si>
    <t>钢混</t>
    <phoneticPr fontId="30" type="noConversion"/>
  </si>
  <si>
    <t>精装修</t>
  </si>
  <si>
    <t>精装修</t>
    <phoneticPr fontId="30" type="noConversion"/>
  </si>
  <si>
    <t>七通</t>
  </si>
  <si>
    <t>估价对象容积率</t>
  </si>
  <si>
    <t>房号</t>
    <phoneticPr fontId="134" type="noConversion"/>
  </si>
  <si>
    <t>合计</t>
    <phoneticPr fontId="134" type="noConversion"/>
  </si>
  <si>
    <t>用途</t>
    <phoneticPr fontId="134" type="noConversion"/>
  </si>
  <si>
    <t>商业用房</t>
    <phoneticPr fontId="134" type="noConversion"/>
  </si>
  <si>
    <t>国有土地使用证</t>
  </si>
  <si>
    <t>房屋所有权证</t>
  </si>
  <si>
    <t>市海中外国用（94）字第00104号</t>
  </si>
  <si>
    <t>X京房权证海字第072920号</t>
  </si>
  <si>
    <t>序号</t>
    <phoneticPr fontId="134" type="noConversion"/>
  </si>
  <si>
    <t>典型户型修正</t>
  </si>
  <si>
    <t>比较法</t>
    <phoneticPr fontId="8" type="noConversion"/>
  </si>
  <si>
    <t>收益法</t>
    <phoneticPr fontId="8" type="noConversion"/>
  </si>
  <si>
    <t>成本法</t>
    <phoneticPr fontId="8" type="noConversion"/>
  </si>
  <si>
    <t>权重</t>
    <phoneticPr fontId="9" type="noConversion"/>
  </si>
  <si>
    <t>单价</t>
    <phoneticPr fontId="8" type="noConversion"/>
  </si>
  <si>
    <t>总价</t>
    <phoneticPr fontId="8" type="noConversion"/>
  </si>
  <si>
    <t>权重后总价</t>
    <phoneticPr fontId="8" type="noConversion"/>
  </si>
  <si>
    <t>权重后单价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</si>
</sst>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
      <b/>
      <sz val="11"/>
      <name val="宋体"/>
      <family val="3"/>
      <charset val="134"/>
      <scheme val="minor"/>
    </font>
    <font>
      <b/>
      <sz val="12"/>
      <name val="宋体"/>
      <family val="3"/>
      <charset val="134"/>
      <scheme val="minor"/>
    </font>
    <font>
      <b/>
      <vertAlign val="superscript"/>
      <sz val="11"/>
      <color rgb="FFFF0000"/>
      <name val="宋体"/>
      <family val="3"/>
      <charset val="134"/>
      <scheme val="minor"/>
    </font>
    <font>
      <sz val="10"/>
      <name val="宋体"/>
      <family val="3"/>
      <charset val="134"/>
      <scheme val="minor"/>
    </font>
    <font>
      <u/>
      <sz val="10"/>
      <color theme="1"/>
      <name val="宋体"/>
      <family val="3"/>
      <charset val="134"/>
      <scheme val="minor"/>
    </font>
    <font>
      <sz val="10"/>
      <color theme="1"/>
      <name val="楷体_GB2312"/>
      <family val="3"/>
      <charset val="134"/>
    </font>
    <font>
      <sz val="10"/>
      <color theme="1"/>
      <name val="Times New Roman"/>
      <family val="1"/>
    </font>
    <font>
      <sz val="10"/>
      <color theme="1"/>
      <name val="华文细黑"/>
      <family val="3"/>
      <charset val="134"/>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5117038483843"/>
        <bgColor indexed="64"/>
      </patternFill>
    </fill>
    <fill>
      <patternFill patternType="solid">
        <fgColor theme="9" tint="0.799951170384838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28" fillId="0" borderId="0">
      <alignment vertical="center"/>
    </xf>
    <xf numFmtId="0" fontId="278" fillId="0" borderId="0" applyNumberFormat="0" applyFill="0" applyBorder="0" applyAlignment="0" applyProtection="0">
      <alignment vertical="center"/>
    </xf>
  </cellStyleXfs>
  <cellXfs count="39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269" fillId="0" borderId="7" xfId="0" applyFont="1" applyBorder="1">
      <alignment vertical="center"/>
    </xf>
    <xf numFmtId="0" fontId="269" fillId="0" borderId="60" xfId="0" applyFont="1" applyBorder="1">
      <alignment vertical="center"/>
    </xf>
    <xf numFmtId="0" fontId="269" fillId="0" borderId="35" xfId="0" applyFont="1" applyBorder="1">
      <alignment vertical="center"/>
    </xf>
    <xf numFmtId="0" fontId="269" fillId="0" borderId="0" xfId="0" applyFont="1">
      <alignment vertical="center"/>
    </xf>
    <xf numFmtId="177" fontId="47" fillId="16" borderId="1" xfId="1" applyNumberFormat="1" applyFont="1" applyFill="1" applyBorder="1" applyAlignment="1" applyProtection="1">
      <alignment horizontal="center" vertical="center"/>
      <protection locked="0"/>
    </xf>
    <xf numFmtId="0" fontId="270" fillId="22" borderId="1" xfId="0" applyFont="1" applyFill="1" applyBorder="1" applyAlignment="1">
      <alignment horizontal="center" vertical="center"/>
    </xf>
    <xf numFmtId="0" fontId="271" fillId="23" borderId="1" xfId="0" applyFont="1" applyFill="1" applyBorder="1" applyAlignment="1" applyProtection="1">
      <alignment horizontal="center" vertical="center"/>
      <protection locked="0"/>
    </xf>
    <xf numFmtId="0" fontId="193" fillId="7" borderId="0" xfId="0" applyFont="1" applyFill="1" applyBorder="1" applyAlignment="1">
      <alignment horizontal="left" vertical="center"/>
    </xf>
    <xf numFmtId="0" fontId="108" fillId="7" borderId="0" xfId="0" applyFont="1" applyFill="1" applyBorder="1" applyAlignment="1">
      <alignment vertical="center"/>
    </xf>
    <xf numFmtId="0" fontId="0" fillId="7" borderId="0" xfId="0" applyFill="1" applyBorder="1" applyAlignment="1">
      <alignment vertical="center"/>
    </xf>
    <xf numFmtId="0" fontId="271" fillId="7" borderId="0" xfId="0" applyFont="1" applyFill="1" applyBorder="1" applyAlignment="1">
      <alignment vertical="center"/>
    </xf>
    <xf numFmtId="0" fontId="271" fillId="7" borderId="0" xfId="0" applyFont="1" applyFill="1" applyBorder="1" applyAlignment="1">
      <alignment horizontal="center" vertical="center"/>
    </xf>
    <xf numFmtId="0" fontId="220" fillId="7" borderId="0" xfId="0" applyFont="1" applyFill="1" applyBorder="1" applyAlignment="1">
      <alignment horizontal="center" vertical="center"/>
    </xf>
    <xf numFmtId="0" fontId="108" fillId="7" borderId="0" xfId="0" applyFont="1" applyFill="1" applyBorder="1" applyAlignment="1">
      <alignment horizontal="center" vertical="center"/>
    </xf>
    <xf numFmtId="0" fontId="0" fillId="22" borderId="1" xfId="0" applyFont="1" applyFill="1" applyBorder="1" applyAlignment="1" applyProtection="1">
      <alignment horizontal="center" vertical="center" wrapText="1"/>
    </xf>
    <xf numFmtId="0" fontId="108" fillId="22" borderId="1" xfId="0" applyFont="1" applyFill="1" applyBorder="1" applyAlignment="1" applyProtection="1">
      <alignment horizontal="center" vertical="center" wrapText="1"/>
    </xf>
    <xf numFmtId="0" fontId="273" fillId="0" borderId="1" xfId="0" applyFont="1" applyFill="1" applyBorder="1" applyAlignment="1">
      <alignment horizontal="center" vertical="center" wrapText="1"/>
    </xf>
    <xf numFmtId="0" fontId="107" fillId="0" borderId="1" xfId="0" applyFont="1" applyFill="1" applyBorder="1" applyAlignment="1">
      <alignment vertical="center"/>
    </xf>
    <xf numFmtId="0" fontId="107" fillId="0" borderId="1" xfId="0" applyFont="1" applyFill="1" applyBorder="1" applyAlignment="1">
      <alignment horizontal="center" vertical="center"/>
    </xf>
    <xf numFmtId="0" fontId="107" fillId="0" borderId="1" xfId="0" applyFont="1" applyFill="1" applyBorder="1" applyAlignment="1">
      <alignment horizontal="right" vertical="center"/>
    </xf>
    <xf numFmtId="194" fontId="107" fillId="0" borderId="1" xfId="0" applyNumberFormat="1" applyFont="1" applyFill="1" applyBorder="1" applyAlignment="1">
      <alignment horizontal="right" vertical="center"/>
    </xf>
    <xf numFmtId="14" fontId="107" fillId="0" borderId="1" xfId="0" applyNumberFormat="1" applyFont="1" applyFill="1" applyBorder="1" applyAlignment="1">
      <alignment horizontal="right" vertical="center"/>
    </xf>
    <xf numFmtId="0" fontId="107" fillId="0" borderId="1" xfId="0" applyFont="1" applyFill="1" applyBorder="1" applyAlignment="1">
      <alignment vertical="center" wrapText="1"/>
    </xf>
    <xf numFmtId="0" fontId="107" fillId="0" borderId="1" xfId="0" applyFont="1" applyFill="1" applyBorder="1" applyAlignment="1">
      <alignment horizontal="center" vertical="center" wrapText="1"/>
    </xf>
    <xf numFmtId="0" fontId="273" fillId="0" borderId="1" xfId="0" applyFont="1" applyFill="1" applyBorder="1" applyAlignment="1">
      <alignment horizontal="left" vertical="center" wrapText="1"/>
    </xf>
    <xf numFmtId="0" fontId="273" fillId="0" borderId="1" xfId="0" applyFont="1" applyFill="1" applyBorder="1" applyAlignment="1">
      <alignment vertical="center" wrapText="1"/>
    </xf>
    <xf numFmtId="0" fontId="107" fillId="0" borderId="1" xfId="0" applyFont="1" applyFill="1" applyBorder="1" applyAlignment="1">
      <alignment horizontal="left" vertical="center" wrapText="1"/>
    </xf>
    <xf numFmtId="0" fontId="107" fillId="0" borderId="1" xfId="0" applyFont="1" applyFill="1" applyBorder="1" applyAlignment="1">
      <alignment horizontal="left" vertical="center"/>
    </xf>
    <xf numFmtId="0" fontId="122" fillId="0" borderId="1" xfId="0" applyFont="1" applyFill="1" applyBorder="1" applyAlignment="1">
      <alignment vertical="center"/>
    </xf>
    <xf numFmtId="0" fontId="19" fillId="0" borderId="1" xfId="0" applyFont="1" applyFill="1" applyBorder="1" applyAlignment="1">
      <alignment horizontal="left" vertical="center" wrapText="1"/>
    </xf>
    <xf numFmtId="0" fontId="19" fillId="0" borderId="1" xfId="0" applyFont="1" applyFill="1" applyBorder="1" applyAlignment="1">
      <alignment vertical="center" wrapText="1"/>
    </xf>
    <xf numFmtId="0" fontId="19" fillId="0" borderId="1" xfId="0" applyFont="1" applyFill="1" applyBorder="1" applyAlignment="1">
      <alignment horizontal="center" vertical="center" wrapText="1"/>
    </xf>
    <xf numFmtId="0" fontId="77" fillId="0" borderId="1" xfId="0" applyFont="1" applyFill="1" applyBorder="1" applyAlignment="1">
      <alignment horizontal="left" vertical="center" wrapText="1"/>
    </xf>
    <xf numFmtId="0" fontId="77" fillId="0" borderId="1" xfId="0" applyFont="1" applyFill="1" applyBorder="1" applyAlignment="1">
      <alignment vertical="center" wrapText="1"/>
    </xf>
    <xf numFmtId="0" fontId="77" fillId="0" borderId="1" xfId="0" applyFont="1" applyFill="1" applyBorder="1" applyAlignment="1">
      <alignment horizontal="center" vertical="center" wrapText="1"/>
    </xf>
    <xf numFmtId="179" fontId="19" fillId="0" borderId="1" xfId="0" applyNumberFormat="1" applyFont="1" applyFill="1" applyBorder="1" applyAlignment="1">
      <alignment horizontal="center" vertical="center" wrapText="1"/>
    </xf>
    <xf numFmtId="179" fontId="122" fillId="0" borderId="1" xfId="0" applyNumberFormat="1" applyFont="1" applyFill="1" applyBorder="1" applyAlignment="1">
      <alignment horizontal="center" vertical="center" wrapText="1"/>
    </xf>
    <xf numFmtId="179" fontId="273" fillId="0" borderId="1" xfId="0" applyNumberFormat="1" applyFont="1" applyFill="1" applyBorder="1" applyAlignment="1">
      <alignment horizontal="center" vertical="center" wrapText="1"/>
    </xf>
    <xf numFmtId="0" fontId="122" fillId="0" borderId="1" xfId="0" applyFont="1" applyFill="1" applyBorder="1" applyAlignment="1">
      <alignment horizontal="left" vertical="center" wrapText="1"/>
    </xf>
    <xf numFmtId="179" fontId="107" fillId="0" borderId="1" xfId="0" applyNumberFormat="1" applyFont="1" applyFill="1" applyBorder="1" applyAlignment="1">
      <alignment horizontal="center" vertical="center" wrapText="1"/>
    </xf>
    <xf numFmtId="0" fontId="122" fillId="0" borderId="1" xfId="0" applyFont="1" applyFill="1" applyBorder="1" applyAlignment="1">
      <alignment horizontal="center" vertical="center" wrapText="1"/>
    </xf>
    <xf numFmtId="179" fontId="19" fillId="0" borderId="1" xfId="0" applyNumberFormat="1" applyFont="1" applyFill="1" applyBorder="1" applyAlignment="1">
      <alignment vertical="center"/>
    </xf>
    <xf numFmtId="176" fontId="273" fillId="0" borderId="1" xfId="0" applyNumberFormat="1" applyFont="1" applyFill="1" applyBorder="1" applyAlignment="1">
      <alignment horizontal="center" vertical="center" wrapText="1"/>
    </xf>
    <xf numFmtId="179" fontId="122" fillId="0" borderId="1" xfId="0" applyNumberFormat="1" applyFont="1" applyFill="1" applyBorder="1" applyAlignment="1">
      <alignment vertical="center"/>
    </xf>
    <xf numFmtId="176" fontId="107" fillId="0" borderId="1" xfId="0" applyNumberFormat="1" applyFont="1" applyFill="1" applyBorder="1" applyAlignment="1">
      <alignment horizontal="center" vertical="center" wrapText="1"/>
    </xf>
    <xf numFmtId="49" fontId="107" fillId="0" borderId="1" xfId="0" applyNumberFormat="1" applyFont="1" applyFill="1" applyBorder="1" applyAlignment="1">
      <alignment horizontal="center" vertical="center" wrapText="1"/>
    </xf>
    <xf numFmtId="0" fontId="273"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122" fillId="0" borderId="1" xfId="0" applyFont="1" applyFill="1" applyBorder="1" applyAlignment="1">
      <alignment horizontal="center" vertical="center"/>
    </xf>
    <xf numFmtId="0" fontId="273" fillId="0" borderId="1" xfId="0" applyFont="1" applyFill="1" applyBorder="1" applyAlignment="1">
      <alignment horizontal="center" vertical="center"/>
    </xf>
    <xf numFmtId="0" fontId="122" fillId="0" borderId="1" xfId="0" applyFont="1" applyFill="1" applyBorder="1" applyAlignment="1">
      <alignment vertical="center" wrapText="1"/>
    </xf>
    <xf numFmtId="179" fontId="273" fillId="0" borderId="1" xfId="0" applyNumberFormat="1" applyFont="1" applyFill="1" applyBorder="1" applyAlignment="1">
      <alignment vertical="center"/>
    </xf>
    <xf numFmtId="0" fontId="77" fillId="0" borderId="1" xfId="19" applyFont="1" applyFill="1" applyBorder="1" applyAlignment="1">
      <alignment horizontal="center" vertical="center" wrapText="1"/>
    </xf>
    <xf numFmtId="0" fontId="0" fillId="0" borderId="0" xfId="0" applyFill="1">
      <alignment vertical="center"/>
    </xf>
    <xf numFmtId="0" fontId="95" fillId="0" borderId="0" xfId="0" applyFont="1" applyFill="1">
      <alignment vertical="center"/>
    </xf>
    <xf numFmtId="0" fontId="0" fillId="16" borderId="0" xfId="0" applyFill="1">
      <alignment vertical="center"/>
    </xf>
    <xf numFmtId="0" fontId="107" fillId="16" borderId="1" xfId="0" applyFont="1" applyFill="1" applyBorder="1" applyAlignment="1">
      <alignment horizontal="center" vertical="center"/>
    </xf>
    <xf numFmtId="0" fontId="107" fillId="16" borderId="1" xfId="0" applyFont="1" applyFill="1" applyBorder="1" applyAlignment="1">
      <alignment horizontal="left" vertical="center" wrapText="1"/>
    </xf>
    <xf numFmtId="0" fontId="273" fillId="16" borderId="1" xfId="0" applyFont="1" applyFill="1" applyBorder="1" applyAlignment="1">
      <alignment vertical="center" wrapText="1"/>
    </xf>
    <xf numFmtId="0" fontId="273" fillId="16" borderId="1" xfId="0" applyFont="1" applyFill="1" applyBorder="1" applyAlignment="1">
      <alignment horizontal="center" vertical="center" wrapText="1"/>
    </xf>
    <xf numFmtId="0" fontId="107" fillId="16" borderId="1" xfId="0" applyFont="1" applyFill="1" applyBorder="1" applyAlignment="1">
      <alignment vertical="center"/>
    </xf>
    <xf numFmtId="0" fontId="107" fillId="16" borderId="1" xfId="0" applyFont="1" applyFill="1" applyBorder="1" applyAlignment="1">
      <alignment horizontal="right" vertical="center"/>
    </xf>
    <xf numFmtId="14" fontId="107" fillId="16" borderId="1" xfId="0" applyNumberFormat="1" applyFont="1" applyFill="1" applyBorder="1" applyAlignment="1">
      <alignment horizontal="right" vertical="center"/>
    </xf>
    <xf numFmtId="0" fontId="107" fillId="16" borderId="1" xfId="0" applyFont="1" applyFill="1" applyBorder="1" applyAlignment="1">
      <alignment vertical="center" wrapText="1"/>
    </xf>
    <xf numFmtId="0" fontId="107" fillId="16" borderId="1" xfId="0" applyFont="1" applyFill="1" applyBorder="1" applyAlignment="1">
      <alignment horizontal="center" vertical="center" wrapText="1"/>
    </xf>
    <xf numFmtId="0" fontId="273" fillId="16" borderId="1" xfId="0" applyFont="1" applyFill="1" applyBorder="1" applyAlignment="1">
      <alignment horizontal="left" vertical="center" wrapText="1"/>
    </xf>
    <xf numFmtId="179" fontId="19" fillId="16" borderId="1" xfId="0" applyNumberFormat="1" applyFont="1" applyFill="1" applyBorder="1" applyAlignment="1">
      <alignment vertical="center"/>
    </xf>
    <xf numFmtId="0" fontId="273" fillId="16" borderId="1" xfId="0" applyFont="1" applyFill="1" applyBorder="1" applyAlignment="1">
      <alignment horizontal="center" vertical="center"/>
    </xf>
    <xf numFmtId="0" fontId="273" fillId="0" borderId="1" xfId="0" applyFont="1" applyFill="1" applyBorder="1" applyAlignment="1">
      <alignment vertical="center"/>
    </xf>
    <xf numFmtId="0" fontId="275" fillId="0" borderId="1" xfId="0" applyFont="1" applyFill="1" applyBorder="1" applyAlignment="1">
      <alignment vertical="center"/>
    </xf>
    <xf numFmtId="0" fontId="276" fillId="0" borderId="1" xfId="0" applyFont="1" applyFill="1" applyBorder="1" applyAlignment="1">
      <alignment vertical="center" wrapText="1"/>
    </xf>
    <xf numFmtId="0" fontId="274" fillId="0" borderId="1" xfId="0" applyFont="1" applyFill="1" applyBorder="1" applyAlignment="1">
      <alignment horizontal="center" vertical="center"/>
    </xf>
    <xf numFmtId="0" fontId="276" fillId="0" borderId="1" xfId="0" applyFont="1" applyFill="1" applyBorder="1" applyAlignment="1">
      <alignment horizontal="center" vertical="center" wrapText="1"/>
    </xf>
    <xf numFmtId="179" fontId="107" fillId="0" borderId="1" xfId="0" applyNumberFormat="1" applyFont="1" applyFill="1" applyBorder="1" applyAlignment="1">
      <alignment horizontal="center" vertical="center"/>
    </xf>
    <xf numFmtId="0" fontId="95" fillId="0" borderId="0" xfId="0" applyFont="1" applyAlignment="1">
      <alignment vertical="center" wrapText="1"/>
    </xf>
    <xf numFmtId="0" fontId="277" fillId="0" borderId="0" xfId="0" applyFont="1" applyAlignment="1">
      <alignment vertical="center" wrapText="1"/>
    </xf>
    <xf numFmtId="0" fontId="277" fillId="0" borderId="0" xfId="0" applyFont="1" applyAlignment="1">
      <alignment vertical="center"/>
    </xf>
    <xf numFmtId="17" fontId="277" fillId="16" borderId="0" xfId="0" applyNumberFormat="1" applyFont="1" applyFill="1" applyAlignment="1">
      <alignment vertical="center" wrapText="1"/>
    </xf>
    <xf numFmtId="0" fontId="277" fillId="16" borderId="0" xfId="0" applyFont="1" applyFill="1" applyAlignment="1">
      <alignment vertical="center" wrapText="1"/>
    </xf>
    <xf numFmtId="0" fontId="277" fillId="16" borderId="0" xfId="0" applyFont="1" applyFill="1" applyAlignment="1">
      <alignment vertical="center"/>
    </xf>
    <xf numFmtId="17" fontId="277" fillId="0" borderId="0" xfId="0" applyNumberFormat="1" applyFont="1" applyAlignment="1">
      <alignment vertical="center" wrapText="1"/>
    </xf>
    <xf numFmtId="17" fontId="277" fillId="0" borderId="0" xfId="0" applyNumberFormat="1" applyFont="1" applyFill="1" applyAlignment="1">
      <alignment vertical="center" wrapText="1"/>
    </xf>
    <xf numFmtId="0" fontId="277" fillId="0" borderId="0" xfId="0" applyFont="1" applyFill="1" applyAlignment="1">
      <alignment vertical="center" wrapText="1"/>
    </xf>
    <xf numFmtId="0" fontId="277" fillId="0" borderId="0" xfId="0" applyFont="1" applyFill="1" applyAlignment="1">
      <alignment vertical="center"/>
    </xf>
    <xf numFmtId="0" fontId="278" fillId="16" borderId="0" xfId="20" applyFill="1" applyAlignment="1">
      <alignment vertical="center" wrapText="1"/>
    </xf>
    <xf numFmtId="0" fontId="277" fillId="0" borderId="0" xfId="0" applyNumberFormat="1" applyFont="1" applyAlignment="1">
      <alignment vertical="center" wrapText="1"/>
    </xf>
    <xf numFmtId="0" fontId="277" fillId="0" borderId="0" xfId="0" applyNumberFormat="1" applyFont="1" applyFill="1" applyAlignment="1">
      <alignment vertical="center" wrapText="1"/>
    </xf>
    <xf numFmtId="17" fontId="277" fillId="12" borderId="0" xfId="0" applyNumberFormat="1" applyFont="1" applyFill="1" applyAlignment="1">
      <alignment vertical="center" wrapText="1"/>
    </xf>
    <xf numFmtId="0" fontId="277" fillId="12" borderId="0" xfId="0" applyFont="1" applyFill="1" applyAlignment="1">
      <alignment vertical="center" wrapText="1"/>
    </xf>
    <xf numFmtId="0" fontId="277" fillId="12" borderId="0" xfId="0" applyFont="1" applyFill="1" applyAlignment="1">
      <alignment vertical="center"/>
    </xf>
    <xf numFmtId="0" fontId="0" fillId="12" borderId="0" xfId="0" applyFill="1">
      <alignment vertical="center"/>
    </xf>
    <xf numFmtId="0" fontId="277" fillId="12" borderId="0" xfId="0" applyNumberFormat="1" applyFont="1" applyFill="1" applyAlignment="1">
      <alignment vertical="center" wrapText="1"/>
    </xf>
    <xf numFmtId="17" fontId="65" fillId="6" borderId="0" xfId="0" applyNumberFormat="1" applyFont="1" applyFill="1" applyBorder="1" applyAlignment="1" applyProtection="1">
      <alignment vertical="center"/>
      <protection locked="0"/>
    </xf>
    <xf numFmtId="17" fontId="62" fillId="6" borderId="0" xfId="0" applyNumberFormat="1" applyFont="1" applyFill="1" applyBorder="1" applyAlignment="1" applyProtection="1">
      <alignment vertical="center"/>
      <protection locked="0"/>
    </xf>
    <xf numFmtId="176" fontId="103"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9" fontId="51" fillId="0" borderId="37" xfId="17"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9" fontId="44"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44" fillId="6" borderId="20"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0" fillId="0" borderId="0" xfId="0" applyFont="1" applyFill="1">
      <alignment vertical="center"/>
    </xf>
    <xf numFmtId="0" fontId="107" fillId="0" borderId="15" xfId="0"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0" fillId="0" borderId="5" xfId="0" applyFont="1" applyFill="1" applyBorder="1" applyAlignment="1" applyProtection="1">
      <alignment horizontal="center" vertical="center"/>
      <protection locked="0"/>
    </xf>
    <xf numFmtId="0" fontId="77" fillId="6" borderId="18" xfId="0" applyFont="1" applyFill="1" applyBorder="1" applyProtection="1">
      <alignment vertical="center"/>
      <protection locked="0"/>
    </xf>
    <xf numFmtId="0" fontId="47" fillId="6" borderId="0" xfId="0" applyFont="1" applyFill="1" applyBorder="1" applyProtection="1">
      <alignment vertical="center"/>
      <protection locked="0"/>
    </xf>
    <xf numFmtId="0" fontId="47" fillId="6" borderId="56" xfId="0" applyFont="1" applyFill="1" applyBorder="1" applyProtection="1">
      <alignment vertical="center"/>
      <protection locked="0"/>
    </xf>
    <xf numFmtId="179" fontId="47" fillId="6" borderId="0" xfId="0" applyNumberFormat="1" applyFont="1" applyFill="1" applyBorder="1" applyProtection="1">
      <alignment vertical="center"/>
      <protection locked="0"/>
    </xf>
    <xf numFmtId="0" fontId="77" fillId="6" borderId="42" xfId="0" applyFont="1" applyFill="1" applyBorder="1" applyProtection="1">
      <alignment vertical="center"/>
      <protection locked="0"/>
    </xf>
    <xf numFmtId="0" fontId="47" fillId="6" borderId="47"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51" xfId="0" applyFont="1" applyFill="1" applyBorder="1" applyProtection="1">
      <alignment vertical="center"/>
      <protection locked="0"/>
    </xf>
    <xf numFmtId="0" fontId="77" fillId="6" borderId="20" xfId="0" applyFont="1" applyFill="1" applyBorder="1" applyProtection="1">
      <alignment vertical="center"/>
      <protection locked="0"/>
    </xf>
    <xf numFmtId="0" fontId="77" fillId="6" borderId="21" xfId="0" applyFont="1" applyFill="1" applyBorder="1" applyProtection="1">
      <alignment vertical="center"/>
      <protection locked="0"/>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9"/>
    <cellStyle name="超链接" xfId="20"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28</xdr:col>
      <xdr:colOff>293782</xdr:colOff>
      <xdr:row>46</xdr:row>
      <xdr:rowOff>37174</xdr:rowOff>
    </xdr:to>
    <xdr:pic>
      <xdr:nvPicPr>
        <xdr:cNvPr id="2" name="图片 1"/>
        <xdr:cNvPicPr>
          <a:picLocks noChangeAspect="1"/>
        </xdr:cNvPicPr>
      </xdr:nvPicPr>
      <xdr:blipFill>
        <a:blip xmlns:r="http://schemas.openxmlformats.org/officeDocument/2006/relationships" r:embed="rId1"/>
        <a:stretch>
          <a:fillRect/>
        </a:stretch>
      </xdr:blipFill>
      <xdr:spPr>
        <a:xfrm>
          <a:off x="7543800" y="685800"/>
          <a:ext cx="11952382" cy="7409524"/>
        </a:xfrm>
        <a:prstGeom prst="rect">
          <a:avLst/>
        </a:prstGeom>
      </xdr:spPr>
    </xdr:pic>
    <xdr:clientData/>
  </xdr:twoCellAnchor>
  <xdr:twoCellAnchor editAs="oneCell">
    <xdr:from>
      <xdr:col>11</xdr:col>
      <xdr:colOff>0</xdr:colOff>
      <xdr:row>47</xdr:row>
      <xdr:rowOff>0</xdr:rowOff>
    </xdr:from>
    <xdr:to>
      <xdr:col>27</xdr:col>
      <xdr:colOff>236725</xdr:colOff>
      <xdr:row>62</xdr:row>
      <xdr:rowOff>104441</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8229600"/>
          <a:ext cx="11209525" cy="2676191"/>
        </a:xfrm>
        <a:prstGeom prst="rect">
          <a:avLst/>
        </a:prstGeom>
      </xdr:spPr>
    </xdr:pic>
    <xdr:clientData/>
  </xdr:twoCellAnchor>
  <xdr:twoCellAnchor editAs="oneCell">
    <xdr:from>
      <xdr:col>11</xdr:col>
      <xdr:colOff>0</xdr:colOff>
      <xdr:row>63</xdr:row>
      <xdr:rowOff>0</xdr:rowOff>
    </xdr:from>
    <xdr:to>
      <xdr:col>23</xdr:col>
      <xdr:colOff>475163</xdr:colOff>
      <xdr:row>91</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10972800"/>
          <a:ext cx="8704763" cy="4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447260</xdr:colOff>
      <xdr:row>0</xdr:row>
      <xdr:rowOff>0</xdr:rowOff>
    </xdr:from>
    <xdr:to>
      <xdr:col>39</xdr:col>
      <xdr:colOff>605622</xdr:colOff>
      <xdr:row>14</xdr:row>
      <xdr:rowOff>262835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202485" y="0"/>
          <a:ext cx="7702162" cy="51110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eibo.com/ttarticle/p/show?id=2309404695060502413339&#22320;&#19978;8&#23618;&#65292;&#22320;&#19979;2&#23618;&#65292;&#20854;&#20013;&#22320;&#19979;1&#23618;&#20026;&#21830;&#19994;"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估价对象为房地产，为所有。根据《国有土地使用证》[]，估价对象（分摊）出让国有建设用地使用权面积为10178.42平方米，建筑面积为57452.09平方米。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估价对象为房地产,属开发建设的，该项目尚在开发建设中。根据《国有土地使用证》[]，估价对象（分摊）出让国有建设用地使用权面积为10178.42平方米，规划建筑面积为57452.09平方米。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2023年4月24日（评估专业人员实地查勘之日）</v>
      </c>
    </row>
    <row r="13" spans="1:2" s="1203" customFormat="1">
      <c r="A13" s="1201" t="s">
        <v>529</v>
      </c>
      <c r="B13" s="1202" t="str">
        <f>'预评函-1'!A18</f>
        <v>本次估价的“房地产价值”是指在正常市场情况下，在价值时点2023年4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212123</v>
      </c>
    </row>
    <row r="21" spans="1:2" s="1203" customFormat="1">
      <c r="A21" s="1201" t="s">
        <v>537</v>
      </c>
      <c r="B21" s="1202">
        <f ca="1">'预评函-2'!D7</f>
        <v>36922</v>
      </c>
    </row>
    <row r="22" spans="1:2" s="1203" customFormat="1">
      <c r="A22" s="1201" t="s">
        <v>538</v>
      </c>
      <c r="B22" s="1202" t="str">
        <f ca="1">'预评函-2'!D6</f>
        <v>贰拾壹亿贰仟壹佰贰拾叁万元整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212123</v>
      </c>
    </row>
    <row r="31" spans="1:2" s="1203" customFormat="1">
      <c r="A31" s="1201" t="s">
        <v>576</v>
      </c>
      <c r="B31" s="1202">
        <f ca="1">'预评函-2'!D15</f>
        <v>36922</v>
      </c>
    </row>
    <row r="32" spans="1:2" s="1203" customFormat="1">
      <c r="A32" s="1201" t="s">
        <v>543</v>
      </c>
      <c r="B32" s="1202" t="str">
        <f ca="1">'预评函-2'!D14</f>
        <v>贰拾壹亿贰仟壹佰贰拾叁万元整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57452.09</v>
      </c>
    </row>
    <row r="44" spans="1:2" s="1203" customFormat="1">
      <c r="A44" s="1201" t="s">
        <v>575</v>
      </c>
      <c r="B44" s="1202" t="str">
        <f>'预评函-3'!C2</f>
        <v>(分摊)土地面积</v>
      </c>
    </row>
    <row r="45" spans="1:2" s="1203" customFormat="1">
      <c r="A45" s="1201" t="s">
        <v>547</v>
      </c>
      <c r="B45" s="1202">
        <f>'预评函-3'!C4</f>
        <v>10178.42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5"/>
      <c r="B54" s="1554" t="s">
        <v>385</v>
      </c>
      <c r="C54" s="1551" t="s">
        <v>583</v>
      </c>
    </row>
    <row r="55" spans="1:4">
      <c r="A55" s="3595"/>
      <c r="B55" s="1554" t="s">
        <v>386</v>
      </c>
      <c r="C55" s="1551" t="s">
        <v>584</v>
      </c>
    </row>
    <row r="56" spans="1:4">
      <c r="A56" s="3595"/>
      <c r="B56" s="1554" t="s">
        <v>387</v>
      </c>
      <c r="C56" s="1551" t="s">
        <v>588</v>
      </c>
    </row>
    <row r="57" spans="1:4">
      <c r="A57" s="35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96" t="s">
        <v>2583</v>
      </c>
      <c r="J2" s="3596"/>
      <c r="K2" s="3596"/>
      <c r="L2" s="3596"/>
      <c r="M2" s="3596"/>
      <c r="N2" s="3596"/>
      <c r="O2" s="3596"/>
      <c r="P2" s="3596"/>
      <c r="Q2" s="3596"/>
      <c r="R2" s="3596"/>
    </row>
    <row r="3" spans="1:18">
      <c r="A3" s="3018" t="s">
        <v>2504</v>
      </c>
      <c r="B3" s="3019">
        <f>项目基本情况!D3</f>
        <v>45040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3.65</v>
      </c>
      <c r="D5" s="3023">
        <f>IF(ISERROR(ROUND(POWER(1+E5,A5-C5)*(POWER(1+E5,C5)-1)/(POWER(1+E5,A5)-1),3)),0,ROUND(POWER(1+E5,A5-C5)*(POWER(1+E5,C5)-1)/(POWER(1+E5,A5)-1),4))</f>
        <v>0.16850000000000001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13.66</v>
      </c>
      <c r="D6" s="3023">
        <f>IF(ISERROR(ROUND(POWER(1+E6,A6-C6)*(POWER(1+E6,C6)-1)/(POWER(1+E6,A6)-1),3)),0,ROUND(POWER(1+E6,A6-C6)*(POWER(1+E6,C6)-1)/(POWER(1+E6,A6)-1),4))</f>
        <v>0.48270000000000002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33.67</v>
      </c>
      <c r="D7" s="3023">
        <f>IF(ISERROR(ROUND(POWER(1+E7,A7-C7)*(POWER(1+E7,C7)-1)/(POWER(1+E7,A7)-1),3)),0,ROUND(POWER(1+E7,A7-C7)*(POWER(1+E7,C7)-1)/(POWER(1+E7,A7)-1),4))</f>
        <v>0.7833</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24" sqref="H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605" t="str">
        <f>IF(B10="北京市","北京市",C10)&amp;F10&amp;IF(结果表!G1="在建","出让国有建设用地使用权及在建建筑物",IF(结果表!G1="土地","出让国有建设用地使用权",))&amp;B9&amp;"预评估"</f>
        <v>房地产抵押价值预评估</v>
      </c>
      <c r="C1" s="3606"/>
      <c r="D1" s="3606"/>
      <c r="E1" s="3606"/>
      <c r="F1" s="3606"/>
      <c r="G1" s="3606"/>
      <c r="H1" s="3606"/>
      <c r="I1" s="3607"/>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1">
        <f>D3</f>
        <v>45040</v>
      </c>
      <c r="C3" s="2372" t="s">
        <v>2171</v>
      </c>
      <c r="D3" s="2371">
        <v>45040</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3377</v>
      </c>
      <c r="C8" s="2388"/>
      <c r="D8" s="3608" t="s">
        <v>2177</v>
      </c>
      <c r="E8" s="2389" t="s">
        <v>3376</v>
      </c>
      <c r="F8" s="2390"/>
      <c r="G8" s="2661"/>
      <c r="H8" s="2661"/>
      <c r="I8" s="2661"/>
      <c r="J8" s="2437"/>
      <c r="K8" s="2612"/>
      <c r="L8" s="2611"/>
      <c r="M8" s="2611"/>
      <c r="N8" s="2437"/>
      <c r="O8" s="2448"/>
      <c r="P8" s="2437"/>
      <c r="Q8" s="2437"/>
      <c r="R8" s="2437"/>
    </row>
    <row r="9" spans="1:30" ht="13.5" thickBot="1">
      <c r="A9" s="2391" t="s">
        <v>2178</v>
      </c>
      <c r="B9" s="2392" t="s">
        <v>3376</v>
      </c>
      <c r="C9" s="2393"/>
      <c r="D9" s="3609"/>
      <c r="E9" s="2392"/>
      <c r="F9" s="2394"/>
      <c r="G9" s="2663"/>
      <c r="H9" s="2663"/>
      <c r="I9" s="2663"/>
      <c r="J9" s="2437"/>
      <c r="K9" s="2614"/>
      <c r="L9" s="2611"/>
      <c r="M9" s="2611"/>
      <c r="N9" s="2437"/>
      <c r="O9" s="2448"/>
      <c r="P9" s="2437"/>
      <c r="Q9" s="2437"/>
      <c r="R9" s="2437"/>
    </row>
    <row r="10" spans="1:30" ht="13.5" thickTop="1">
      <c r="A10" s="2395" t="s">
        <v>2179</v>
      </c>
      <c r="B10" s="2396"/>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c r="A13" s="3421" t="s">
        <v>3337</v>
      </c>
      <c r="B13" s="2405" t="s">
        <v>2190</v>
      </c>
      <c r="C13" s="856"/>
      <c r="D13" s="856">
        <v>49126</v>
      </c>
      <c r="E13" s="856"/>
      <c r="F13" s="856"/>
      <c r="G13" s="856"/>
      <c r="H13" s="856"/>
      <c r="I13" s="856"/>
      <c r="J13" s="3060"/>
      <c r="K13" s="2611"/>
      <c r="L13" s="2611"/>
      <c r="M13" s="2437"/>
      <c r="N13" s="2448"/>
      <c r="O13" s="2437"/>
      <c r="P13" s="2437"/>
      <c r="Q13" s="2437"/>
      <c r="AD13" s="1745"/>
    </row>
    <row r="14" spans="1:30">
      <c r="A14" s="1081"/>
      <c r="B14" s="2405" t="s">
        <v>2191</v>
      </c>
      <c r="C14" s="2406"/>
      <c r="D14" s="3453">
        <v>40</v>
      </c>
      <c r="E14" s="2406"/>
      <c r="F14" s="2406"/>
      <c r="G14" s="2406"/>
      <c r="H14" s="2406"/>
      <c r="I14" s="2406"/>
      <c r="J14" s="3061"/>
      <c r="K14" s="2611"/>
      <c r="L14" s="2611"/>
      <c r="M14" s="2437"/>
      <c r="N14" s="2448"/>
      <c r="O14" s="2437"/>
      <c r="P14" s="2437"/>
      <c r="Q14" s="2437"/>
      <c r="AD14" s="1745"/>
    </row>
    <row r="15" spans="1:30">
      <c r="A15" s="320"/>
      <c r="B15" s="2407" t="s">
        <v>2192</v>
      </c>
      <c r="C15" s="2408" t="str">
        <f>IF(A13="出让",IF(C13="","",ROUNDDOWN(MIN((C13-$D$3)/365,C14),2)),C14)</f>
        <v/>
      </c>
      <c r="D15" s="2408">
        <f>IF(A13="出让",IF(D13="","",ROUNDDOWN(MIN((D13-$D$3)/365,D14),2)),D14)</f>
        <v>11.19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615"/>
      <c r="C16" s="3616"/>
      <c r="D16" s="3617"/>
      <c r="E16" s="2411" t="s">
        <v>2194</v>
      </c>
      <c r="F16" s="3618"/>
      <c r="G16" s="3619"/>
      <c r="H16" s="3619"/>
      <c r="I16" s="3620"/>
      <c r="J16" s="2437"/>
      <c r="K16" s="2615"/>
      <c r="L16" s="2449"/>
      <c r="M16" s="2449"/>
      <c r="N16" s="2507"/>
      <c r="O16" s="2449"/>
      <c r="P16" s="2507"/>
      <c r="Q16" s="2437"/>
      <c r="R16" s="2437"/>
    </row>
    <row r="17" spans="1:28">
      <c r="A17" s="313" t="s">
        <v>2195</v>
      </c>
      <c r="B17" s="302" t="s">
        <v>2196</v>
      </c>
      <c r="C17" s="8">
        <f>'数据-汇总表'!E3</f>
        <v>57452.09</v>
      </c>
      <c r="D17" s="2320" t="s">
        <v>2197</v>
      </c>
      <c r="E17" s="3621" t="s">
        <v>2198</v>
      </c>
      <c r="F17" s="3622"/>
      <c r="G17" s="3622"/>
      <c r="H17" s="3622"/>
      <c r="I17" s="3623"/>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10178.42</v>
      </c>
      <c r="D18" s="1092" t="s">
        <v>2201</v>
      </c>
      <c r="E18" s="3624" t="s">
        <v>2202</v>
      </c>
      <c r="F18" s="3625"/>
      <c r="G18" s="3625"/>
      <c r="H18" s="3625"/>
      <c r="I18" s="3626"/>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611" t="s">
        <v>2206</v>
      </c>
      <c r="C20" s="3612"/>
      <c r="D20" s="3613" t="s">
        <v>2207</v>
      </c>
      <c r="E20" s="3614"/>
      <c r="F20" s="2645" t="s">
        <v>1056</v>
      </c>
      <c r="G20" s="2662"/>
      <c r="H20" s="2662"/>
      <c r="I20" s="2662"/>
      <c r="J20" s="2437"/>
      <c r="K20" s="36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6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6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98"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98"/>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98"/>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99"/>
      <c r="B30" s="302" t="s">
        <v>2218</v>
      </c>
      <c r="C30" s="3600"/>
      <c r="D30" s="3601"/>
      <c r="E30" s="2662"/>
      <c r="F30" s="2662"/>
      <c r="G30" s="2662"/>
      <c r="H30" s="2662"/>
      <c r="I30" s="2662"/>
      <c r="J30" s="2437"/>
      <c r="K30" s="2614"/>
      <c r="L30" s="2611"/>
      <c r="M30" s="2611"/>
      <c r="N30" s="2437"/>
      <c r="O30" s="2448"/>
      <c r="P30" s="2437"/>
      <c r="Q30" s="2437"/>
      <c r="R30" s="2437"/>
      <c r="S30" s="2437"/>
      <c r="T30" s="2437"/>
      <c r="U30" s="2437"/>
      <c r="V30" s="2437"/>
    </row>
    <row r="31" spans="1:28">
      <c r="A31" s="3602"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603"/>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603"/>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97" t="s">
        <v>2228</v>
      </c>
      <c r="T34" s="2426" t="str">
        <f>NUMBERSTRING(7-K34,1)&amp;"通"</f>
        <v>七通</v>
      </c>
      <c r="U34" s="2437"/>
      <c r="V34" s="2437"/>
    </row>
    <row r="35" spans="1:30">
      <c r="A35" s="2427"/>
      <c r="B35" s="3604" t="s">
        <v>2229</v>
      </c>
      <c r="C35" s="3604"/>
      <c r="D35" s="3604"/>
      <c r="E35" s="3604"/>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7"/>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t="s">
        <v>184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111</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10178.42</v>
      </c>
      <c r="B3" s="11">
        <f>IF(C3="否",G5-AT5,G5)</f>
        <v>57452.09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57452.09</v>
      </c>
      <c r="H5" s="13">
        <f t="shared" ref="H5:AT5" si="0">SUM(H13:H656)</f>
        <v>57452.09</v>
      </c>
      <c r="I5" s="13">
        <f t="shared" si="0"/>
        <v>45840.45</v>
      </c>
      <c r="J5" s="13">
        <f t="shared" si="0"/>
        <v>0</v>
      </c>
      <c r="K5" s="13">
        <f t="shared" si="0"/>
        <v>11611.64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57452.09</v>
      </c>
      <c r="BA5" s="15">
        <f t="shared" si="1"/>
        <v>57452.09</v>
      </c>
      <c r="BB5" s="15">
        <f t="shared" si="1"/>
        <v>45840.45</v>
      </c>
      <c r="BC5" s="15">
        <f t="shared" si="1"/>
        <v>11611.64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10178.42</v>
      </c>
      <c r="F6" s="13" t="s">
        <v>0</v>
      </c>
      <c r="G6" s="13" t="s">
        <v>1</v>
      </c>
      <c r="H6" s="17">
        <f>SUMIF(I$12:AB$12,"总值",I6:AB6)</f>
        <v>10178.42</v>
      </c>
      <c r="I6" s="13">
        <f t="shared" ref="I6:AB6" si="2">ROUND($A$3*I5/$B$3,2)</f>
        <v>8121.26</v>
      </c>
      <c r="J6" s="13">
        <f t="shared" si="2"/>
        <v>0</v>
      </c>
      <c r="K6" s="13">
        <f t="shared" si="2"/>
        <v>2057.16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10178.42</v>
      </c>
      <c r="AZ6" s="13" t="s">
        <v>2</v>
      </c>
      <c r="BA6" s="13">
        <f>ROUND($AY$6*BA5/$AZ$5,2)</f>
        <v>10178.42</v>
      </c>
      <c r="BB6" s="13">
        <f>ROUND($AY$6*BB5/$AZ$5,2)</f>
        <v>8121.26</v>
      </c>
      <c r="BC6" s="13">
        <f t="shared" ref="BC6:BH6" si="4">ROUND($AY$6*BC5/$AZ$5,2)</f>
        <v>2057.16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3379</v>
      </c>
      <c r="J9" s="809"/>
      <c r="K9" s="1603" t="s">
        <v>3438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8" t="s">
        <v>3378</v>
      </c>
      <c r="D13" s="1625" t="s">
        <v>3440</v>
      </c>
      <c r="E13" s="13">
        <f>IF($C$3="是",ROUND($A$3*G13/$B$3,2),ROUND($A$3*(G13-AT13)/$B$3,2))</f>
        <v>10178.42</v>
      </c>
      <c r="F13" s="29"/>
      <c r="G13" s="30">
        <f>H13+AC13+AT13</f>
        <v>57452.09</v>
      </c>
      <c r="H13" s="17">
        <f>SUMIF(I$12:AB$12,"总值",I13:AB13)</f>
        <v>57452.09</v>
      </c>
      <c r="I13" s="1626">
        <f>面积!F27+面积!F28+面积!F29</f>
        <v>45840.45</v>
      </c>
      <c r="J13" s="1626"/>
      <c r="K13" s="1626">
        <f>面积!F26</f>
        <v>11611.64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商业</v>
      </c>
      <c r="AY13" s="1349">
        <f>ROUND($AY$6*AZ13/$AZ$5,2)</f>
        <v>10178.42</v>
      </c>
      <c r="AZ13" s="13">
        <f>BA13+BL13</f>
        <v>57452.09</v>
      </c>
      <c r="BA13" s="13">
        <f>SUM(BB13:BK13)</f>
        <v>57452.09</v>
      </c>
      <c r="BB13" s="13">
        <f>IF($D13="是",I13-J13,0)</f>
        <v>45840.45</v>
      </c>
      <c r="BC13" s="13">
        <f>IF($D13="是",K13-L13,0)</f>
        <v>11611.64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3" sqref="D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36" t="s">
        <v>1131</v>
      </c>
      <c r="B2" s="3636"/>
      <c r="C2" s="3636"/>
      <c r="D2" s="796" t="s">
        <v>1107</v>
      </c>
      <c r="E2" s="1639" t="s">
        <v>1108</v>
      </c>
      <c r="F2" s="2657"/>
      <c r="G2" s="2648"/>
      <c r="H2" s="2649"/>
      <c r="I2" s="2323" t="s">
        <v>1132</v>
      </c>
      <c r="J2" s="2657"/>
      <c r="K2" s="2657"/>
      <c r="L2" s="2657"/>
      <c r="M2" s="2657"/>
      <c r="N2" s="2659"/>
      <c r="O2" s="2657"/>
      <c r="P2" s="2657"/>
    </row>
    <row r="3" spans="1:16" ht="15.75" thickBot="1">
      <c r="A3" s="3637" t="s">
        <v>1105</v>
      </c>
      <c r="B3" s="3637"/>
      <c r="C3" s="3637"/>
      <c r="D3" s="43">
        <f>'数据-基础表'!AY6</f>
        <v>10178.42</v>
      </c>
      <c r="E3" s="43">
        <f>'数据-基础表'!AZ5</f>
        <v>57452.09</v>
      </c>
      <c r="F3" s="2657"/>
      <c r="G3" s="1145"/>
      <c r="H3" s="1026" t="s">
        <v>1106</v>
      </c>
      <c r="I3" s="855">
        <f>ROUND('数据-基础表'!B3/'数据-基础表'!A3,2)</f>
        <v>5.64</v>
      </c>
      <c r="J3" s="2657"/>
      <c r="K3" s="2657"/>
      <c r="L3" s="2657"/>
      <c r="M3" s="2657"/>
      <c r="N3" s="2659"/>
      <c r="O3" s="2657"/>
      <c r="P3" s="2657"/>
    </row>
    <row r="4" spans="1:16" ht="15">
      <c r="A4" s="3638"/>
      <c r="B4" s="3639"/>
      <c r="C4" s="3640"/>
      <c r="D4" s="1641" t="s">
        <v>1107</v>
      </c>
      <c r="E4" s="1642" t="s">
        <v>1108</v>
      </c>
      <c r="F4" s="2657"/>
      <c r="G4" s="2650" t="s">
        <v>1133</v>
      </c>
      <c r="H4" s="1026" t="s">
        <v>1113</v>
      </c>
      <c r="I4" s="855">
        <f>ROUND(SUMIF('数据-基础表'!I9:AS9,"地上",'数据-基础表'!I5:AS5)/'数据-基础表'!A3,2)</f>
        <v>4.5</v>
      </c>
      <c r="J4" s="2657"/>
      <c r="K4" s="2657"/>
      <c r="L4" s="2657"/>
      <c r="M4" s="2657"/>
      <c r="N4" s="2659"/>
      <c r="O4" s="2657"/>
      <c r="P4" s="2657"/>
    </row>
    <row r="5" spans="1:16">
      <c r="A5" s="44" t="s">
        <v>1109</v>
      </c>
      <c r="B5" s="3641" t="s">
        <v>1110</v>
      </c>
      <c r="C5" s="3641"/>
      <c r="D5" s="45">
        <f>ROUND($D$3*E5/$E$3,2)</f>
        <v>0</v>
      </c>
      <c r="E5" s="46">
        <f>SUMIF('数据-基础表'!$11:$11,"住宅",'数据-基础表'!$5:$5)</f>
        <v>0</v>
      </c>
      <c r="F5" s="2657"/>
      <c r="G5" s="1145"/>
      <c r="H5" s="1026" t="s">
        <v>1106</v>
      </c>
      <c r="I5" s="855">
        <f>ROUND(E31/D31,2)</f>
        <v>5.64</v>
      </c>
      <c r="J5" s="2657"/>
      <c r="K5" s="2657"/>
      <c r="L5" s="2657"/>
      <c r="M5" s="2657"/>
      <c r="N5" s="2657"/>
      <c r="O5" s="2657"/>
      <c r="P5" s="2657"/>
    </row>
    <row r="6" spans="1:16" ht="15" thickBot="1">
      <c r="A6" s="1644"/>
      <c r="B6" s="3641" t="s">
        <v>1111</v>
      </c>
      <c r="C6" s="3641"/>
      <c r="D6" s="45">
        <f>ROUND($D$3*E6/$E$3,2)</f>
        <v>10178.42</v>
      </c>
      <c r="E6" s="46">
        <f>E3-E5</f>
        <v>57452.09</v>
      </c>
      <c r="F6" s="2657"/>
      <c r="G6" s="2651" t="s">
        <v>1112</v>
      </c>
      <c r="H6" s="1146" t="s">
        <v>1113</v>
      </c>
      <c r="I6" s="2652">
        <f>ROUND(F31/D31,2)</f>
        <v>4.5</v>
      </c>
      <c r="J6" s="2657"/>
      <c r="K6" s="2657"/>
      <c r="L6" s="2657"/>
      <c r="M6" s="2657"/>
      <c r="N6" s="2657"/>
      <c r="O6" s="2657"/>
      <c r="P6" s="2657"/>
    </row>
    <row r="7" spans="1:16" ht="15.75" thickBot="1">
      <c r="A7" s="3633"/>
      <c r="B7" s="3634"/>
      <c r="C7" s="3635"/>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8121.26</v>
      </c>
      <c r="E8" s="48">
        <f>SUMIF('数据-基础表'!BB10:BK10,"地上",'数据-基础表'!BB5:BK5)</f>
        <v>45840.45</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2057.16</v>
      </c>
      <c r="E10" s="48">
        <f>SUMPRODUCT(('数据-基础表'!BB10:BK10="地下")*('数据-基础表'!BB11:BK11="商业")*('数据-基础表'!BB5:BK5))</f>
        <v>11611.64</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10178.42</v>
      </c>
      <c r="E16" s="50">
        <f>SUM(E8:E15)</f>
        <v>57452.09</v>
      </c>
      <c r="F16" s="2657"/>
      <c r="G16" s="2658"/>
      <c r="H16" s="1648" t="s">
        <v>1135</v>
      </c>
      <c r="I16" s="1649"/>
      <c r="J16" s="1139"/>
      <c r="K16" s="3630" t="s">
        <v>1135</v>
      </c>
      <c r="L16" s="3631"/>
      <c r="M16" s="3631"/>
      <c r="N16" s="3631"/>
      <c r="O16" s="3631"/>
      <c r="P16" s="3632"/>
    </row>
    <row r="17" spans="1:19" ht="15">
      <c r="A17" s="1650" t="s">
        <v>1136</v>
      </c>
      <c r="B17" s="1651" t="s">
        <v>1137</v>
      </c>
      <c r="C17" s="1652" t="s">
        <v>1138</v>
      </c>
      <c r="D17" s="1653" t="s">
        <v>1126</v>
      </c>
      <c r="E17" s="1654" t="s">
        <v>1127</v>
      </c>
      <c r="F17" s="1655"/>
      <c r="G17" s="1656"/>
      <c r="H17" s="1657" t="s">
        <v>1139</v>
      </c>
      <c r="I17" s="1658" t="s">
        <v>1124</v>
      </c>
      <c r="J17" s="1139"/>
      <c r="K17" s="3627" t="s">
        <v>1140</v>
      </c>
      <c r="L17" s="3628"/>
      <c r="M17" s="3629"/>
      <c r="N17" s="3627" t="s">
        <v>1141</v>
      </c>
      <c r="O17" s="3628"/>
      <c r="P17" s="36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3439</v>
      </c>
      <c r="D19" s="45">
        <f>ROUND($D$3*E19/$E$3,2)</f>
        <v>10178.42</v>
      </c>
      <c r="E19" s="53">
        <f t="shared" ref="E19:E26" si="1">SUM(F19:G19)</f>
        <v>57452.09</v>
      </c>
      <c r="F19" s="2793">
        <f>'数据-基础表'!I13</f>
        <v>45840.45</v>
      </c>
      <c r="G19" s="2794">
        <f>'数据-基础表'!K13</f>
        <v>11611.64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10178.42</v>
      </c>
      <c r="S19" s="1027">
        <f t="shared" si="5"/>
        <v>57452.09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10178.42</v>
      </c>
      <c r="E27" s="1141">
        <f>IF(SUM(E19:E26)='数据-基础表'!BA5,SUM(E19:E26),IF(F27="地上面积有误","面积有误","地下面积有误"))</f>
        <v>57452.09</v>
      </c>
      <c r="F27" s="1140">
        <f>IF(SUM(F19:F26)=E8,SUM(F19:F26),"地上面积有误")</f>
        <v>45840.45</v>
      </c>
      <c r="G27" s="1142">
        <f>SUM(G19:G26)</f>
        <v>11611.64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10178.42</v>
      </c>
      <c r="S27" s="1026">
        <f>IF(SUM(S19:S26)=$E$3,SUM(S19:S26),SUM(S19:S26)&amp;"误差"&amp;ROUND(SUM(S19:S26)-E3,2))</f>
        <v>57452.09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10178.42</v>
      </c>
      <c r="E31" s="676">
        <f>E27+E30</f>
        <v>57452.09</v>
      </c>
      <c r="F31" s="677">
        <f>F27+F30</f>
        <v>45840.45</v>
      </c>
      <c r="G31" s="678">
        <f>G27+G30</f>
        <v>11611.64</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6" activePane="bottomRight" state="frozen"/>
      <selection activeCell="C50" sqref="C50"/>
      <selection pane="topRight" activeCell="C50" sqref="C50"/>
      <selection pane="bottomLeft" activeCell="C50" sqref="C50"/>
      <selection pane="bottomRight" activeCell="F49" sqref="F4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3441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49126</v>
      </c>
      <c r="F6" s="64">
        <f>SUMIF(项目基本情况!C$12:I$12,C6,项目基本情况!C$15:I$15)</f>
        <v>11.19</v>
      </c>
      <c r="G6" s="65">
        <f>IF(ISERROR(ROUND(POWER(1+H6,D6-F6)*(POWER(1+H6,F6)-1)/(POWER(1+H6,D6)-1),3)),0,ROUND(POWER(1+H6,D6-F6)*(POWER(1+H6,F6)-1)/(POWER(1+H6,D6)-1),3))</f>
        <v>0.51100000000000001</v>
      </c>
      <c r="H6" s="732">
        <v>5.5E-2</v>
      </c>
      <c r="I6" s="732">
        <v>5.5E-2</v>
      </c>
      <c r="J6" s="66">
        <v>7.4999999999999997E-2</v>
      </c>
      <c r="K6" s="1030">
        <f>SUMIF('数据-汇总表'!C$19:C$33,A6,'数据-汇总表'!E$19:E$33)</f>
        <v>57452.09</v>
      </c>
      <c r="L6" s="733">
        <v>5000</v>
      </c>
      <c r="M6" s="67">
        <f t="shared" ref="M6:M14" si="0">ROUND(K6*L6/10000,0)</f>
        <v>28726</v>
      </c>
      <c r="N6" s="731">
        <f>ROUND(1-(2023-2004)/60,2)</f>
        <v>0.68</v>
      </c>
      <c r="O6" s="67" t="str">
        <f>IF($N$5="成新度","——",ROUND(M6*N6,0))</f>
        <v>——</v>
      </c>
      <c r="P6" s="68" t="str">
        <f>IF($N$5="成新度","——",M6-O6)</f>
        <v>——</v>
      </c>
      <c r="Q6" s="734">
        <v>0.25</v>
      </c>
      <c r="R6" s="69">
        <f ca="1">SUMIF('数据-汇总表'!C$19:C$33,A6,'数据-汇总表'!R$19:R$27)</f>
        <v>10178.42</v>
      </c>
      <c r="S6" s="51">
        <f>IF('数据-汇总表'!$I$17="按面积比例",SUMIF('数据-汇总表'!C$19:C$33,A6,'数据-汇总表'!K$19:K$33),SUMIF('数据-汇总表'!C$19:C$33,A6,'数据-汇总表'!N$19:N$33))</f>
        <v>0</v>
      </c>
      <c r="T6" s="1172">
        <f>ROUND($L$14*S6/10000,0)</f>
        <v>0</v>
      </c>
      <c r="U6" s="3426">
        <v>7.2</v>
      </c>
      <c r="V6" s="70">
        <v>2.5000000000000001E-2</v>
      </c>
      <c r="W6" s="70">
        <v>0.05</v>
      </c>
      <c r="X6" s="1040"/>
      <c r="Y6" s="71">
        <f>N6</f>
        <v>0.68</v>
      </c>
      <c r="Z6" s="72"/>
      <c r="AA6" s="66"/>
      <c r="AB6" s="66"/>
      <c r="AC6" s="1040"/>
      <c r="AD6" s="73"/>
      <c r="AE6" s="1041">
        <f ca="1">IF(AN6="",0,SUMIF(INDIRECT("'"&amp;AN6&amp;"'"&amp;"!E:E"),$AE$5,INDIRECT("'"&amp;AN6&amp;"'"&amp;"!F:F")))</f>
        <v>11.19</v>
      </c>
      <c r="AF6" s="1348"/>
      <c r="AG6" s="138">
        <f>IF(AF6="",0,AE6-AF6)</f>
        <v>0</v>
      </c>
      <c r="AH6" s="74"/>
      <c r="AI6" s="76">
        <v>365</v>
      </c>
      <c r="AJ6" s="77"/>
      <c r="AK6" s="78">
        <v>1.4999999999999999E-2</v>
      </c>
      <c r="AL6" s="79">
        <v>2E-3</v>
      </c>
      <c r="AM6" s="80">
        <v>0.02</v>
      </c>
      <c r="AN6" s="1715" t="s">
        <v>3449</v>
      </c>
      <c r="AO6" s="52">
        <f ca="1">SUMIF(INDIRECT("'"&amp;AN6&amp;"'"&amp;"!A:A"),"总价",INDIRECT("'"&amp;AN6&amp;"'"&amp;"!B:B"))</f>
        <v>114543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0.51100000000000001</v>
      </c>
      <c r="H16" s="90">
        <f>ROUND(SUMPRODUCT(H6:H13,K6:K13)/SUMPRODUCT((H6:H13&gt;0)*(K6:K13)),3)</f>
        <v>5.5E-2</v>
      </c>
      <c r="I16" s="91"/>
      <c r="J16" s="91"/>
      <c r="K16" s="92">
        <f>SUM(K6:K15)</f>
        <v>57452.09</v>
      </c>
      <c r="L16" s="93">
        <f>ROUND(M16*10000/SUM(K6:K14),0)</f>
        <v>5000</v>
      </c>
      <c r="M16" s="93">
        <f>SUM(M6:M14)</f>
        <v>28726</v>
      </c>
      <c r="N16" s="94">
        <f>ROUND(SUMPRODUCT(M6:M14,N6:N14)/M16,3)</f>
        <v>0.68</v>
      </c>
      <c r="O16" s="93">
        <f>SUM(O6:O14)</f>
        <v>0</v>
      </c>
      <c r="P16" s="93">
        <f>SUM(P6:P14)</f>
        <v>0</v>
      </c>
      <c r="Q16" s="95">
        <f>ROUND(SUMPRODUCT(Q6:Q13,K6:K13)/SUMPRODUCT((Q6:Q13&gt;0)*(K6:K13)),2)</f>
        <v>0.25</v>
      </c>
      <c r="R16" s="1034">
        <f ca="1">SUM(R6:R13)</f>
        <v>10178.42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3</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3</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1149</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2.5000000000000001E-2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2.5000000000000001E-2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3442</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642" t="s">
        <v>2286</v>
      </c>
      <c r="B1" s="3643"/>
      <c r="C1" s="3643"/>
      <c r="D1" s="3643"/>
      <c r="E1" s="3643"/>
      <c r="F1" s="3643"/>
      <c r="G1" s="364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57452.09</v>
      </c>
      <c r="C1" s="2684"/>
      <c r="D1" s="2684"/>
      <c r="E1" s="2684"/>
      <c r="F1" s="2684"/>
      <c r="G1" s="2685"/>
      <c r="H1" s="2686"/>
      <c r="I1" s="2686"/>
      <c r="J1" s="2686"/>
      <c r="K1" s="2686"/>
    </row>
    <row r="2" spans="1:11" ht="16.5">
      <c r="A2" s="2510" t="s">
        <v>653</v>
      </c>
      <c r="B2" s="2510">
        <f>SUM(C14:C23)</f>
        <v>10178.42</v>
      </c>
      <c r="C2" s="2684"/>
      <c r="D2" s="2684"/>
      <c r="E2" s="2684"/>
      <c r="F2" s="2684"/>
      <c r="G2" s="2685"/>
      <c r="H2" s="2686"/>
      <c r="I2" s="2686"/>
      <c r="J2" s="2686"/>
      <c r="K2" s="2686"/>
    </row>
    <row r="3" spans="1:11" ht="16.5">
      <c r="A3" s="2510" t="s">
        <v>662</v>
      </c>
      <c r="B3" s="2512">
        <f>项目基本情况!D3</f>
        <v>45040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212123</v>
      </c>
      <c r="C5" s="2510">
        <f ca="1">IF(B5=D14,结果表!H102,ROUND(B5*10000/$B$1,0))</f>
        <v>36922</v>
      </c>
      <c r="D5" s="2510">
        <f ca="1">ROUND(B5*10000/$B$2,0)</f>
        <v>208405</v>
      </c>
      <c r="E5" s="2684"/>
      <c r="F5" s="2685"/>
      <c r="G5" s="2685"/>
      <c r="H5" s="2686"/>
      <c r="I5" s="2686"/>
      <c r="J5" s="2686"/>
      <c r="K5" s="2686"/>
    </row>
    <row r="6" spans="1:11" ht="16.5">
      <c r="A6" s="2510" t="s">
        <v>656</v>
      </c>
      <c r="B6" s="2510">
        <f ca="1">SUM(G14:G23)</f>
        <v>212123</v>
      </c>
      <c r="C6" s="2510">
        <f ca="1">IF(B6=G14,结果表!H108,ROUND(B6*10000/$B$1,0))</f>
        <v>36922</v>
      </c>
      <c r="D6" s="2510">
        <f ca="1">ROUND(B6*10000/$B$2,0)</f>
        <v>208405</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'数据-汇总表'!E27</f>
        <v>57452.09</v>
      </c>
      <c r="C14" s="2516">
        <f>'数据-汇总表'!D3</f>
        <v>10178.42</v>
      </c>
      <c r="D14" s="2516">
        <f ca="1">结果表!F27</f>
        <v>212123</v>
      </c>
      <c r="E14" s="2516">
        <f ca="1">ROUND(D14*10000/B14,0)</f>
        <v>36922</v>
      </c>
      <c r="F14" s="2516">
        <f ca="1">ROUND(D14*10000/C14,0)</f>
        <v>208405</v>
      </c>
      <c r="G14" s="2516">
        <f ca="1">D14</f>
        <v>212123</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8" sqref="I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78" t="str">
        <f>项目基本情况!S2</f>
        <v>房地产</v>
      </c>
      <c r="B2" s="3679"/>
      <c r="C2" s="3679"/>
      <c r="D2" s="3679"/>
      <c r="E2" s="3679"/>
      <c r="F2" s="3679"/>
      <c r="G2" s="3679"/>
      <c r="H2" s="3679"/>
      <c r="I2" s="3680"/>
    </row>
    <row r="3" spans="1:12" ht="12.75">
      <c r="A3" s="3682" t="s">
        <v>1264</v>
      </c>
      <c r="B3" s="3683"/>
      <c r="C3" s="3683"/>
      <c r="D3" s="3683"/>
      <c r="E3" s="3683"/>
      <c r="F3" s="3683"/>
      <c r="G3" s="3683"/>
      <c r="H3" s="3683"/>
      <c r="I3" s="3683"/>
    </row>
    <row r="4" spans="1:12" ht="14.25">
      <c r="A4" s="1754" t="s">
        <v>1265</v>
      </c>
      <c r="B4" s="1755" t="s">
        <v>1266</v>
      </c>
      <c r="C4" s="1756" t="s">
        <v>4443</v>
      </c>
      <c r="D4" s="1756" t="s">
        <v>4465</v>
      </c>
      <c r="E4" s="3684" t="s">
        <v>1267</v>
      </c>
      <c r="F4" s="3685"/>
      <c r="G4" s="3685"/>
      <c r="H4" s="3685"/>
      <c r="I4" s="368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58" t="s">
        <v>1268</v>
      </c>
      <c r="B5" s="3645">
        <v>25</v>
      </c>
      <c r="C5" s="3661"/>
      <c r="D5" s="3681"/>
      <c r="E5" s="131" t="s">
        <v>1269</v>
      </c>
      <c r="F5" s="1757"/>
      <c r="G5" s="1757"/>
      <c r="H5" s="1757"/>
      <c r="I5" s="1373"/>
    </row>
    <row r="6" spans="1:12" ht="12.75">
      <c r="A6" s="3658"/>
      <c r="B6" s="3645"/>
      <c r="C6" s="3662"/>
      <c r="D6" s="3681"/>
      <c r="E6" s="131" t="s">
        <v>1270</v>
      </c>
      <c r="F6" s="1757"/>
      <c r="G6" s="1757"/>
      <c r="H6" s="1757"/>
      <c r="I6" s="1373"/>
    </row>
    <row r="7" spans="1:12" ht="12.75">
      <c r="A7" s="3658"/>
      <c r="B7" s="3645"/>
      <c r="C7" s="3663"/>
      <c r="D7" s="3681"/>
      <c r="E7" s="131" t="s">
        <v>1271</v>
      </c>
      <c r="F7" s="1757"/>
      <c r="G7" s="1757"/>
      <c r="H7" s="1757"/>
      <c r="I7" s="1373"/>
    </row>
    <row r="8" spans="1:12" ht="12.75">
      <c r="A8" s="3658" t="s">
        <v>1272</v>
      </c>
      <c r="B8" s="3645">
        <v>15</v>
      </c>
      <c r="C8" s="3661"/>
      <c r="D8" s="3681"/>
      <c r="E8" s="131" t="s">
        <v>1273</v>
      </c>
      <c r="F8" s="1757"/>
      <c r="G8" s="1757"/>
      <c r="H8" s="1757"/>
      <c r="I8" s="1373"/>
    </row>
    <row r="9" spans="1:12" ht="12.75">
      <c r="A9" s="3658"/>
      <c r="B9" s="3645"/>
      <c r="C9" s="3663"/>
      <c r="D9" s="3681"/>
      <c r="E9" s="131" t="s">
        <v>1274</v>
      </c>
      <c r="F9" s="1757"/>
      <c r="G9" s="1757"/>
      <c r="H9" s="1757"/>
      <c r="I9" s="1373"/>
    </row>
    <row r="10" spans="1:12" ht="12.75">
      <c r="A10" s="3658" t="s">
        <v>1275</v>
      </c>
      <c r="B10" s="3645">
        <v>15</v>
      </c>
      <c r="C10" s="3661"/>
      <c r="D10" s="3681"/>
      <c r="E10" s="131" t="s">
        <v>1276</v>
      </c>
      <c r="F10" s="1757"/>
      <c r="G10" s="1757"/>
      <c r="H10" s="1757"/>
      <c r="I10" s="1373"/>
    </row>
    <row r="11" spans="1:12" ht="12.75">
      <c r="A11" s="3658"/>
      <c r="B11" s="3645"/>
      <c r="C11" s="3663"/>
      <c r="D11" s="3681"/>
      <c r="E11" s="131" t="s">
        <v>1277</v>
      </c>
      <c r="F11" s="1757"/>
      <c r="G11" s="1757"/>
      <c r="H11" s="1757"/>
      <c r="I11" s="1373"/>
    </row>
    <row r="12" spans="1:12" ht="12.75">
      <c r="A12" s="3658" t="s">
        <v>1278</v>
      </c>
      <c r="B12" s="3645">
        <v>15</v>
      </c>
      <c r="C12" s="3661"/>
      <c r="D12" s="3681"/>
      <c r="E12" s="131" t="s">
        <v>1279</v>
      </c>
      <c r="F12" s="1757"/>
      <c r="G12" s="1757"/>
      <c r="H12" s="1757"/>
      <c r="I12" s="1373"/>
    </row>
    <row r="13" spans="1:12" ht="12.75">
      <c r="A13" s="3658"/>
      <c r="B13" s="3645"/>
      <c r="C13" s="3663"/>
      <c r="D13" s="3681"/>
      <c r="E13" s="131" t="s">
        <v>1280</v>
      </c>
      <c r="F13" s="1757"/>
      <c r="G13" s="1757"/>
      <c r="H13" s="1757"/>
      <c r="I13" s="1373"/>
    </row>
    <row r="14" spans="1:12" ht="12.75">
      <c r="A14" s="3658" t="s">
        <v>1281</v>
      </c>
      <c r="B14" s="3645">
        <v>30</v>
      </c>
      <c r="C14" s="3661">
        <v>8</v>
      </c>
      <c r="D14" s="3681">
        <v>2</v>
      </c>
      <c r="E14" s="131" t="s">
        <v>1282</v>
      </c>
      <c r="F14" s="1757"/>
      <c r="G14" s="1757"/>
      <c r="H14" s="1757"/>
      <c r="I14" s="1373"/>
    </row>
    <row r="15" spans="1:12" ht="12.75">
      <c r="A15" s="3658"/>
      <c r="B15" s="3645"/>
      <c r="C15" s="3662"/>
      <c r="D15" s="3681"/>
      <c r="E15" s="131" t="s">
        <v>1283</v>
      </c>
      <c r="F15" s="1757"/>
      <c r="G15" s="1757"/>
      <c r="H15" s="1757"/>
      <c r="I15" s="1373"/>
    </row>
    <row r="16" spans="1:12" ht="12.75">
      <c r="A16" s="3658"/>
      <c r="B16" s="3645"/>
      <c r="C16" s="3663"/>
      <c r="D16" s="3681"/>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68" t="s">
        <v>2131</v>
      </c>
      <c r="F18" s="3669"/>
      <c r="G18" s="3669"/>
      <c r="H18" s="3669"/>
      <c r="I18" s="3669"/>
      <c r="K18" s="302" t="s">
        <v>1289</v>
      </c>
      <c r="L18" s="302">
        <f>IF(C1="",'数据-汇总表'!E3,SUMIF(项目类型,C1,'数据-汇总表'!E17:E26)+SUMIF(项目类型,C1,'数据-汇总表'!I17:I26))</f>
        <v>57452.09</v>
      </c>
      <c r="M18" s="302">
        <f>IF(C1="",'数据-汇总表'!E3,SUMIF(项目类型,C1,'数据-汇总表'!E17:E26))</f>
        <v>57452.09</v>
      </c>
    </row>
    <row r="19" spans="1:36" ht="15">
      <c r="A19" s="1761" t="s">
        <v>1290</v>
      </c>
      <c r="B19" s="1762" t="s">
        <v>1291</v>
      </c>
      <c r="C19" s="134">
        <f ca="1">SUMIF(INDIRECT("'"&amp;C4&amp;"'"&amp;"!A:A"),结果表!B19,INDIRECT("'"&amp;C4&amp;"'"&amp;"!B:B"))</f>
        <v>246843</v>
      </c>
      <c r="D19" s="135">
        <f ca="1">SUMIF(INDIRECT("'"&amp;D4&amp;"'"&amp;"!A:A"),结果表!B19,INDIRECT("'"&amp;D4&amp;"'"&amp;"!B:B"))</f>
        <v>73245</v>
      </c>
      <c r="E19" s="1761" t="s">
        <v>1292</v>
      </c>
      <c r="F19" s="1762" t="s">
        <v>1291</v>
      </c>
      <c r="G19" s="136">
        <f ca="1">ROUND(C19*$C$18+D19*$D$18,0)</f>
        <v>212123</v>
      </c>
      <c r="H19" s="1763" t="s">
        <v>1293</v>
      </c>
      <c r="I19" s="129"/>
      <c r="K19" s="302" t="s">
        <v>1294</v>
      </c>
      <c r="L19" s="302">
        <f>IF(C1="",'数据-汇总表'!D3,SUMIF(项目类型,C1,'数据-汇总表'!D17:D26)+SUMIF(项目类型,C1,'数据-汇总表'!H17:H27))</f>
        <v>10178.42</v>
      </c>
      <c r="M19" s="302">
        <f>IF(C1="",'数据-汇总表'!D3,SUMIF(项目类型,C1,'数据-汇总表'!D17:D26))</f>
        <v>10178.42</v>
      </c>
    </row>
    <row r="20" spans="1:36" ht="15">
      <c r="A20" s="1764"/>
      <c r="B20" s="1026" t="s">
        <v>1295</v>
      </c>
      <c r="C20" s="137">
        <f ca="1">SUMIF(INDIRECT("'"&amp;C4&amp;"'"&amp;"!A:A"),结果表!B20,INDIRECT("'"&amp;C4&amp;"'"&amp;"!B:B"))</f>
        <v>42965</v>
      </c>
      <c r="D20" s="138">
        <f ca="1">SUMIF(INDIRECT("'"&amp;D4&amp;"'"&amp;"!A:A"),结果表!B20,INDIRECT("'"&amp;D4&amp;"'"&amp;"!B:B"))</f>
        <v>10000</v>
      </c>
      <c r="E20" s="1764"/>
      <c r="F20" s="1026" t="s">
        <v>1295</v>
      </c>
      <c r="G20" s="139">
        <f ca="1">ROUND(C20*$C$18+D20*$D$18,0)</f>
        <v>36372</v>
      </c>
      <c r="H20" s="808" t="s">
        <v>1296</v>
      </c>
      <c r="I20" s="129"/>
    </row>
    <row r="21" spans="1:36" ht="15" customHeight="1" thickBot="1">
      <c r="A21" s="828"/>
      <c r="B21" s="1765" t="s">
        <v>1297</v>
      </c>
      <c r="C21" s="719">
        <f ca="1">ROUND(C19*10000/L19,0)</f>
        <v>242516</v>
      </c>
      <c r="D21" s="720">
        <f ca="1">ROUND(D19*10000/L19,0)</f>
        <v>71961</v>
      </c>
      <c r="E21" s="828"/>
      <c r="F21" s="1765" t="s">
        <v>1297</v>
      </c>
      <c r="G21" s="140">
        <f ca="1">ROUND(G19*10000/L19,0)</f>
        <v>208405</v>
      </c>
      <c r="H21" s="1766" t="s">
        <v>1296</v>
      </c>
      <c r="I21" s="129"/>
    </row>
    <row r="22" spans="1:36" ht="15" thickBot="1">
      <c r="A22" s="1688" t="s">
        <v>1298</v>
      </c>
      <c r="B22" s="1767"/>
      <c r="C22" s="1768"/>
      <c r="D22" s="721">
        <f ca="1">IF(C19&lt;D19,D19/C19-1,C19/D19-1)</f>
        <v>2.370100348146631</v>
      </c>
      <c r="E22" s="129"/>
      <c r="F22" s="129"/>
      <c r="G22" s="129"/>
      <c r="H22" s="129"/>
      <c r="I22" s="129"/>
    </row>
    <row r="23" spans="1:36" ht="13.5" thickBot="1">
      <c r="A23" s="1747"/>
      <c r="B23" s="1747"/>
      <c r="C23" s="1747"/>
      <c r="D23" s="1747"/>
      <c r="E23" s="3902"/>
      <c r="F23" s="3903" t="s">
        <v>4466</v>
      </c>
      <c r="G23" s="3903" t="s">
        <v>4467</v>
      </c>
      <c r="H23" s="3904" t="s">
        <v>4468</v>
      </c>
      <c r="I23" s="129"/>
    </row>
    <row r="24" spans="1:36" ht="14.25">
      <c r="A24" s="3652" t="s">
        <v>1299</v>
      </c>
      <c r="B24" s="1762" t="s">
        <v>1291</v>
      </c>
      <c r="C24" s="136">
        <f>IF(B30=0,0,D30)</f>
        <v>0</v>
      </c>
      <c r="D24" s="3551"/>
      <c r="E24" s="3895" t="s">
        <v>4471</v>
      </c>
      <c r="F24" s="3896">
        <f>'比较法-商业'!B2</f>
        <v>246843</v>
      </c>
      <c r="G24" s="3896">
        <f ca="1">'收益法-酒店模型'!C39</f>
        <v>73245</v>
      </c>
      <c r="H24" s="3897">
        <f ca="1">成本法!B2</f>
        <v>196486</v>
      </c>
      <c r="I24" s="129"/>
    </row>
    <row r="25" spans="1:36" ht="14.25">
      <c r="A25" s="3653"/>
      <c r="B25" s="1026" t="s">
        <v>1295</v>
      </c>
      <c r="C25" s="141">
        <f>IF(B30=0,0,C30)</f>
        <v>0</v>
      </c>
      <c r="D25" s="3552"/>
      <c r="E25" s="3895" t="s">
        <v>4470</v>
      </c>
      <c r="F25" s="3898">
        <f>'比较法-商业'!B3</f>
        <v>42965</v>
      </c>
      <c r="G25" s="3898">
        <f ca="1">ROUND('收益法-酒店模型'!C38/'收益法-酒店模型'!B4*10000,0)</f>
        <v>12749</v>
      </c>
      <c r="H25" s="3897">
        <f ca="1">成本法!B3</f>
        <v>34200</v>
      </c>
      <c r="I25" s="129"/>
    </row>
    <row r="26" spans="1:36" ht="13.5" customHeight="1">
      <c r="A26" s="1769" t="s">
        <v>1300</v>
      </c>
      <c r="B26" s="142" t="s">
        <v>1301</v>
      </c>
      <c r="C26" s="142" t="s">
        <v>1302</v>
      </c>
      <c r="D26" s="3894" t="s">
        <v>1303</v>
      </c>
      <c r="E26" s="3895" t="s">
        <v>4469</v>
      </c>
      <c r="F26" s="3898">
        <f>C18</f>
        <v>0.8</v>
      </c>
      <c r="G26" s="3898">
        <f>D18</f>
        <v>0.19999999999999996</v>
      </c>
      <c r="H26" s="3897"/>
      <c r="I26" s="129"/>
    </row>
    <row r="27" spans="1:36" ht="14.25">
      <c r="A27" s="1769"/>
      <c r="B27" s="142">
        <v>0</v>
      </c>
      <c r="C27" s="142">
        <v>0</v>
      </c>
      <c r="D27" s="3894">
        <f>ROUND(C27*B27/10000,0)</f>
        <v>0</v>
      </c>
      <c r="E27" s="3895" t="s">
        <v>4472</v>
      </c>
      <c r="F27" s="3896">
        <f ca="1">ROUND(F24*F26+G24*G26,0)</f>
        <v>212123</v>
      </c>
      <c r="G27" s="3896"/>
      <c r="H27" s="3897"/>
      <c r="I27" s="129"/>
    </row>
    <row r="28" spans="1:36" ht="15" thickBot="1">
      <c r="A28" s="1769"/>
      <c r="B28" s="142"/>
      <c r="C28" s="142"/>
      <c r="D28" s="3894"/>
      <c r="E28" s="3899" t="s">
        <v>4473</v>
      </c>
      <c r="F28" s="3900">
        <f ca="1">ROUND(F27/'数据-汇总表'!E27*10000,0)</f>
        <v>36922</v>
      </c>
      <c r="G28" s="3900"/>
      <c r="H28" s="3901"/>
      <c r="I28" s="129"/>
    </row>
    <row r="29" spans="1:36" ht="14.25">
      <c r="A29" s="1769"/>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212123</v>
      </c>
      <c r="D32" s="1773" t="s">
        <v>4447</v>
      </c>
      <c r="E32" s="129"/>
      <c r="F32" s="129"/>
      <c r="G32" s="129"/>
      <c r="H32" s="129"/>
      <c r="I32" s="129"/>
    </row>
    <row r="33" spans="1:15" ht="15">
      <c r="A33" s="786"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1" t="s">
        <v>1309</v>
      </c>
      <c r="F34" s="1330"/>
      <c r="G34" s="129"/>
      <c r="H34" s="129"/>
      <c r="I34" s="129"/>
    </row>
    <row r="35" spans="1:15" ht="15.75" thickBot="1">
      <c r="A35" s="1782"/>
      <c r="B35" s="1783"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72" t="s">
        <v>1312</v>
      </c>
      <c r="B36" s="1785" t="s">
        <v>1313</v>
      </c>
      <c r="C36" s="145"/>
      <c r="D36" s="1786"/>
      <c r="E36" s="1787"/>
      <c r="F36" s="1788"/>
      <c r="G36" s="129"/>
      <c r="H36" s="129"/>
      <c r="I36" s="129"/>
    </row>
    <row r="37" spans="1:15" ht="15.75" thickBot="1">
      <c r="A37" s="3673"/>
      <c r="B37" s="1674" t="s">
        <v>1314</v>
      </c>
      <c r="C37" s="147"/>
      <c r="D37" s="1139"/>
      <c r="E37" s="1139"/>
      <c r="F37" s="1788"/>
      <c r="G37" s="129"/>
      <c r="H37" s="129"/>
      <c r="I37" s="129"/>
    </row>
    <row r="38" spans="1:15" ht="15.75" thickBot="1">
      <c r="A38" s="3674"/>
      <c r="B38" s="1789" t="s">
        <v>1315</v>
      </c>
      <c r="C38" s="674"/>
      <c r="D38" s="1790" t="s">
        <v>1316</v>
      </c>
      <c r="E38" s="1139"/>
      <c r="F38" s="1788"/>
      <c r="G38" s="129"/>
      <c r="H38" s="129"/>
      <c r="I38" s="129"/>
    </row>
    <row r="39" spans="1:15" ht="15">
      <c r="A39" s="1764"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7"/>
      <c r="B43" s="1577"/>
      <c r="C43" s="1577"/>
      <c r="D43" s="1577"/>
      <c r="E43" s="1577"/>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49" t="s">
        <v>1326</v>
      </c>
      <c r="B45" s="3650"/>
      <c r="C45" s="3651"/>
      <c r="D45" s="155">
        <f ca="1">ROUND(H101*F45,0)</f>
        <v>212123</v>
      </c>
      <c r="E45" s="156" t="s">
        <v>1327</v>
      </c>
      <c r="F45" s="157">
        <v>1</v>
      </c>
      <c r="G45" s="158" t="s">
        <v>1328</v>
      </c>
      <c r="H45" s="129"/>
      <c r="I45" s="129"/>
      <c r="J45" s="3727" t="s">
        <v>1329</v>
      </c>
      <c r="K45" s="3727"/>
      <c r="L45" s="3727"/>
      <c r="M45" s="3727"/>
      <c r="N45" s="3727"/>
      <c r="O45" s="3727"/>
    </row>
    <row r="46" spans="1:15" ht="14.25" customHeight="1">
      <c r="A46" s="3646" t="s">
        <v>1330</v>
      </c>
      <c r="B46" s="3647"/>
      <c r="C46" s="3647"/>
      <c r="D46" s="3647"/>
      <c r="E46" s="3647"/>
      <c r="F46" s="3647"/>
      <c r="G46" s="3648"/>
      <c r="H46" s="1804"/>
      <c r="I46" s="159"/>
      <c r="J46" s="2521">
        <v>1</v>
      </c>
      <c r="K46" s="3708" t="s">
        <v>1331</v>
      </c>
      <c r="L46" s="3708"/>
      <c r="M46" s="3728"/>
      <c r="N46" s="3728"/>
      <c r="O46" s="3728"/>
    </row>
    <row r="47" spans="1:15" ht="12" customHeight="1">
      <c r="A47" s="160" t="s">
        <v>1332</v>
      </c>
      <c r="B47" s="161"/>
      <c r="C47" s="162"/>
      <c r="D47" s="1087" t="s">
        <v>1333</v>
      </c>
      <c r="E47" s="302" t="s">
        <v>1334</v>
      </c>
      <c r="F47" s="163" t="s">
        <v>1335</v>
      </c>
      <c r="G47" s="2544" t="s">
        <v>1336</v>
      </c>
      <c r="H47" s="2545"/>
      <c r="I47" s="159"/>
      <c r="J47" s="2521">
        <v>2</v>
      </c>
      <c r="K47" s="3708" t="s">
        <v>1337</v>
      </c>
      <c r="L47" s="3708"/>
      <c r="M47" s="3729">
        <f>'数据-取费表'!B2</f>
        <v>45040</v>
      </c>
      <c r="N47" s="3729"/>
      <c r="O47" s="3729"/>
    </row>
    <row r="48" spans="1:15" ht="25.5">
      <c r="A48" s="3677" t="s">
        <v>1338</v>
      </c>
      <c r="B48" s="3660"/>
      <c r="C48" s="3660"/>
      <c r="D48" s="2322">
        <f ca="1">IF(H48="情况1",0,IF(H48="情况2",D52,IF(H48="情况3",D53,IF(H48="情况4",D54))))</f>
        <v>11313</v>
      </c>
      <c r="E48" s="2332" t="str">
        <f>IF(H48="情况4","(销售额-原购置价)×税（费）率","销售额×税（费）率")</f>
        <v>销售额×税（费）率</v>
      </c>
      <c r="F48" s="2546">
        <f>IF(H48="情况1","免征",'数据-取费表'!B41)</f>
        <v>5.6000000000000001E-2</v>
      </c>
      <c r="G48" s="2547" t="s">
        <v>1339</v>
      </c>
      <c r="H48" s="2548" t="s">
        <v>4448</v>
      </c>
      <c r="I48" s="1804"/>
      <c r="J48" s="2521">
        <v>3</v>
      </c>
      <c r="K48" s="3708" t="s">
        <v>1340</v>
      </c>
      <c r="L48" s="3708"/>
      <c r="M48" s="3730">
        <f ca="1">H101</f>
        <v>212123</v>
      </c>
      <c r="N48" s="3730"/>
      <c r="O48" s="3730"/>
    </row>
    <row r="49" spans="1:35" ht="25.5" customHeight="1">
      <c r="A49" s="2331" t="s">
        <v>1341</v>
      </c>
      <c r="B49" s="3644" t="s">
        <v>1342</v>
      </c>
      <c r="C49" s="3644"/>
      <c r="D49" s="1590">
        <v>0</v>
      </c>
      <c r="E49" s="324" t="s">
        <v>1343</v>
      </c>
      <c r="F49" s="2422" t="s">
        <v>28</v>
      </c>
      <c r="G49" s="3714"/>
      <c r="H49" s="2308" t="s">
        <v>2134</v>
      </c>
      <c r="I49" s="2309"/>
      <c r="J49" s="2521">
        <v>4</v>
      </c>
      <c r="K49" s="3708" t="str">
        <f>IF(项目基本情况!E8="房地产抵押价值","房地产抵押价值","抵押担保权已注销时的房地产抵押价值")</f>
        <v>房地产抵押价值</v>
      </c>
      <c r="L49" s="3708"/>
      <c r="M49" s="3730">
        <f ca="1">IF(项目基本情况!E8="房地产抵押价值",H107,H109)</f>
        <v>212123</v>
      </c>
      <c r="N49" s="3730"/>
      <c r="O49" s="3730"/>
    </row>
    <row r="50" spans="1:35" ht="25.5" customHeight="1">
      <c r="A50" s="2549"/>
      <c r="B50" s="3644" t="s">
        <v>1344</v>
      </c>
      <c r="C50" s="3644"/>
      <c r="D50" s="2550"/>
      <c r="E50" s="332"/>
      <c r="F50" s="2422"/>
      <c r="G50" s="3715"/>
      <c r="H50" s="2310" t="s">
        <v>2135</v>
      </c>
      <c r="I50" s="2309"/>
      <c r="J50" s="3727" t="s">
        <v>1345</v>
      </c>
      <c r="K50" s="3727"/>
      <c r="L50" s="3727"/>
      <c r="M50" s="3727"/>
      <c r="N50" s="3727"/>
      <c r="O50" s="3727"/>
    </row>
    <row r="51" spans="1:35" ht="20.45" customHeight="1">
      <c r="A51" s="2551"/>
      <c r="B51" s="3644" t="s">
        <v>1346</v>
      </c>
      <c r="C51" s="3644"/>
      <c r="D51" s="1087"/>
      <c r="E51" s="327"/>
      <c r="F51" s="2422"/>
      <c r="G51" s="3716"/>
      <c r="H51" s="2310" t="s">
        <v>2136</v>
      </c>
      <c r="I51" s="2309"/>
      <c r="J51" s="2522" t="s">
        <v>1347</v>
      </c>
      <c r="K51" s="3708" t="s">
        <v>1348</v>
      </c>
      <c r="L51" s="3708"/>
      <c r="M51" s="2522" t="s">
        <v>1349</v>
      </c>
      <c r="N51" s="2522" t="s">
        <v>1350</v>
      </c>
      <c r="O51" s="2522" t="s">
        <v>1351</v>
      </c>
    </row>
    <row r="52" spans="1:35" ht="24" customHeight="1">
      <c r="A52" s="2333" t="s">
        <v>1352</v>
      </c>
      <c r="B52" s="3644" t="s">
        <v>1353</v>
      </c>
      <c r="C52" s="3644"/>
      <c r="D52" s="1087">
        <f ca="1">ROUND(D45*'数据-取费表'!B41/(1+'数据-取费表'!C42),0)</f>
        <v>11313</v>
      </c>
      <c r="E52" s="2332" t="s">
        <v>1354</v>
      </c>
      <c r="F52" s="2552">
        <f>'数据-取费表'!B41</f>
        <v>5.6000000000000001E-2</v>
      </c>
      <c r="G52" s="2553"/>
      <c r="H52" s="2542"/>
      <c r="I52" s="1805"/>
      <c r="J52" s="2521">
        <v>1</v>
      </c>
      <c r="K52" s="3709" t="s">
        <v>1355</v>
      </c>
      <c r="L52" s="3709"/>
      <c r="M52" s="2523">
        <f ca="1">D48</f>
        <v>11313</v>
      </c>
      <c r="N52" s="2521" t="str">
        <f>E48</f>
        <v>销售额×税（费）率</v>
      </c>
      <c r="O52" s="2524">
        <f>F48</f>
        <v>5.6000000000000001E-2</v>
      </c>
    </row>
    <row r="53" spans="1:35" ht="12" customHeight="1">
      <c r="A53" s="2333" t="s">
        <v>1356</v>
      </c>
      <c r="B53" s="3670" t="s">
        <v>2291</v>
      </c>
      <c r="C53" s="3671"/>
      <c r="D53" s="1087">
        <f ca="1">ROUND(D45*'数据-取费表'!B41/(1+'数据-取费表'!C42),0)</f>
        <v>11313</v>
      </c>
      <c r="E53" s="2332" t="s">
        <v>1354</v>
      </c>
      <c r="F53" s="2552">
        <f>'数据-取费表'!B41</f>
        <v>5.6000000000000001E-2</v>
      </c>
      <c r="G53" s="2553"/>
      <c r="H53" s="2542"/>
      <c r="I53" s="1805"/>
      <c r="J53" s="2521">
        <v>2</v>
      </c>
      <c r="K53" s="3709" t="s">
        <v>1357</v>
      </c>
      <c r="L53" s="3709"/>
      <c r="M53" s="2523">
        <f t="shared" ref="M53:O54" ca="1" si="0">D55</f>
        <v>106</v>
      </c>
      <c r="N53" s="2521" t="str">
        <f t="shared" si="0"/>
        <v>销售额×税（费）率</v>
      </c>
      <c r="O53" s="2524">
        <f t="shared" si="0"/>
        <v>5.0000000000000001E-4</v>
      </c>
    </row>
    <row r="54" spans="1:35" ht="12" customHeight="1">
      <c r="A54" s="2333" t="s">
        <v>1358</v>
      </c>
      <c r="B54" s="3670" t="s">
        <v>2292</v>
      </c>
      <c r="C54" s="3671"/>
      <c r="D54" s="1087">
        <f ca="1">C68</f>
        <v>11313</v>
      </c>
      <c r="E54" s="327" t="s">
        <v>1359</v>
      </c>
      <c r="F54" s="2552">
        <f>'数据-取费表'!B41</f>
        <v>5.6000000000000001E-2</v>
      </c>
      <c r="G54" s="2553"/>
      <c r="H54" s="2554"/>
      <c r="I54" s="1805"/>
      <c r="J54" s="2521">
        <v>3</v>
      </c>
      <c r="K54" s="3709" t="s">
        <v>1360</v>
      </c>
      <c r="L54" s="3709"/>
      <c r="M54" s="2523">
        <f t="shared" ca="1" si="0"/>
        <v>120062</v>
      </c>
      <c r="N54" s="2521" t="str">
        <f t="shared" si="0"/>
        <v>增值额×税（费）率</v>
      </c>
      <c r="O54" s="2525" t="str">
        <f t="shared" si="0"/>
        <v>——</v>
      </c>
    </row>
    <row r="55" spans="1:35" ht="24" customHeight="1">
      <c r="A55" s="3659" t="s">
        <v>1361</v>
      </c>
      <c r="B55" s="3660"/>
      <c r="C55" s="3660"/>
      <c r="D55" s="2322">
        <f ca="1">IF(H55="个人住宅",0,ROUND(D45*I55,0))</f>
        <v>106</v>
      </c>
      <c r="E55" s="2332" t="s">
        <v>1362</v>
      </c>
      <c r="F55" s="2552">
        <f>IF(H55="正常",I55,"免征")</f>
        <v>5.0000000000000001E-4</v>
      </c>
      <c r="G55" s="2553"/>
      <c r="H55" s="2548" t="s">
        <v>4449</v>
      </c>
      <c r="I55" s="165">
        <f>'数据-取费表'!B49</f>
        <v>5.0000000000000001E-4</v>
      </c>
      <c r="J55" s="2521">
        <f>IF(H59="非个人房产","",4)</f>
        <v>4</v>
      </c>
      <c r="K55" s="3709" t="str">
        <f>IF(H59="非个人房产","——","个人所得税")</f>
        <v>个人所得税</v>
      </c>
      <c r="L55" s="3709"/>
      <c r="M55" s="2526">
        <f ca="1">D59</f>
        <v>2020</v>
      </c>
      <c r="N55" s="2038" t="str">
        <f>E59</f>
        <v>差额计税</v>
      </c>
      <c r="O55" s="2527">
        <f>F59</f>
        <v>0.01</v>
      </c>
    </row>
    <row r="56" spans="1:35" ht="24.75">
      <c r="A56" s="3659" t="s">
        <v>1363</v>
      </c>
      <c r="B56" s="3660"/>
      <c r="C56" s="3660"/>
      <c r="D56" s="2322">
        <f ca="1">IF(H56="个人住宅",D57,D58)</f>
        <v>120062</v>
      </c>
      <c r="E56" s="2332" t="s">
        <v>1364</v>
      </c>
      <c r="F56" s="2552" t="str">
        <f>IF(H56="正常",F58,"免征")</f>
        <v>——</v>
      </c>
      <c r="G56" s="2555" t="s">
        <v>1365</v>
      </c>
      <c r="H56" s="2556" t="s">
        <v>4449</v>
      </c>
      <c r="I56" s="1806"/>
      <c r="J56" s="2521" t="str">
        <f>IF(项目基本情况!K6="上海银行",IF(J55="",4,J55+1),"")</f>
        <v/>
      </c>
      <c r="K56" s="3732" t="str">
        <f>IF(项目基本情况!K6="上海银行","其他处置费用","")</f>
        <v/>
      </c>
      <c r="L56" s="3733"/>
      <c r="M56" s="2523" t="str">
        <f>IF(项目基本情况!K6="上海银行",M69,"")</f>
        <v/>
      </c>
      <c r="N56" s="3732" t="str">
        <f>IF(项目基本情况!K6="上海银行","包含处置中涉及的律师、诉讼、拍卖、评估等费用","")</f>
        <v/>
      </c>
      <c r="O56" s="3735"/>
    </row>
    <row r="57" spans="1:35" ht="12.75">
      <c r="A57" s="2333" t="s">
        <v>1341</v>
      </c>
      <c r="B57" s="3670" t="s">
        <v>1366</v>
      </c>
      <c r="C57" s="3671"/>
      <c r="D57" s="1590">
        <v>0</v>
      </c>
      <c r="E57" s="324" t="s">
        <v>1343</v>
      </c>
      <c r="F57" s="302"/>
      <c r="G57" s="2553"/>
      <c r="H57" s="2557"/>
      <c r="I57" s="1806"/>
      <c r="J57" s="3709">
        <f>IF(AND(J55="",J56=""),4,IF(项目基本情况!K6="上海银行",结果表!J56+1,结果表!J55+1))</f>
        <v>5</v>
      </c>
      <c r="K57" s="3709" t="s">
        <v>1367</v>
      </c>
      <c r="L57" s="2528" t="s">
        <v>1368</v>
      </c>
      <c r="M57" s="2529"/>
      <c r="N57" s="2530">
        <f ca="1">SUMIF(M52:M56,"&lt;9e307")</f>
        <v>133501</v>
      </c>
      <c r="O57" s="2531"/>
      <c r="P57" s="2688">
        <f ca="1">N57/M49</f>
        <v>0.62935655256619982</v>
      </c>
    </row>
    <row r="58" spans="1:35" ht="24.75">
      <c r="A58" s="2333" t="s">
        <v>1352</v>
      </c>
      <c r="B58" s="3670" t="s">
        <v>1369</v>
      </c>
      <c r="C58" s="3644"/>
      <c r="D58" s="2322">
        <f ca="1">IF(H58="转让取得",C81,C97)</f>
        <v>120062</v>
      </c>
      <c r="E58" s="2332" t="s">
        <v>1364</v>
      </c>
      <c r="F58" s="302" t="s">
        <v>28</v>
      </c>
      <c r="G58" s="2553"/>
      <c r="H58" s="2556" t="s">
        <v>4450</v>
      </c>
      <c r="I58" s="1806"/>
      <c r="J58" s="3709"/>
      <c r="K58" s="3709"/>
      <c r="L58" s="2528" t="s">
        <v>1370</v>
      </c>
      <c r="M58" s="2532"/>
      <c r="N58" s="2533" t="str">
        <f ca="1">NUMBERSTRING(INT(N57*10000),2)&amp;"元整"</f>
        <v>壹拾叁亿叁仟伍佰零壹万元整</v>
      </c>
      <c r="O58" s="2534"/>
    </row>
    <row r="59" spans="1:35" ht="24.75" thickBot="1">
      <c r="A59" s="3712" t="s">
        <v>1371</v>
      </c>
      <c r="B59" s="3713"/>
      <c r="C59" s="3713"/>
      <c r="D59" s="2558">
        <f ca="1">IF(H59="非个人房产","——",IF(H59="个人住宅（满五唯一有凭证）",0,IF(H59="个人其他（无凭证）",ROUND(D45*F59,0),ROUND(C67*F59,0))))</f>
        <v>2020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710">
        <f>J57+1</f>
        <v>6</v>
      </c>
      <c r="K59" s="3709" t="s">
        <v>1372</v>
      </c>
      <c r="L59" s="2521" t="s">
        <v>1368</v>
      </c>
      <c r="M59" s="2535"/>
      <c r="N59" s="2536">
        <f ca="1">M49-N57</f>
        <v>78622</v>
      </c>
      <c r="O59" s="2537"/>
    </row>
    <row r="60" spans="1:35" ht="12" customHeight="1">
      <c r="A60" s="1807"/>
      <c r="B60" s="1747"/>
      <c r="C60" s="1747"/>
      <c r="D60" s="1747"/>
      <c r="E60" s="1578"/>
      <c r="F60" s="1806"/>
      <c r="G60" s="1806"/>
      <c r="H60" s="1808"/>
      <c r="I60" s="129"/>
      <c r="J60" s="3711"/>
      <c r="K60" s="3709"/>
      <c r="L60" s="2528" t="s">
        <v>1370</v>
      </c>
      <c r="M60" s="2532"/>
      <c r="N60" s="2533" t="str">
        <f ca="1">NUMBERSTRING(INT(N59*10000),2)&amp;"元整"</f>
        <v>柒亿捌仟陆佰贰拾贰万元整</v>
      </c>
      <c r="O60" s="2534"/>
    </row>
    <row r="61" spans="1:35" ht="13.5" thickBot="1">
      <c r="A61" s="3657" t="s">
        <v>1373</v>
      </c>
      <c r="B61" s="3657"/>
      <c r="C61" s="3657"/>
      <c r="D61" s="3657"/>
      <c r="E61" s="3657"/>
      <c r="F61" s="1806"/>
      <c r="G61" s="1806"/>
      <c r="H61" s="1808"/>
      <c r="I61" s="129"/>
      <c r="J61" s="2521">
        <f>J59+1</f>
        <v>7</v>
      </c>
      <c r="K61" s="3709" t="s">
        <v>1374</v>
      </c>
      <c r="L61" s="3709"/>
      <c r="M61" s="2538"/>
      <c r="N61" s="2539">
        <f ca="1">ROUND(N59*10000/'数据-汇总表'!E3,0)</f>
        <v>13685</v>
      </c>
      <c r="O61" s="2540"/>
    </row>
    <row r="62" spans="1:35" ht="12.75">
      <c r="A62" s="3675" t="s">
        <v>1375</v>
      </c>
      <c r="B62" s="3676"/>
      <c r="C62" s="2019"/>
      <c r="D62" s="2019" t="s">
        <v>1376</v>
      </c>
      <c r="E62" s="166" t="s">
        <v>1377</v>
      </c>
      <c r="F62" s="1806"/>
      <c r="G62" s="1806"/>
      <c r="H62" s="1808"/>
      <c r="I62" s="129"/>
    </row>
    <row r="63" spans="1:35" ht="12.75">
      <c r="A63" s="173" t="s">
        <v>330</v>
      </c>
      <c r="B63" s="167" t="s">
        <v>1378</v>
      </c>
      <c r="C63" s="2562">
        <f ca="1">ROUND((C64+C65)/(1+'数据-取费表'!C42),0)</f>
        <v>202022</v>
      </c>
      <c r="D63" s="167"/>
      <c r="E63" s="168"/>
      <c r="F63" s="1806"/>
      <c r="G63" s="1806"/>
      <c r="H63" s="1808"/>
      <c r="I63" s="129"/>
      <c r="J63" s="3734" t="s">
        <v>1379</v>
      </c>
      <c r="K63" s="1332" t="s">
        <v>1380</v>
      </c>
      <c r="L63" s="1332">
        <f ca="1">IF(M49&gt;10000,M49*0.5%,IF(AND(M49&gt;1000,M49&lt;=10000),M49*1%,IF(AND(M49&gt;100,M49&lt;=1000),M49*3%,IF(AND(M49&gt;10,M49&lt;=100),M49*5%,M49*8%))))</f>
        <v>1060.615</v>
      </c>
      <c r="M63" s="302">
        <f ca="1">ROUND(L63,1)</f>
        <v>1060.5999999999999</v>
      </c>
      <c r="N63" s="2541"/>
      <c r="Z63" s="1752"/>
      <c r="AI63" s="1753"/>
    </row>
    <row r="64" spans="1:35" ht="14.25" customHeight="1">
      <c r="A64" s="169" t="s">
        <v>325</v>
      </c>
      <c r="B64" s="170" t="s">
        <v>1381</v>
      </c>
      <c r="C64" s="2563">
        <f ca="1">D45</f>
        <v>212123</v>
      </c>
      <c r="D64" s="170" t="s">
        <v>26</v>
      </c>
      <c r="E64" s="172"/>
      <c r="F64" s="1806"/>
      <c r="G64" s="1806"/>
      <c r="H64" s="1808"/>
      <c r="I64" s="129"/>
      <c r="J64" s="3734"/>
      <c r="K64" s="1332" t="s">
        <v>1382</v>
      </c>
      <c r="L64" s="1332">
        <f ca="1">IF(M49&gt;2000,M49*0.5%,IF(AND(M49&gt;1000,M49&lt;=2000),M49*0.6%,IF(AND(M49&gt;500,M49&lt;=1000),M49*0.7%,IF(AND(M49&gt;200,M49&lt;=500),M49*0.8%,IF(AND(M49&gt;100,M49&lt;=200),M49*0.9%,IF(AND(M49&gt;50,M49&lt;=100),M49*1%,IF(AND(M49&gt;20,M49&lt;=50),M49*1.5%,IF(AND(M49&gt;10,M49&lt;=20),M49*2%,IF(AND(M49&gt;1,M49&lt;=10),M49*2.5%)))))))))</f>
        <v>1060.615</v>
      </c>
      <c r="M64" s="302">
        <f t="shared" ref="M64:M65" ca="1" si="1">ROUND(L64,1)</f>
        <v>1060.5999999999999</v>
      </c>
      <c r="N64" s="2542" t="s">
        <v>1383</v>
      </c>
      <c r="Z64" s="1752"/>
      <c r="AI64" s="1753"/>
    </row>
    <row r="65" spans="1:35" ht="14.25" customHeight="1">
      <c r="A65" s="169" t="s">
        <v>326</v>
      </c>
      <c r="B65" s="170" t="s">
        <v>1384</v>
      </c>
      <c r="C65" s="2564"/>
      <c r="D65" s="170"/>
      <c r="E65" s="172"/>
      <c r="F65" s="1806"/>
      <c r="G65" s="1806"/>
      <c r="H65" s="1808"/>
      <c r="I65" s="129"/>
      <c r="J65" s="3734"/>
      <c r="K65" s="1332" t="s">
        <v>1385</v>
      </c>
      <c r="L65" s="1332">
        <f ca="1">IF(M49&gt;1000,M49*0.1%,IF(AND(M49&gt;500,M49&lt;=1000),M49*0.5%,IF(AND(M49&gt;50,M49&lt;=500),M49*1%,IF(AND(M49&gt;1,M49&lt;=50),M49*1.5%))))</f>
        <v>212.12299999999999</v>
      </c>
      <c r="M65" s="302">
        <f t="shared" ca="1" si="1"/>
        <v>212.1</v>
      </c>
      <c r="N65" s="2542" t="s">
        <v>1383</v>
      </c>
      <c r="Z65" s="1752"/>
      <c r="AI65" s="1753"/>
    </row>
    <row r="66" spans="1:35" ht="14.25" customHeight="1">
      <c r="A66" s="173" t="s">
        <v>327</v>
      </c>
      <c r="B66" s="174" t="s">
        <v>1386</v>
      </c>
      <c r="C66" s="2565"/>
      <c r="D66" s="174" t="s">
        <v>26</v>
      </c>
      <c r="E66" s="1338" t="s">
        <v>671</v>
      </c>
      <c r="F66" s="1806"/>
      <c r="G66" s="1806"/>
      <c r="H66" s="1808"/>
      <c r="I66" s="129"/>
      <c r="J66" s="3734"/>
      <c r="K66" s="1332" t="s">
        <v>1387</v>
      </c>
      <c r="L66" s="1332">
        <f ca="1">M49*0.5%</f>
        <v>1060.615</v>
      </c>
      <c r="M66" s="302">
        <f ca="1">IF(L66&gt;0.5,0.5,ROUND(L66,0))</f>
        <v>0.5</v>
      </c>
      <c r="N66" s="2542" t="s">
        <v>1388</v>
      </c>
      <c r="Z66" s="1752"/>
      <c r="AI66" s="1753"/>
    </row>
    <row r="67" spans="1:35" ht="14.25" customHeight="1">
      <c r="A67" s="173" t="s">
        <v>328</v>
      </c>
      <c r="B67" s="174" t="s">
        <v>1389</v>
      </c>
      <c r="C67" s="2566">
        <f ca="1">C63-C66</f>
        <v>202022</v>
      </c>
      <c r="D67" s="170" t="s">
        <v>26</v>
      </c>
      <c r="E67" s="172"/>
      <c r="F67" s="1806"/>
      <c r="G67" s="1806"/>
      <c r="H67" s="1808"/>
      <c r="I67" s="129"/>
      <c r="J67" s="3734"/>
      <c r="K67" s="1332" t="s">
        <v>1390</v>
      </c>
      <c r="L67" s="1332">
        <f ca="1">IF(M49&gt;=10000,(8.25+(M49-10000)*0.01%),IF(AND(M49&gt;=8000,M49&lt;10000),(7.85+(M49-8000)*0.02%),IF(AND(M49&gt;=5000,M49&lt;8000),(6.65+(M49-5000)*0.04%),IF(AND(M49&gt;=2000,M49&lt;5000),(4.25+(PM49-2000)*0.08%),IF(AND(M49&gt;=1000,M49&lt;2000),(2.75+(M49-1000)*0.15%),IF(AND(M49&gt;=100,M49&lt;1000),(0.5+(M49-100)*0.25%),IF(AND(M49&gt;0,M49&lt;100),M49*0.5%)))))))</f>
        <v>28.462300000000003</v>
      </c>
      <c r="M67" s="302">
        <f ca="1">ROUND(L67*0.9,1)</f>
        <v>25.6</v>
      </c>
      <c r="N67" s="2541"/>
      <c r="Z67" s="1752"/>
      <c r="AI67" s="1753"/>
    </row>
    <row r="68" spans="1:35" ht="14.25" customHeight="1" thickBot="1">
      <c r="A68" s="176" t="s">
        <v>329</v>
      </c>
      <c r="B68" s="177" t="s">
        <v>1391</v>
      </c>
      <c r="C68" s="2567">
        <f ca="1">IF(C67&lt;=0,0,ROUND(C67*D68,0))</f>
        <v>11313</v>
      </c>
      <c r="D68" s="2568">
        <f>'数据-取费表'!B41</f>
        <v>5.6000000000000001E-2</v>
      </c>
      <c r="E68" s="178"/>
      <c r="F68" s="1806"/>
      <c r="G68" s="1806"/>
      <c r="H68" s="1808"/>
      <c r="I68" s="129"/>
      <c r="J68" s="3734"/>
      <c r="K68" s="1332" t="s">
        <v>1392</v>
      </c>
      <c r="L68" s="1332">
        <f ca="1">IF(M49&gt;10000,M49*0.5%,IF(AND(M49&gt;5000,M49&lt;=10000),M49*1%,IF(AND(M49&gt;1000,M49&lt;=5000),M49*2%,IF(AND(M49&gt;200,M49&lt;=1000),M49*3%,M49*5%))))</f>
        <v>1060.615</v>
      </c>
      <c r="M68" s="302">
        <f ca="1">ROUND(L68,1)</f>
        <v>1060.5999999999999</v>
      </c>
      <c r="N68" s="2541"/>
      <c r="Z68" s="1752"/>
      <c r="AI68" s="1753"/>
    </row>
    <row r="69" spans="1:35" s="1770" customFormat="1" ht="16.5" customHeight="1">
      <c r="A69" s="1809"/>
      <c r="B69" s="1810"/>
      <c r="C69" s="1811"/>
      <c r="D69" s="1812"/>
      <c r="E69" s="1813"/>
      <c r="F69" s="1578"/>
      <c r="G69" s="1578"/>
      <c r="H69" s="1577"/>
      <c r="I69" s="1747"/>
      <c r="J69" s="3734"/>
      <c r="K69" s="1332" t="s">
        <v>1393</v>
      </c>
      <c r="L69" s="1332"/>
      <c r="M69" s="302">
        <f ca="1">ROUND(SUM(M63:M68),0)</f>
        <v>3420</v>
      </c>
      <c r="N69" s="2543">
        <f ca="1">M69/M49</f>
        <v>1.6122721251349451E-2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5" customFormat="1" ht="15" thickBot="1">
      <c r="A70" s="3696" t="s">
        <v>1394</v>
      </c>
      <c r="B70" s="3697"/>
      <c r="C70" s="3697"/>
      <c r="D70" s="3697"/>
      <c r="E70" s="3697"/>
      <c r="F70" s="3697"/>
      <c r="G70" s="3697"/>
      <c r="H70" s="3697"/>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75" t="s">
        <v>1375</v>
      </c>
      <c r="B71" s="3676"/>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202022</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1212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70" t="s">
        <v>1402</v>
      </c>
      <c r="F76" s="3644"/>
      <c r="G76" s="3644"/>
      <c r="H76" s="369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1212</v>
      </c>
      <c r="D78" s="2575">
        <f>'数据-取费表'!B43</f>
        <v>6.000000000000001E-3</v>
      </c>
      <c r="E78" s="3654" t="s">
        <v>1406</v>
      </c>
      <c r="F78" s="3655"/>
      <c r="G78" s="3655"/>
      <c r="H78" s="366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200810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165.6848184818482</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120062</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96" t="s">
        <v>1410</v>
      </c>
      <c r="B83" s="3697"/>
      <c r="C83" s="3697"/>
      <c r="D83" s="3697"/>
      <c r="E83" s="3697"/>
      <c r="F83" s="3697"/>
      <c r="G83" s="3697"/>
      <c r="H83" s="369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75" t="s">
        <v>1375</v>
      </c>
      <c r="B84" s="3676"/>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202022</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1212</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736" t="s">
        <v>2129</v>
      </c>
      <c r="H90" s="3737"/>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54" t="s">
        <v>1419</v>
      </c>
      <c r="F91" s="3655"/>
      <c r="G91" s="365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54" t="s">
        <v>1422</v>
      </c>
      <c r="F92" s="3655"/>
      <c r="G92" s="3655"/>
      <c r="H92" s="3664"/>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1212</v>
      </c>
      <c r="D93" s="2575">
        <f>'数据-取费表'!B43</f>
        <v>6.000000000000001E-3</v>
      </c>
      <c r="E93" s="3654" t="s">
        <v>1406</v>
      </c>
      <c r="F93" s="3655"/>
      <c r="G93" s="3655"/>
      <c r="H93" s="366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65" t="s">
        <v>1426</v>
      </c>
      <c r="F94" s="3666"/>
      <c r="G94" s="3666"/>
      <c r="H94" s="366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200810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165.6848184818482</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120062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7"/>
      <c r="C98" s="1747"/>
      <c r="D98" s="1747"/>
      <c r="E98" s="1578"/>
      <c r="F98" s="1578"/>
      <c r="G98" s="1578"/>
      <c r="H98" s="1577"/>
      <c r="I98" s="129"/>
    </row>
    <row r="99" spans="1:35" ht="21.75" customHeight="1" thickBot="1">
      <c r="A99" s="1798" t="s">
        <v>1427</v>
      </c>
      <c r="B99" s="1747"/>
      <c r="C99" s="1747"/>
      <c r="D99" s="1747"/>
      <c r="E99" s="1578"/>
      <c r="F99" s="1578"/>
      <c r="G99" s="1578"/>
      <c r="H99" s="1577"/>
      <c r="I99" s="129"/>
    </row>
    <row r="100" spans="1:35" ht="18.75" customHeight="1">
      <c r="A100" s="3638" t="s">
        <v>1428</v>
      </c>
      <c r="B100" s="3639"/>
      <c r="C100" s="3639"/>
      <c r="D100" s="3656"/>
      <c r="E100" s="3639" t="s">
        <v>1429</v>
      </c>
      <c r="F100" s="3639"/>
      <c r="G100" s="3639"/>
      <c r="H100" s="3656"/>
      <c r="I100" s="129"/>
    </row>
    <row r="101" spans="1:35" ht="18.75" customHeight="1">
      <c r="A101" s="3717" t="s">
        <v>1430</v>
      </c>
      <c r="B101" s="3718"/>
      <c r="C101" s="2583" t="str">
        <f>C4</f>
        <v>比较法-商业</v>
      </c>
      <c r="D101" s="2584" t="str">
        <f>D4</f>
        <v>典型户型修正</v>
      </c>
      <c r="E101" s="3731" t="s">
        <v>1431</v>
      </c>
      <c r="F101" s="3688"/>
      <c r="G101" s="1825" t="s">
        <v>1432</v>
      </c>
      <c r="H101" s="2593">
        <f ca="1">H118</f>
        <v>212123</v>
      </c>
      <c r="I101" s="129"/>
    </row>
    <row r="102" spans="1:35" ht="18.75" customHeight="1">
      <c r="A102" s="3690" t="s">
        <v>1433</v>
      </c>
      <c r="B102" s="2582" t="s">
        <v>1432</v>
      </c>
      <c r="C102" s="2583">
        <f ca="1">IF(D32="楼面单价",ROUND(C19,0),C19)</f>
        <v>246843</v>
      </c>
      <c r="D102" s="2584">
        <f ca="1">IF(D32="楼面单价",ROUND(D19,0),D19)</f>
        <v>73245</v>
      </c>
      <c r="E102" s="3731"/>
      <c r="F102" s="3688"/>
      <c r="G102" s="1825" t="s">
        <v>1434</v>
      </c>
      <c r="H102" s="2553">
        <f ca="1">I118</f>
        <v>36922</v>
      </c>
      <c r="I102" s="129"/>
    </row>
    <row r="103" spans="1:35" ht="42.75" customHeight="1">
      <c r="A103" s="3690"/>
      <c r="B103" s="2582" t="s">
        <v>1434</v>
      </c>
      <c r="C103" s="2585">
        <f ca="1">C20</f>
        <v>42965</v>
      </c>
      <c r="D103" s="2586">
        <f ca="1">D20</f>
        <v>10000</v>
      </c>
      <c r="E103" s="3725" t="s">
        <v>1435</v>
      </c>
      <c r="F103" s="3726"/>
      <c r="G103" s="1826" t="s">
        <v>1436</v>
      </c>
      <c r="H103" s="2593">
        <f>IF(D36="正常操作",H104+H105+H106,H105+H106)</f>
        <v>0</v>
      </c>
      <c r="I103" s="129"/>
    </row>
    <row r="104" spans="1:35" ht="18.75" customHeight="1">
      <c r="A104" s="3690" t="s">
        <v>1437</v>
      </c>
      <c r="B104" s="2587" t="s">
        <v>1432</v>
      </c>
      <c r="C104" s="2588">
        <f ca="1">H118</f>
        <v>212123</v>
      </c>
      <c r="D104" s="2589"/>
      <c r="E104" s="1674" t="s">
        <v>1438</v>
      </c>
      <c r="F104" s="1666"/>
      <c r="G104" s="1826" t="s">
        <v>1436</v>
      </c>
      <c r="H104" s="2594">
        <f>IF(D36="同一抵押权人同一抵押物续贷",C36&amp;"（续贷，未扣减，详见特别提示）",C36)</f>
        <v>0</v>
      </c>
      <c r="I104" s="129"/>
    </row>
    <row r="105" spans="1:35" ht="18.75" customHeight="1" thickBot="1">
      <c r="A105" s="3691"/>
      <c r="B105" s="2590" t="s">
        <v>1434</v>
      </c>
      <c r="C105" s="2591">
        <f ca="1">I118</f>
        <v>36922</v>
      </c>
      <c r="D105" s="2592"/>
      <c r="E105" s="1674" t="s">
        <v>1439</v>
      </c>
      <c r="F105" s="1666"/>
      <c r="G105" s="1826" t="s">
        <v>1436</v>
      </c>
      <c r="H105" s="2595">
        <f>C37</f>
        <v>0</v>
      </c>
      <c r="I105" s="129"/>
    </row>
    <row r="106" spans="1:35" ht="18.75" customHeight="1">
      <c r="A106" s="1747" t="s">
        <v>1440</v>
      </c>
      <c r="B106" s="1747"/>
      <c r="C106" s="1747"/>
      <c r="D106" s="1747"/>
      <c r="E106" s="1827" t="s">
        <v>1441</v>
      </c>
      <c r="F106" s="1666"/>
      <c r="G106" s="1826" t="s">
        <v>1436</v>
      </c>
      <c r="H106" s="2595">
        <f>C38</f>
        <v>0</v>
      </c>
      <c r="I106" s="129"/>
    </row>
    <row r="107" spans="1:35" ht="18.75" customHeight="1">
      <c r="A107" s="129"/>
      <c r="B107" s="129"/>
      <c r="C107" s="129"/>
      <c r="D107" s="129"/>
      <c r="E107" s="3687" t="str">
        <f>IF(项目基本情况!E8="已注销","——","3.房地产抵押价值")</f>
        <v>3.房地产抵押价值</v>
      </c>
      <c r="F107" s="3688"/>
      <c r="G107" s="1825" t="s">
        <v>1432</v>
      </c>
      <c r="H107" s="2593">
        <f ca="1">IF(E107="——","——",H101-H103)</f>
        <v>212123</v>
      </c>
      <c r="I107" s="129"/>
    </row>
    <row r="108" spans="1:35" ht="18.75" customHeight="1">
      <c r="A108" s="129"/>
      <c r="B108" s="129"/>
      <c r="C108" s="129"/>
      <c r="D108" s="129"/>
      <c r="E108" s="3687"/>
      <c r="F108" s="3688"/>
      <c r="G108" s="1825" t="s">
        <v>1434</v>
      </c>
      <c r="H108" s="2553">
        <f ca="1">IF(H107=H101,H102,ROUND(H107*10000/'数据-汇总表'!E3,0))</f>
        <v>36922</v>
      </c>
      <c r="I108" s="129"/>
    </row>
    <row r="109" spans="1:35" ht="18.75" customHeight="1">
      <c r="A109" s="129"/>
      <c r="B109" s="129"/>
      <c r="C109" s="129"/>
      <c r="D109" s="129"/>
      <c r="E109" s="3687" t="str">
        <f>IF(项目基本情况!E8="已注销及未注销","4.抵押担保权已注销时的房地产抵押价值",IF(项目基本情况!E8="已注销","3.抵押担保权已注销时的房地产抵押价值","——"))</f>
        <v>——</v>
      </c>
      <c r="F109" s="3688"/>
      <c r="G109" s="1825" t="s">
        <v>1432</v>
      </c>
      <c r="H109" s="2596" t="str">
        <f>IF(E109="——","——",H101-H105-H106)</f>
        <v>——</v>
      </c>
      <c r="I109" s="129"/>
    </row>
    <row r="110" spans="1:35" ht="18.75" customHeight="1">
      <c r="A110" s="129"/>
      <c r="B110" s="129"/>
      <c r="C110" s="129"/>
      <c r="D110" s="129"/>
      <c r="E110" s="3687"/>
      <c r="F110" s="3688"/>
      <c r="G110" s="1825" t="s">
        <v>1434</v>
      </c>
      <c r="H110" s="2553" t="str">
        <f>IF(H109="——","——",ROUND(H109*10000/'数据-汇总表'!E3,0))</f>
        <v>——</v>
      </c>
      <c r="I110" s="129"/>
    </row>
    <row r="111" spans="1:35" ht="18.75" customHeight="1">
      <c r="A111" s="129"/>
      <c r="B111" s="129"/>
      <c r="C111" s="129"/>
      <c r="D111" s="129"/>
      <c r="E111" s="3719" t="str">
        <f>IF(项目基本情况!E9="抵押净值",IF(OR(项目基本情况!E8="已注销",项目基本情况!E8="房地产抵押价值"),"4.抵押净值","5.抵押净值"),"——")</f>
        <v>——</v>
      </c>
      <c r="F111" s="3689"/>
      <c r="G111" s="1825" t="s">
        <v>1432</v>
      </c>
      <c r="H111" s="2593" t="str">
        <f>IF(E111="——","——",N59)</f>
        <v>——</v>
      </c>
      <c r="I111" s="129"/>
    </row>
    <row r="112" spans="1:35" ht="18.75" customHeight="1" thickBot="1">
      <c r="A112" s="129"/>
      <c r="B112" s="129"/>
      <c r="C112" s="129"/>
      <c r="D112" s="129"/>
      <c r="E112" s="3720"/>
      <c r="F112" s="3721"/>
      <c r="G112" s="1828" t="s">
        <v>1434</v>
      </c>
      <c r="H112" s="2597" t="str">
        <f>IF(E111="——","——",N61)</f>
        <v>——</v>
      </c>
      <c r="I112" s="129"/>
    </row>
    <row r="113" spans="1:27" ht="18.75" customHeight="1">
      <c r="A113" s="129"/>
      <c r="B113" s="129"/>
      <c r="C113" s="129"/>
      <c r="D113" s="129"/>
      <c r="E113" s="3692" t="s">
        <v>1440</v>
      </c>
      <c r="F113" s="3692"/>
      <c r="G113" s="3692"/>
      <c r="H113" s="3692"/>
      <c r="I113" s="129"/>
    </row>
    <row r="114" spans="1:27" ht="3.75" customHeight="1">
      <c r="A114" s="1747"/>
      <c r="B114" s="1747"/>
      <c r="C114" s="1747"/>
      <c r="D114" s="1747"/>
      <c r="E114" s="1807"/>
      <c r="F114" s="1807"/>
      <c r="G114" s="1807"/>
      <c r="H114" s="1807"/>
      <c r="I114" s="1747"/>
    </row>
    <row r="115" spans="1:27" ht="18.75" customHeight="1">
      <c r="A115" s="3702" t="s">
        <v>1442</v>
      </c>
      <c r="B115" s="3703"/>
      <c r="C115" s="3703"/>
      <c r="D115" s="3703"/>
      <c r="E115" s="3703"/>
      <c r="F115" s="3703"/>
      <c r="G115" s="3703"/>
      <c r="H115" s="3703"/>
      <c r="I115" s="3704"/>
    </row>
    <row r="116" spans="1:27" ht="27" customHeight="1">
      <c r="A116" s="3658" t="s">
        <v>1443</v>
      </c>
      <c r="B116" s="3693" t="s">
        <v>1444</v>
      </c>
      <c r="C116" s="3693" t="s">
        <v>1445</v>
      </c>
      <c r="D116" s="3706" t="s">
        <v>1446</v>
      </c>
      <c r="E116" s="3707"/>
      <c r="F116" s="3701" t="s">
        <v>1447</v>
      </c>
      <c r="G116" s="3701"/>
      <c r="H116" s="3658" t="s">
        <v>1448</v>
      </c>
      <c r="I116" s="3658"/>
    </row>
    <row r="117" spans="1:27" ht="18.75" customHeight="1">
      <c r="A117" s="3658"/>
      <c r="B117" s="3694"/>
      <c r="C117" s="3694"/>
      <c r="D117" s="2327" t="s">
        <v>1449</v>
      </c>
      <c r="E117" s="2327" t="s">
        <v>1450</v>
      </c>
      <c r="F117" s="2327" t="s">
        <v>1449</v>
      </c>
      <c r="G117" s="2327" t="s">
        <v>1451</v>
      </c>
      <c r="H117" s="2327" t="s">
        <v>1449</v>
      </c>
      <c r="I117" s="2327" t="s">
        <v>1451</v>
      </c>
    </row>
    <row r="118" spans="1:27" ht="24.75" customHeight="1">
      <c r="A118" s="2598" t="str">
        <f>项目基本情况!S2</f>
        <v>房地产</v>
      </c>
      <c r="B118" s="2327">
        <f>M18</f>
        <v>57452.09</v>
      </c>
      <c r="C118" s="2327">
        <f>M19</f>
        <v>10178.42</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212123</v>
      </c>
      <c r="I118" s="2327">
        <f ca="1">ROUND(IF(D32="楼面单价",C32,H118*10000/B118),0)</f>
        <v>36922</v>
      </c>
    </row>
    <row r="119" spans="1:27" ht="18.75" customHeight="1">
      <c r="A119" s="3658" t="s">
        <v>1452</v>
      </c>
      <c r="B119" s="3658"/>
      <c r="C119" s="3658"/>
      <c r="D119" s="3698" t="e">
        <f ca="1">NUMBERSTRING(INT(D118*10000),2)&amp;"元整"</f>
        <v>#REF!</v>
      </c>
      <c r="E119" s="3700"/>
      <c r="F119" s="3698" t="e">
        <f ca="1">NUMBERSTRING(INT(F118*10000),2)&amp;"元整"</f>
        <v>#REF!</v>
      </c>
      <c r="G119" s="3700"/>
      <c r="H119" s="3698" t="str">
        <f ca="1">NUMBERSTRING(INT(H118*10000),2)&amp;"元整"</f>
        <v>贰拾壹亿贰仟壹佰贰拾叁万元整</v>
      </c>
      <c r="I119" s="3700"/>
    </row>
    <row r="120" spans="1:27" ht="18.75" customHeight="1">
      <c r="A120" s="3722" t="str">
        <f>IF(项目基本情况!B9="房地产市场价值","",MID(E103,3,LEN(E103)-2))</f>
        <v>估价师知悉的法定优先受偿款</v>
      </c>
      <c r="B120" s="3723"/>
      <c r="C120" s="3724"/>
      <c r="D120" s="3722">
        <f>H103</f>
        <v>0</v>
      </c>
      <c r="E120" s="3723"/>
      <c r="F120" s="3723"/>
      <c r="G120" s="3723"/>
      <c r="H120" s="3723"/>
      <c r="I120" s="372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98" t="s">
        <v>1452</v>
      </c>
      <c r="B121" s="3699"/>
      <c r="C121" s="3700"/>
      <c r="D121" s="3698" t="str">
        <f>IF(D120=0,"零元整",NUMBERSTRING(INT(D120*10000),2)&amp;"元整")</f>
        <v>零元整</v>
      </c>
      <c r="E121" s="3699"/>
      <c r="F121" s="3699"/>
      <c r="G121" s="3699"/>
      <c r="H121" s="3699"/>
      <c r="I121" s="3700"/>
      <c r="AA121" s="725"/>
    </row>
    <row r="122" spans="1:27" ht="18.75" customHeight="1">
      <c r="A122" s="3689" t="str">
        <f>IF(项目基本情况!B9="房地产市场价值","",MID(E107,3,LEN(E107)-2))</f>
        <v>房地产抵押价值</v>
      </c>
      <c r="B122" s="3689"/>
      <c r="C122" s="3689"/>
      <c r="D122" s="3722">
        <f ca="1">H107</f>
        <v>212123</v>
      </c>
      <c r="E122" s="3723"/>
      <c r="F122" s="3723"/>
      <c r="G122" s="3723"/>
      <c r="H122" s="3723"/>
      <c r="I122" s="3724"/>
      <c r="AA122" s="725"/>
    </row>
    <row r="123" spans="1:27" ht="18.75" customHeight="1">
      <c r="A123" s="3658" t="s">
        <v>1452</v>
      </c>
      <c r="B123" s="3658"/>
      <c r="C123" s="3658"/>
      <c r="D123" s="3698" t="str">
        <f ca="1">NUMBERSTRING(INT(D122*10000),2)&amp;"元整"</f>
        <v>贰拾壹亿贰仟壹佰贰拾叁万元整</v>
      </c>
      <c r="E123" s="3699"/>
      <c r="F123" s="3699"/>
      <c r="G123" s="3699"/>
      <c r="H123" s="3699"/>
      <c r="I123" s="3700"/>
      <c r="AA123" s="725"/>
    </row>
    <row r="124" spans="1:27" ht="18.75" customHeight="1">
      <c r="A124" s="3689" t="str">
        <f>IF(项目基本情况!B9="房地产市场价值","",MID(E109,3,LEN(E109)-2))</f>
        <v/>
      </c>
      <c r="B124" s="3689"/>
      <c r="C124" s="3689"/>
      <c r="D124" s="3722" t="str">
        <f>H109</f>
        <v>——</v>
      </c>
      <c r="E124" s="3723"/>
      <c r="F124" s="3723"/>
      <c r="G124" s="3723"/>
      <c r="H124" s="3723"/>
      <c r="I124" s="3724"/>
      <c r="AA124" s="725"/>
    </row>
    <row r="125" spans="1:27" ht="18.75" customHeight="1">
      <c r="A125" s="3658" t="s">
        <v>1452</v>
      </c>
      <c r="B125" s="3658"/>
      <c r="C125" s="3658"/>
      <c r="D125" s="3698" t="e">
        <f>NUMBERSTRING(INT(D124*10000),2)&amp;"元整"</f>
        <v>#VALUE!</v>
      </c>
      <c r="E125" s="3699"/>
      <c r="F125" s="3699"/>
      <c r="G125" s="3699"/>
      <c r="H125" s="3699"/>
      <c r="I125" s="3700"/>
      <c r="AA125" s="725"/>
    </row>
    <row r="126" spans="1:27" ht="18.75" customHeight="1">
      <c r="A126" s="3689" t="str">
        <f>IF(项目基本情况!B9="房地产市场价值","",MID(E111,3,LEN(E111)-2))</f>
        <v/>
      </c>
      <c r="B126" s="3689"/>
      <c r="C126" s="3689"/>
      <c r="D126" s="3722" t="str">
        <f>H111</f>
        <v>——</v>
      </c>
      <c r="E126" s="3723"/>
      <c r="F126" s="3723"/>
      <c r="G126" s="3723"/>
      <c r="H126" s="3723"/>
      <c r="I126" s="3724"/>
      <c r="AA126" s="725"/>
    </row>
    <row r="127" spans="1:27" ht="18.75" customHeight="1">
      <c r="A127" s="3658" t="s">
        <v>1452</v>
      </c>
      <c r="B127" s="3658"/>
      <c r="C127" s="3658"/>
      <c r="D127" s="3698" t="e">
        <f>NUMBERSTRING(INT(D126*10000),2)&amp;"元整"</f>
        <v>#VALUE!</v>
      </c>
      <c r="E127" s="3699"/>
      <c r="F127" s="3699"/>
      <c r="G127" s="3699"/>
      <c r="H127" s="3699"/>
      <c r="I127" s="3700"/>
      <c r="AA127" s="725"/>
    </row>
    <row r="128" spans="1:27" ht="21.75" customHeight="1">
      <c r="A128" s="3705" t="s">
        <v>1453</v>
      </c>
      <c r="B128" s="3705"/>
      <c r="C128" s="3705"/>
      <c r="D128" s="3705"/>
      <c r="E128" s="3705"/>
      <c r="F128" s="3705"/>
      <c r="G128" s="3705"/>
      <c r="H128" s="3705"/>
      <c r="I128" s="3705"/>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41"/>
      <c r="G142" s="725"/>
      <c r="H142" s="725"/>
      <c r="I142" s="725"/>
    </row>
    <row r="143" spans="1:35" s="130" customFormat="1" ht="21.75" customHeight="1">
      <c r="A143" s="725"/>
      <c r="B143" s="1848"/>
      <c r="C143" s="1849"/>
      <c r="D143" s="1850"/>
      <c r="E143" s="1850"/>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6" sqref="J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196486</v>
      </c>
      <c r="C2" s="199" t="s">
        <v>1463</v>
      </c>
      <c r="D2" s="1851" t="s">
        <v>43</v>
      </c>
      <c r="E2" s="1169"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34200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106545</v>
      </c>
      <c r="D5" s="211" t="s">
        <v>1469</v>
      </c>
      <c r="E5" s="212" t="s">
        <v>1470</v>
      </c>
      <c r="F5" s="212" t="s">
        <v>1471</v>
      </c>
      <c r="G5" s="213"/>
    </row>
    <row r="6" spans="1:9" s="214" customFormat="1" ht="13.5" customHeight="1">
      <c r="A6" s="778" t="s">
        <v>1472</v>
      </c>
      <c r="B6" s="215" t="s">
        <v>1473</v>
      </c>
      <c r="C6" s="216">
        <f>基准地价修正!B2</f>
        <v>102277</v>
      </c>
      <c r="D6" s="217"/>
      <c r="E6" s="218"/>
      <c r="F6" s="218"/>
      <c r="G6" s="219"/>
    </row>
    <row r="7" spans="1:9" s="214" customFormat="1" ht="13.5" customHeight="1">
      <c r="A7" s="778" t="s">
        <v>1474</v>
      </c>
      <c r="B7" s="215" t="s">
        <v>1475</v>
      </c>
      <c r="C7" s="220">
        <f>ROUND(C6*F7,0)</f>
        <v>3119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1149</v>
      </c>
      <c r="D8" s="222"/>
      <c r="E8" s="220"/>
      <c r="F8" s="221"/>
      <c r="G8" s="1854" t="s">
        <v>3446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t="s">
        <v>3448</v>
      </c>
      <c r="H9" s="1137"/>
      <c r="I9" s="1856" t="s">
        <v>1479</v>
      </c>
    </row>
    <row r="10" spans="1:9" s="214" customFormat="1" ht="13.5" customHeight="1">
      <c r="A10" s="779" t="s">
        <v>356</v>
      </c>
      <c r="B10" s="224" t="s">
        <v>1480</v>
      </c>
      <c r="C10" s="225">
        <f ca="1">ROUND(D10*E10/10000,0)</f>
        <v>1149</v>
      </c>
      <c r="D10" s="845">
        <f ca="1">IF(B1="",'数据-汇总表'!E6,IF(INDIRECT("'数据-取费表'!c"&amp;$G$1)="住宅",INDIRECT("'数据-取费表'!s"&amp;$G$1),INDIRECT("'数据-取费表'!k"&amp;$G$1)+INDIRECT("'数据-取费表'!s"&amp;$G$1)))</f>
        <v>57452.09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57452.09</v>
      </c>
      <c r="E19" s="211">
        <f>'数据-取费表'!B31</f>
        <v>200</v>
      </c>
      <c r="F19" s="231"/>
      <c r="G19" s="1854" t="s">
        <v>3447</v>
      </c>
    </row>
    <row r="20" spans="1:7" s="214" customFormat="1" ht="13.5" customHeight="1">
      <c r="A20" s="255" t="s">
        <v>1493</v>
      </c>
      <c r="B20" s="210" t="s">
        <v>1494</v>
      </c>
      <c r="C20" s="232">
        <f ca="1">ROUND((C5+C19)*F20,0)</f>
        <v>2664</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4">
        <f ca="1">ROUND(SUM(C23:C25),0)</f>
        <v>13991</v>
      </c>
      <c r="D22" s="235">
        <f ca="1">C26</f>
        <v>1.6000000000000001E-3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13823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168</v>
      </c>
      <c r="D25" s="238"/>
      <c r="E25" s="241"/>
      <c r="F25" s="239"/>
      <c r="G25" s="242" t="s">
        <v>1510</v>
      </c>
    </row>
    <row r="26" spans="1:7" s="214" customFormat="1">
      <c r="A26" s="780" t="s">
        <v>350</v>
      </c>
      <c r="B26" s="215" t="s">
        <v>1511</v>
      </c>
      <c r="C26" s="238">
        <f ca="1">ROUND(IF('数据-取费表'!B22&lt;=1,F21*F22*'数据-取费表'!B23/2,F21*(POWER((1+F22),'数据-取费表'!B23/2)-1)),4)</f>
        <v>1.6000000000000001E-3</v>
      </c>
      <c r="D26" s="238"/>
      <c r="E26" s="241"/>
      <c r="F26" s="239"/>
      <c r="G26" s="243"/>
    </row>
    <row r="27" spans="1:7" s="214" customFormat="1" ht="24.75">
      <c r="A27" s="255" t="s">
        <v>1512</v>
      </c>
      <c r="B27" s="244" t="s">
        <v>1513</v>
      </c>
      <c r="C27" s="245">
        <f ca="1">C28</f>
        <v>27302</v>
      </c>
      <c r="D27" s="235">
        <f ca="1">C29</f>
        <v>6.3E-3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27302</v>
      </c>
      <c r="D28" s="235"/>
      <c r="E28" s="236"/>
      <c r="F28" s="246"/>
      <c r="G28" s="247"/>
    </row>
    <row r="29" spans="1:7" s="214" customFormat="1" ht="13.5" customHeight="1">
      <c r="A29" s="780" t="s">
        <v>347</v>
      </c>
      <c r="B29" s="248" t="s">
        <v>1517</v>
      </c>
      <c r="C29" s="238">
        <f ca="1">ROUND(C21*F27*'数据-取费表'!B21/'数据-取费表'!B20,4)</f>
        <v>6.3E-3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164699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31742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28726</v>
      </c>
      <c r="D34" s="217"/>
      <c r="E34" s="220"/>
      <c r="F34" s="257">
        <f ca="1">IF('数据-取费表'!B24=0,1,IF(B1="",'数据-取费表'!N16,INDIRECT("'数据-取费表'!n"&amp;$G$1)))</f>
        <v>1</v>
      </c>
      <c r="G34" s="219" t="s">
        <v>1526</v>
      </c>
    </row>
    <row r="35" spans="1:7" ht="13.5" customHeight="1">
      <c r="A35" s="780" t="s">
        <v>351</v>
      </c>
      <c r="B35" s="215" t="s">
        <v>1527</v>
      </c>
      <c r="C35" s="220">
        <f ca="1">ROUND(C34*F35,0)</f>
        <v>1436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1149</v>
      </c>
      <c r="D37" s="217">
        <f ca="1">D19</f>
        <v>57452.09</v>
      </c>
      <c r="E37" s="249">
        <f>'数据-取费表'!B35</f>
        <v>200</v>
      </c>
      <c r="F37" s="259"/>
      <c r="G37" s="261" t="s">
        <v>1532</v>
      </c>
    </row>
    <row r="38" spans="1:7" ht="13.5" customHeight="1">
      <c r="A38" s="780" t="s">
        <v>354</v>
      </c>
      <c r="B38" s="215" t="s">
        <v>1533</v>
      </c>
      <c r="C38" s="220">
        <f ca="1">ROUND(C34*F38,0)</f>
        <v>431</v>
      </c>
      <c r="D38" s="220"/>
      <c r="E38" s="220"/>
      <c r="F38" s="259">
        <f>'数据-取费表'!B36</f>
        <v>1.4999999999999999E-2</v>
      </c>
      <c r="G38" s="219" t="s">
        <v>1528</v>
      </c>
    </row>
    <row r="39" spans="1:7" s="214" customFormat="1" ht="13.5" customHeight="1">
      <c r="A39" s="255" t="s">
        <v>1534</v>
      </c>
      <c r="B39" s="210" t="s">
        <v>1535</v>
      </c>
      <c r="C39" s="232">
        <f ca="1">ROUND(C33*F20,0)</f>
        <v>794</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2046</v>
      </c>
      <c r="D41" s="235">
        <f ca="1">C44</f>
        <v>1.6000000000000001E-3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1996</v>
      </c>
      <c r="D42" s="238"/>
      <c r="E42" s="238"/>
      <c r="F42" s="239"/>
      <c r="G42" s="3738" t="s">
        <v>1544</v>
      </c>
    </row>
    <row r="43" spans="1:7" ht="13.5" customHeight="1">
      <c r="A43" s="780" t="s">
        <v>347</v>
      </c>
      <c r="B43" s="215" t="s">
        <v>1545</v>
      </c>
      <c r="C43" s="238">
        <f ca="1">ROUND(IF('数据-取费表'!B22&lt;=1,C39*F22*'数据-取费表'!B21/2,C39*(POWER((1+F22),'数据-取费表'!B21/2)-1)),0)</f>
        <v>50</v>
      </c>
      <c r="D43" s="238"/>
      <c r="E43" s="238"/>
      <c r="F43" s="239"/>
      <c r="G43" s="3739"/>
    </row>
    <row r="44" spans="1:7" ht="13.5" customHeight="1">
      <c r="A44" s="780" t="s">
        <v>348</v>
      </c>
      <c r="B44" s="215" t="s">
        <v>1546</v>
      </c>
      <c r="C44" s="238">
        <f ca="1">ROUND(IF('数据-取费表'!B22&lt;=1,C40*F22*'数据-取费表'!B21/2,C40*(POWER((1+F22),'数据-取费表'!B21/2)-1)),4)</f>
        <v>1.6000000000000001E-3</v>
      </c>
      <c r="D44" s="238"/>
      <c r="E44" s="238"/>
      <c r="F44" s="239"/>
      <c r="G44" s="3740"/>
    </row>
    <row r="45" spans="1:7" s="214" customFormat="1" ht="13.5" customHeight="1">
      <c r="A45" s="255" t="s">
        <v>1547</v>
      </c>
      <c r="B45" s="244" t="s">
        <v>1513</v>
      </c>
      <c r="C45" s="245">
        <f ca="1">C46</f>
        <v>8134</v>
      </c>
      <c r="D45" s="235">
        <f ca="1">C47</f>
        <v>6.3E-3</v>
      </c>
      <c r="E45" s="236" t="s">
        <v>1539</v>
      </c>
      <c r="F45" s="246">
        <f ca="1">F27</f>
        <v>0.25</v>
      </c>
      <c r="G45" s="247" t="s">
        <v>1548</v>
      </c>
    </row>
    <row r="46" spans="1:7" s="214" customFormat="1" ht="13.5" customHeight="1">
      <c r="A46" s="780" t="s">
        <v>346</v>
      </c>
      <c r="B46" s="248" t="s">
        <v>1549</v>
      </c>
      <c r="C46" s="249">
        <f ca="1">ROUND((C33+C39)*F27,0)</f>
        <v>8134</v>
      </c>
      <c r="D46" s="263"/>
      <c r="E46" s="236"/>
      <c r="F46" s="246"/>
      <c r="G46" s="247"/>
    </row>
    <row r="47" spans="1:7" s="214" customFormat="1" ht="13.5" customHeight="1">
      <c r="A47" s="780" t="s">
        <v>347</v>
      </c>
      <c r="B47" s="248" t="s">
        <v>1550</v>
      </c>
      <c r="C47" s="238">
        <f ca="1">ROUND(C40*F27,4)</f>
        <v>6.3E-3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46745</v>
      </c>
      <c r="D49" s="232"/>
      <c r="E49" s="232"/>
      <c r="F49" s="264"/>
      <c r="G49" s="234" t="s">
        <v>1554</v>
      </c>
    </row>
    <row r="50" spans="1:7" s="258" customFormat="1" ht="24">
      <c r="A50" s="255" t="s">
        <v>1555</v>
      </c>
      <c r="B50" s="210" t="s">
        <v>1556</v>
      </c>
      <c r="C50" s="232"/>
      <c r="D50" s="232"/>
      <c r="E50" s="232"/>
      <c r="F50" s="264">
        <f>IF('数据-取费表'!B24=0,'数据-取费表'!N16,1)</f>
        <v>0.68</v>
      </c>
      <c r="G50" s="247" t="s">
        <v>1557</v>
      </c>
    </row>
    <row r="51" spans="1:7" ht="16.5" customHeight="1">
      <c r="A51" s="255" t="s">
        <v>1558</v>
      </c>
      <c r="B51" s="210" t="s">
        <v>1559</v>
      </c>
      <c r="C51" s="232">
        <f ca="1">ROUND(C49*F50,0)</f>
        <v>31787</v>
      </c>
      <c r="D51" s="232"/>
      <c r="E51" s="232"/>
      <c r="F51" s="264"/>
      <c r="G51" s="234" t="s">
        <v>1560</v>
      </c>
    </row>
    <row r="52" spans="1:7" s="208" customFormat="1" ht="16.5" thickBot="1">
      <c r="A52" s="265" t="s">
        <v>1561</v>
      </c>
      <c r="B52" s="266"/>
      <c r="C52" s="267">
        <f ca="1">C31+C51</f>
        <v>196486</v>
      </c>
      <c r="D52" s="266"/>
      <c r="E52" s="266"/>
      <c r="F52" s="266"/>
      <c r="G52" s="268"/>
    </row>
    <row r="55" spans="1:7" ht="15">
      <c r="B55" s="270" t="s">
        <v>1562</v>
      </c>
      <c r="C55" s="271"/>
    </row>
    <row r="56" spans="1:7">
      <c r="B56" s="273" t="s">
        <v>802</v>
      </c>
      <c r="C56" s="275">
        <f ca="1">1-C57</f>
        <v>0.83799999999999997</v>
      </c>
    </row>
    <row r="57" spans="1:7">
      <c r="B57" s="273" t="s">
        <v>803</v>
      </c>
      <c r="C57" s="274">
        <f ca="1">ROUND(C51/C52,3)</f>
        <v>0.16200000000000001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55" t="str">
        <f>项目基本情况!B1</f>
        <v>房地产抵押价值预评估</v>
      </c>
      <c r="C37" s="3555"/>
      <c r="D37" s="3555"/>
      <c r="E37" s="3555"/>
      <c r="F37" s="3555"/>
      <c r="G37" s="3555"/>
      <c r="H37" s="3555"/>
      <c r="I37" s="35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7"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35339.326800000003</v>
      </c>
      <c r="C2" s="199" t="s">
        <v>1463</v>
      </c>
      <c r="D2" s="1851" t="s">
        <v>43</v>
      </c>
      <c r="E2" s="1169"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6151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11490418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11490418</v>
      </c>
      <c r="D8" s="222"/>
      <c r="E8" s="220"/>
      <c r="F8" s="221"/>
      <c r="G8" s="1854"/>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11490418</v>
      </c>
      <c r="D10" s="845">
        <f ca="1">IF(B1="",'数据-汇总表'!E6,IF(INDIRECT("'数据-取费表'!c"&amp;$G$1)="住宅",INDIRECT("'数据-取费表'!s"&amp;$G$1),INDIRECT("'数据-取费表'!k"&amp;$G$1)+INDIRECT("'数据-取费表'!s"&amp;$G$1)))</f>
        <v>57452.09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11490418</v>
      </c>
      <c r="D19" s="849">
        <f ca="1">D9+D10</f>
        <v>57452.09</v>
      </c>
      <c r="E19" s="211">
        <f>'数据-取费表'!B31</f>
        <v>200</v>
      </c>
      <c r="F19" s="231"/>
      <c r="G19" s="1854"/>
    </row>
    <row r="20" spans="1:7" s="214" customFormat="1" ht="13.5" customHeight="1">
      <c r="A20" s="255" t="s">
        <v>1574</v>
      </c>
      <c r="B20" s="210" t="s">
        <v>1575</v>
      </c>
      <c r="C20" s="232">
        <f ca="1">ROUND((C5+C19)*F20,0)</f>
        <v>574521</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7">
        <f ca="1">ROUND(SUM(C23:C25),0)</f>
        <v>3017624</v>
      </c>
      <c r="D22" s="235">
        <f ca="1">C26</f>
        <v>1.6000000000000001E-3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1490746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1490746</v>
      </c>
      <c r="D24" s="238"/>
      <c r="E24" s="238"/>
      <c r="F24" s="239"/>
      <c r="G24" s="240" t="s">
        <v>1586</v>
      </c>
    </row>
    <row r="25" spans="1:7" s="214" customFormat="1" ht="24">
      <c r="A25" s="780" t="s">
        <v>1476</v>
      </c>
      <c r="B25" s="215" t="s">
        <v>1587</v>
      </c>
      <c r="C25" s="1128">
        <f ca="1">ROUND(IF('数据-取费表'!B22&lt;=1,C20*F22*'数据-取费表'!B22/2,C20*(POWER((1+F22),'数据-取费表'!B22/2)-1)),0)</f>
        <v>36132</v>
      </c>
      <c r="D25" s="238"/>
      <c r="E25" s="241"/>
      <c r="F25" s="239"/>
      <c r="G25" s="242" t="s">
        <v>1588</v>
      </c>
    </row>
    <row r="26" spans="1:7" s="214" customFormat="1">
      <c r="A26" s="780" t="s">
        <v>350</v>
      </c>
      <c r="B26" s="215" t="s">
        <v>1511</v>
      </c>
      <c r="C26" s="238">
        <f ca="1">ROUND(IF('数据-取费表'!B22&lt;=1,F21*F22*'数据-取费表'!B22/2,F21*(POWER((1+F22),'数据-取费表'!B22/2)-1)),4)</f>
        <v>1.6000000000000001E-3</v>
      </c>
      <c r="D26" s="238"/>
      <c r="E26" s="241"/>
      <c r="F26" s="239"/>
      <c r="G26" s="243"/>
    </row>
    <row r="27" spans="1:7" s="214" customFormat="1" ht="24.75">
      <c r="A27" s="255" t="s">
        <v>1512</v>
      </c>
      <c r="B27" s="244" t="s">
        <v>1513</v>
      </c>
      <c r="C27" s="245">
        <f ca="1">C28</f>
        <v>5888839</v>
      </c>
      <c r="D27" s="235">
        <f ca="1">C29</f>
        <v>6.3E-3</v>
      </c>
      <c r="E27" s="236" t="s">
        <v>1514</v>
      </c>
      <c r="F27" s="246">
        <f ca="1">IF(B1="",'数据-取费表'!Q16,INDIRECT("'数据-取费表'!q"&amp;$G$1))</f>
        <v>0.25</v>
      </c>
      <c r="G27" s="247" t="s">
        <v>1515</v>
      </c>
    </row>
    <row r="28" spans="1:7" s="214" customFormat="1" ht="13.5" customHeight="1">
      <c r="A28" s="780" t="s">
        <v>346</v>
      </c>
      <c r="B28" s="248" t="s">
        <v>1516</v>
      </c>
      <c r="C28" s="249">
        <f ca="1">ROUND((C5+C19+C20)*F27,0)</f>
        <v>5888839</v>
      </c>
      <c r="D28" s="235"/>
      <c r="E28" s="236"/>
      <c r="F28" s="246"/>
      <c r="G28" s="247"/>
    </row>
    <row r="29" spans="1:7" s="214" customFormat="1" ht="13.5" customHeight="1">
      <c r="A29" s="780" t="s">
        <v>347</v>
      </c>
      <c r="B29" s="248" t="s">
        <v>1517</v>
      </c>
      <c r="C29" s="238">
        <f ca="1">ROUND(C21*F27,4)</f>
        <v>6.3E-3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35523988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317422798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287260450</v>
      </c>
      <c r="D34" s="217"/>
      <c r="E34" s="220"/>
      <c r="F34" s="257"/>
      <c r="G34" s="219"/>
    </row>
    <row r="35" spans="1:7" ht="13.5" customHeight="1">
      <c r="A35" s="780" t="s">
        <v>351</v>
      </c>
      <c r="B35" s="215" t="s">
        <v>1527</v>
      </c>
      <c r="C35" s="220">
        <f ca="1">ROUND(C34*F35,0)</f>
        <v>14363023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11490418</v>
      </c>
      <c r="D37" s="217">
        <f ca="1">D19</f>
        <v>57452.09</v>
      </c>
      <c r="E37" s="249">
        <f>'数据-取费表'!B35</f>
        <v>200</v>
      </c>
      <c r="F37" s="259"/>
      <c r="G37" s="261"/>
    </row>
    <row r="38" spans="1:7" ht="13.5" customHeight="1">
      <c r="A38" s="780" t="s">
        <v>354</v>
      </c>
      <c r="B38" s="215" t="s">
        <v>1533</v>
      </c>
      <c r="C38" s="220">
        <f ca="1">ROUND(C34*F38,0)</f>
        <v>4308907</v>
      </c>
      <c r="D38" s="220"/>
      <c r="E38" s="220"/>
      <c r="F38" s="259">
        <f>'数据-取费表'!B36</f>
        <v>1.4999999999999999E-2</v>
      </c>
      <c r="G38" s="219" t="s">
        <v>1528</v>
      </c>
    </row>
    <row r="39" spans="1:7" s="214" customFormat="1" ht="13.5" customHeight="1">
      <c r="A39" s="255" t="s">
        <v>1534</v>
      </c>
      <c r="B39" s="210" t="s">
        <v>1535</v>
      </c>
      <c r="C39" s="232">
        <f ca="1">ROUND(C33*F20,0)</f>
        <v>7935570</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20462257</v>
      </c>
      <c r="D41" s="235">
        <f ca="1">C44</f>
        <v>1.6000000000000001E-3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19963178</v>
      </c>
      <c r="D42" s="238"/>
      <c r="E42" s="238"/>
      <c r="F42" s="239"/>
      <c r="G42" s="3738" t="s">
        <v>1591</v>
      </c>
    </row>
    <row r="43" spans="1:7" ht="13.5" customHeight="1">
      <c r="A43" s="780" t="s">
        <v>347</v>
      </c>
      <c r="B43" s="215" t="s">
        <v>1545</v>
      </c>
      <c r="C43" s="238">
        <f ca="1">ROUND(IF('数据-取费表'!B22&lt;=1,C39*F22*'数据-取费表'!B20/2,C39*(POWER((1+F22),'数据-取费表'!B20/2)-1)),0)</f>
        <v>499079</v>
      </c>
      <c r="D43" s="238"/>
      <c r="E43" s="238"/>
      <c r="F43" s="239"/>
      <c r="G43" s="3739"/>
    </row>
    <row r="44" spans="1:7" ht="13.5" customHeight="1">
      <c r="A44" s="780" t="s">
        <v>348</v>
      </c>
      <c r="B44" s="215" t="s">
        <v>1546</v>
      </c>
      <c r="C44" s="238">
        <f ca="1">ROUND(IF('数据-取费表'!B22&lt;=1,C40*F22*'数据-取费表'!B20/2,C40*(POWER((1+F22),'数据-取费表'!B20/2)-1)),4)</f>
        <v>1.6000000000000001E-3</v>
      </c>
      <c r="D44" s="238"/>
      <c r="E44" s="238"/>
      <c r="F44" s="239"/>
      <c r="G44" s="3740"/>
    </row>
    <row r="45" spans="1:7" s="214" customFormat="1" ht="13.5" customHeight="1">
      <c r="A45" s="255" t="s">
        <v>1547</v>
      </c>
      <c r="B45" s="244" t="s">
        <v>1513</v>
      </c>
      <c r="C45" s="245">
        <f ca="1">C46</f>
        <v>81339592</v>
      </c>
      <c r="D45" s="235">
        <f ca="1">C47</f>
        <v>6.3E-3</v>
      </c>
      <c r="E45" s="236" t="s">
        <v>1539</v>
      </c>
      <c r="F45" s="246">
        <f ca="1">F27</f>
        <v>0.25</v>
      </c>
      <c r="G45" s="247" t="s">
        <v>1548</v>
      </c>
    </row>
    <row r="46" spans="1:7" s="214" customFormat="1" ht="13.5" customHeight="1">
      <c r="A46" s="780" t="s">
        <v>346</v>
      </c>
      <c r="B46" s="248" t="s">
        <v>1549</v>
      </c>
      <c r="C46" s="249">
        <f ca="1">ROUND((C33+C39)*F27,0)</f>
        <v>81339592</v>
      </c>
      <c r="D46" s="263"/>
      <c r="E46" s="236"/>
      <c r="F46" s="246"/>
      <c r="G46" s="247"/>
    </row>
    <row r="47" spans="1:7" s="214" customFormat="1" ht="13.5" customHeight="1">
      <c r="A47" s="780" t="s">
        <v>347</v>
      </c>
      <c r="B47" s="248" t="s">
        <v>1550</v>
      </c>
      <c r="C47" s="238">
        <f ca="1">ROUND(C40*F27,4)</f>
        <v>6.3E-3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467454823</v>
      </c>
      <c r="D49" s="232"/>
      <c r="E49" s="232"/>
      <c r="F49" s="264"/>
      <c r="G49" s="234" t="s">
        <v>1554</v>
      </c>
    </row>
    <row r="50" spans="1:7" s="258" customFormat="1">
      <c r="A50" s="255" t="s">
        <v>1555</v>
      </c>
      <c r="B50" s="210" t="s">
        <v>1556</v>
      </c>
      <c r="C50" s="232"/>
      <c r="D50" s="232"/>
      <c r="E50" s="232"/>
      <c r="F50" s="264">
        <f>IF('数据-取费表'!B24=0,'数据-取费表'!N16,1)</f>
        <v>0.68</v>
      </c>
      <c r="G50" s="247"/>
    </row>
    <row r="51" spans="1:7" ht="16.5" customHeight="1">
      <c r="A51" s="255" t="s">
        <v>1558</v>
      </c>
      <c r="B51" s="210" t="s">
        <v>1593</v>
      </c>
      <c r="C51" s="232">
        <f ca="1">ROUND(C49*F50,0)</f>
        <v>317869280</v>
      </c>
      <c r="D51" s="232"/>
      <c r="E51" s="232"/>
      <c r="F51" s="264"/>
      <c r="G51" s="234" t="s">
        <v>1560</v>
      </c>
    </row>
    <row r="52" spans="1:7" s="208" customFormat="1" ht="16.5" thickBot="1">
      <c r="A52" s="265" t="s">
        <v>1561</v>
      </c>
      <c r="B52" s="266"/>
      <c r="C52" s="267">
        <f ca="1">C31+C51</f>
        <v>353393268</v>
      </c>
      <c r="D52" s="266"/>
      <c r="E52" s="266"/>
      <c r="F52" s="266"/>
      <c r="G52" s="268"/>
    </row>
    <row r="55" spans="1:7" ht="15">
      <c r="B55" s="270" t="s">
        <v>1562</v>
      </c>
      <c r="C55" s="271"/>
    </row>
    <row r="56" spans="1:7">
      <c r="B56" s="273" t="s">
        <v>802</v>
      </c>
      <c r="C56" s="275">
        <f ca="1">1-C57</f>
        <v>0.10099999999999998</v>
      </c>
    </row>
    <row r="57" spans="1:7">
      <c r="B57" s="273" t="s">
        <v>803</v>
      </c>
      <c r="C57" s="274">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57452.09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57452.09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0"/>
      <c r="H18" s="1187"/>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1149</v>
      </c>
      <c r="D20" s="846">
        <f ca="1">IF(C1="",'数据-汇总表'!E6,IF(INDIRECT("'数据-取费表'!c"&amp;$K$1)="住宅",INDIRECT("'数据-取费表'!s"&amp;$K$1),INDIRECT("'数据-取费表'!k"&amp;$K$1)+INDIRECT("'数据-取费表'!s"&amp;$K$1)))</f>
        <v>57452.09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2.5000000000000001E-2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115" zoomScaleNormal="80" zoomScaleSheetLayoutView="115" workbookViewId="0">
      <selection activeCell="D23" sqref="D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57452.09</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102277</v>
      </c>
      <c r="C2" s="1997" t="s">
        <v>1935</v>
      </c>
      <c r="D2" s="1998" t="s">
        <v>1936</v>
      </c>
      <c r="E2" s="3420" t="s">
        <v>673</v>
      </c>
      <c r="F2" s="1998" t="s">
        <v>1937</v>
      </c>
      <c r="G2" s="1999" t="str">
        <f>IF(E2="商业",项目基本情况!B37,IF(E2="办公",项目基本情况!C37,IF(E2="住宅",项目基本情况!D37,IF(E2="工业",项目基本情况!E37,项目基本情况!F37))))</f>
        <v>二级</v>
      </c>
      <c r="H2" s="1998" t="s">
        <v>1938</v>
      </c>
      <c r="I2" s="1999" t="str">
        <f>IF(E2="商业",项目基本情况!B38,IF(E2="办公",项目基本情况!C38,IF(E2="住宅",项目基本情况!D38,IF(E2="工业",项目基本情况!E38,项目基本情况!F38))))</f>
        <v>Ⅱ—03</v>
      </c>
      <c r="J2" s="2000"/>
      <c r="K2" s="1119"/>
      <c r="L2" s="2001" t="s">
        <v>1939</v>
      </c>
      <c r="M2" s="864">
        <f>SUMPRODUCT((区片价!B10:B29=I2)*(区片价!C3:G3=E2)*(区片价!C10:G29))</f>
        <v>29640</v>
      </c>
      <c r="N2" s="866">
        <f>SUMPRODUCT((因素修正幅度!B10:B29=I2)*(因素修正幅度!C3:G3=E2)*(因素修正幅度!C10:G29))</f>
        <v>5.2999999999999999E-2</v>
      </c>
      <c r="O2" s="1119"/>
      <c r="P2" s="1119"/>
      <c r="Q2" s="1119"/>
      <c r="R2" s="1212">
        <v>1</v>
      </c>
      <c r="S2" s="3359">
        <f>ROUND(SUMPRODUCT((B106:B110=R2)*(C105:N105=G2)*(C106:N110)),4)</f>
        <v>1.5206</v>
      </c>
      <c r="T2" s="3359">
        <f t="shared" ref="T2:T16" si="0">ROUND($C$5*$C$22*$C$23*$C$24*S2*$C$28,0)</f>
        <v>23768</v>
      </c>
      <c r="U2" s="1213">
        <f>面积!$F$27</f>
        <v>14491.34</v>
      </c>
      <c r="V2" s="3359">
        <f>ROUND(T2*U2/10000,0)</f>
        <v>34443</v>
      </c>
      <c r="W2" s="1216"/>
      <c r="X2" s="1216"/>
      <c r="Y2" s="1216"/>
      <c r="Z2" s="1216"/>
      <c r="AA2" s="1216"/>
      <c r="AB2" s="1216"/>
      <c r="AC2" s="1217"/>
      <c r="AD2" s="1218"/>
      <c r="AE2" s="1218"/>
      <c r="AF2" s="1218"/>
      <c r="AG2" s="1218"/>
      <c r="AH2" s="1218"/>
      <c r="AI2" s="1218"/>
      <c r="AJ2" s="1219"/>
    </row>
    <row r="3" spans="1:36" ht="15.75">
      <c r="A3" s="203" t="s">
        <v>1940</v>
      </c>
      <c r="B3" s="204">
        <f>ROUND(B2*10000/D1,0)</f>
        <v>17802</v>
      </c>
      <c r="C3" s="1997" t="s">
        <v>1941</v>
      </c>
      <c r="D3" s="1998" t="s">
        <v>1942</v>
      </c>
      <c r="E3" s="3418" t="s">
        <v>2442</v>
      </c>
      <c r="F3" s="2002" t="s">
        <v>4455</v>
      </c>
      <c r="G3" s="752">
        <f>IF(F3="宗地容积率",'数据-汇总表'!I4,IF(F3="估价对象容积率",'数据-汇总表'!I6,'数据-汇总表'!I7))</f>
        <v>4.5</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18869</v>
      </c>
      <c r="U3" s="1213">
        <f>面积!$F$28</f>
        <v>15666.119999999999</v>
      </c>
      <c r="V3" s="3359">
        <f t="shared" ref="V3:V16" si="1">ROUND(T3*U3/10000,0)</f>
        <v>29560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16304</v>
      </c>
      <c r="U4" s="1213">
        <f>面积!$F$29</f>
        <v>15682.990000000002</v>
      </c>
      <c r="V4" s="3359">
        <f t="shared" si="1"/>
        <v>25570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29640</v>
      </c>
      <c r="D5" s="1339">
        <f>ROUND(C6*C17+C20,0)</f>
        <v>29640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14754</v>
      </c>
      <c r="U5" s="1213"/>
      <c r="V5" s="3359">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29640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14061</v>
      </c>
      <c r="U6" s="1213"/>
      <c r="V6" s="3359">
        <f t="shared" si="1"/>
        <v>0</v>
      </c>
      <c r="W6" s="1216"/>
      <c r="X6" s="1216"/>
      <c r="Y6" s="1216"/>
      <c r="Z6" s="1216"/>
      <c r="AA6" s="1216"/>
      <c r="AB6" s="1216"/>
      <c r="AC6" s="2009"/>
      <c r="AD6" s="2010"/>
      <c r="AE6" s="2010"/>
      <c r="AF6" s="2010"/>
      <c r="AG6" s="2010"/>
      <c r="AH6" s="2010"/>
      <c r="AI6" s="2010"/>
      <c r="AJ6" s="2011"/>
    </row>
    <row r="7" spans="1:36" ht="24.75" thickBot="1">
      <c r="A7" s="3302" t="s">
        <v>3242</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二级</v>
      </c>
      <c r="Y7" s="1214" t="s">
        <v>1956</v>
      </c>
      <c r="Z7" s="1215">
        <f>G3</f>
        <v>4.5</v>
      </c>
      <c r="AA7" s="1216"/>
      <c r="AB7" s="1216"/>
      <c r="AC7" s="1217"/>
      <c r="AD7" s="1218"/>
      <c r="AE7" s="1218"/>
      <c r="AF7" s="1218"/>
      <c r="AG7" s="1218"/>
      <c r="AH7" s="1218"/>
      <c r="AI7" s="1218"/>
      <c r="AJ7" s="1219"/>
    </row>
    <row r="8" spans="1:36" ht="25.5">
      <c r="A8" s="3297"/>
      <c r="B8" s="170" t="s">
        <v>1957</v>
      </c>
      <c r="C8" s="2024" t="s">
        <v>3444</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47"/>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v>1</v>
      </c>
      <c r="D12" s="3305" t="s">
        <v>3245</v>
      </c>
      <c r="E12" s="3306" t="s">
        <v>3246</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3247</v>
      </c>
      <c r="B13" s="2032" t="s">
        <v>1982</v>
      </c>
      <c r="C13" s="755">
        <f>ROUND(C16*D16*E16*F16*G16*H16*I16*J16,4)</f>
        <v>0</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8" t="s">
        <v>1985</v>
      </c>
      <c r="C14" s="2039"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c r="D15" s="2042"/>
      <c r="E15" s="2043"/>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0.88249999999999995</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5" thickBot="1">
      <c r="A19" s="3333"/>
      <c r="B19" s="3334"/>
      <c r="C19" s="3335"/>
      <c r="D19" s="3335" t="s">
        <v>3254</v>
      </c>
      <c r="E19" s="3336"/>
      <c r="F19" s="3337" t="s">
        <v>3257</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4.25">
      <c r="A20" s="3752" t="s">
        <v>3259</v>
      </c>
      <c r="B20" s="167" t="s">
        <v>1994</v>
      </c>
      <c r="C20" s="3323">
        <f>ROUND(IF(F21="与级别开发程度一致",0,(G21-E21)/C21),0)</f>
        <v>0</v>
      </c>
      <c r="D20" s="3339" t="s">
        <v>1998</v>
      </c>
      <c r="E20" s="3340"/>
      <c r="F20" s="3758" t="s">
        <v>1995</v>
      </c>
      <c r="G20" s="3759"/>
      <c r="H20" s="3324"/>
      <c r="I20" s="3324"/>
      <c r="J20" s="3325"/>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6.25" thickBot="1">
      <c r="A21" s="3753"/>
      <c r="B21" s="2162" t="s">
        <v>1997</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3445</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2" t="s">
        <v>2002</v>
      </c>
      <c r="E23" s="761">
        <v>44197</v>
      </c>
      <c r="F23" s="2052" t="s">
        <v>2003</v>
      </c>
      <c r="G23" s="762">
        <f>'数据-取费表'!B2</f>
        <v>45040</v>
      </c>
      <c r="H23" s="3341" t="s">
        <v>3261</v>
      </c>
      <c r="I23" s="3342" t="str">
        <f>IF(H23="季度增幅（自定义）",SUMIF(N25:N28,E2,O25:O28),"")</f>
        <v/>
      </c>
      <c r="J23" s="3444" t="s">
        <v>3260</v>
      </c>
      <c r="K23" s="1125"/>
      <c r="L23" s="2053" t="s">
        <v>2004</v>
      </c>
      <c r="M23" s="1328">
        <f>ROUND(SUMIF(地价!B2:G2,E2,地价!B16:G16),0)</f>
        <v>350</v>
      </c>
      <c r="N23" s="2054"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0.51070000000000004</v>
      </c>
      <c r="D24" s="2058" t="s">
        <v>2007</v>
      </c>
      <c r="E24" s="1335">
        <f>存贷款利率!E22/100</f>
        <v>4.3499999999999997E-2</v>
      </c>
      <c r="F24" s="2058" t="s">
        <v>1999</v>
      </c>
      <c r="G24" s="768">
        <f>SUMIF(M30:Q30,E2,M33:Q33)</f>
        <v>5.5E-2</v>
      </c>
      <c r="H24" s="2058" t="s">
        <v>2008</v>
      </c>
      <c r="I24" s="769">
        <f>SUMIF('数据-取费表'!C6:C15,E2,'数据-取费表'!F6:F15)/COUNTIF('数据-取费表'!C6:C15,E2)</f>
        <v>11.19</v>
      </c>
      <c r="J24" s="770">
        <f>IF(E2="住宅",70,IF(E2="商业",40,50))</f>
        <v>40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3" t="s">
        <v>366</v>
      </c>
      <c r="B25" s="2064" t="s">
        <v>3443</v>
      </c>
      <c r="C25" s="771">
        <f>IF(B25="容积率修正",IF(G3&lt;10,D26,J26),C27)</f>
        <v>0</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43" t="s">
        <v>3262</v>
      </c>
      <c r="D26" s="1352">
        <f>IF(E26=G26,F26,IF(G3&lt;10,ROUND(F26+(H26-F26)*(G3-E26)/(G26-E26),4),"——"))</f>
        <v>0.97050000000000003</v>
      </c>
      <c r="E26" s="752">
        <f>ROUNDDOWN(G3,1)</f>
        <v>4.5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0.97050000000000003</v>
      </c>
      <c r="G26" s="752">
        <f>ROUNDUP(G3,1)</f>
        <v>4.5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0.97050000000000003</v>
      </c>
      <c r="I26" s="3343" t="s">
        <v>3263</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f>IF(B25="容积率修正",E33+SUM(E37:E42),SUM(V2:V16)+SUM(E37:E42))</f>
        <v>102277</v>
      </c>
      <c r="D30" s="2081"/>
      <c r="E30" s="2044"/>
      <c r="F30" s="2082"/>
      <c r="G30" s="2044"/>
      <c r="H30" s="2044"/>
      <c r="I30" s="2044"/>
      <c r="J30" s="2083"/>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3176</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0</v>
      </c>
      <c r="D33" s="2096">
        <f>U2+U3+U4</f>
        <v>45840.45</v>
      </c>
      <c r="E33" s="773">
        <f>ROUND(C33*D33/10000,0)</f>
        <v>0</v>
      </c>
      <c r="F33" s="3344" t="s">
        <v>3265</v>
      </c>
      <c r="G33" s="2097"/>
      <c r="H33" s="2097"/>
      <c r="I33" s="2097"/>
      <c r="J33" s="2098"/>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t="e">
        <f>ROUND(IF(E2="工业",C33*M42,IF(B25="楼层修正",SUM(V2:V16)*M41*10000/D34,C33*M41)),0)</f>
        <v>#DIV/0!</v>
      </c>
      <c r="D34" s="2101"/>
      <c r="E34" s="773">
        <f>ROUND(IF(B25="楼层修正",SUM(V2:V16)*M40,C34*D34/10000),0)</f>
        <v>0</v>
      </c>
      <c r="F34" s="2102" t="s">
        <v>2032</v>
      </c>
      <c r="G34" s="2103"/>
      <c r="H34" s="2103"/>
      <c r="I34" s="2103"/>
      <c r="J34" s="2104"/>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3266</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56"/>
      <c r="B37" s="2111" t="s">
        <v>2036</v>
      </c>
      <c r="C37" s="175">
        <f>ROUND(D5*C22*C23*C24*C28*F37,0)</f>
        <v>10941</v>
      </c>
      <c r="D37" s="2096">
        <f>面积!$F$26</f>
        <v>11611.64</v>
      </c>
      <c r="E37" s="171">
        <f>ROUND(C37*D37/10000,0)</f>
        <v>12704</v>
      </c>
      <c r="F37" s="171">
        <f>SUMIF(修正!A57:A68,G2,修正!B57:B68)</f>
        <v>0.7</v>
      </c>
      <c r="G37" s="171">
        <f>ROUND(IF(E2="工业",C37*$M$42,C37*$M$41),0)</f>
        <v>2735</v>
      </c>
      <c r="H37" s="171">
        <f>D37</f>
        <v>11611.64</v>
      </c>
      <c r="I37" s="171">
        <f>ROUND(G37*H37/10000,0)</f>
        <v>3176</v>
      </c>
      <c r="J37" s="3010"/>
      <c r="K37" s="3357" t="s">
        <v>3271</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57"/>
      <c r="B38" s="2039" t="s">
        <v>2037</v>
      </c>
      <c r="C38" s="175">
        <f>ROUND(D5*C22*C23*C24*C28*F38,0)</f>
        <v>6252</v>
      </c>
      <c r="D38" s="2096"/>
      <c r="E38" s="171">
        <f t="shared" ref="E38:E42" si="4">ROUND(C38*D38/10000,0)</f>
        <v>0</v>
      </c>
      <c r="F38" s="171">
        <f>SUMIF(修正!A57:A68,G2,修正!C57:C68)</f>
        <v>0.4</v>
      </c>
      <c r="G38" s="171">
        <f>ROUND(IF(E2="工业",C38*$M$42,C38*$M$41),0)</f>
        <v>1563</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7"/>
      <c r="B39" s="2039" t="s">
        <v>3264</v>
      </c>
      <c r="C39" s="175">
        <f>ROUND(D5*C22*C23*C24*C28*F39,0)</f>
        <v>4689</v>
      </c>
      <c r="D39" s="2096"/>
      <c r="E39" s="171">
        <f t="shared" si="4"/>
        <v>0</v>
      </c>
      <c r="F39" s="171">
        <f>SUMIF(修正!A57:A68,G2,修正!D57:D68)</f>
        <v>0.3</v>
      </c>
      <c r="G39" s="171">
        <f>ROUND(IF(E2="工业",C39*$M$42,C39*$M$41),0)</f>
        <v>1172</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4689</v>
      </c>
      <c r="D40" s="2096"/>
      <c r="E40" s="171">
        <f t="shared" si="4"/>
        <v>0</v>
      </c>
      <c r="F40" s="175">
        <f>SUMIF(修正!A57:A68,G2,修正!E57:E68)</f>
        <v>0.3</v>
      </c>
      <c r="G40" s="171">
        <f>ROUND(IF(E2="工业",C40*$M$42,C40*$M$41),0)</f>
        <v>1172</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3272</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0.2</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v>
      </c>
      <c r="D44" s="171" t="s">
        <v>1999</v>
      </c>
      <c r="E44" s="2151">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19"/>
      <c r="J47" s="1819"/>
      <c r="K47" s="1819"/>
      <c r="L47" s="1819"/>
      <c r="M47" s="1819"/>
      <c r="AA47" s="1120"/>
      <c r="AB47" s="1120"/>
      <c r="AC47" s="1120"/>
      <c r="AD47" s="1120"/>
      <c r="AE47" s="1120"/>
      <c r="AF47" s="1120"/>
      <c r="AG47" s="1120"/>
      <c r="AH47" s="1120"/>
      <c r="AI47" s="1120"/>
      <c r="AJ47" s="1120"/>
      <c r="AK47" s="1120"/>
    </row>
    <row r="48" spans="1:37" s="1119" customFormat="1" ht="15">
      <c r="A48" s="2124" t="s">
        <v>2043</v>
      </c>
      <c r="B48" s="2125">
        <f>1+E50</f>
        <v>1</v>
      </c>
      <c r="C48" s="2126"/>
      <c r="D48" s="741"/>
      <c r="E48" s="742"/>
      <c r="F48" s="2127"/>
      <c r="G48" s="3"/>
      <c r="H48" s="4"/>
      <c r="I48" s="1819"/>
      <c r="J48" s="1819"/>
      <c r="K48" s="1819"/>
      <c r="L48" s="1819"/>
      <c r="M48" s="1819"/>
      <c r="AA48" s="1120"/>
      <c r="AB48" s="1120"/>
      <c r="AC48" s="1120"/>
      <c r="AD48" s="1120"/>
      <c r="AE48" s="1120"/>
      <c r="AF48" s="1120"/>
      <c r="AG48" s="1120"/>
      <c r="AH48" s="1120"/>
      <c r="AI48" s="1120"/>
      <c r="AJ48" s="1120"/>
      <c r="AK48" s="1120"/>
    </row>
    <row r="49" spans="1:37" s="1119" customFormat="1" ht="24.75">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2">
        <f>IF(E2="商业",SUMIF(L1:L12,G2,N1:N12),"——")</f>
        <v>5.2999999999999999E-2</v>
      </c>
      <c r="G50" s="1063"/>
      <c r="H50" s="1066">
        <f t="shared" ref="H50:H58" si="8">IFERROR(ROUNDDOWN($F$50*I50/2,4),"——")</f>
        <v>7.9000000000000008E-3</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2053</v>
      </c>
      <c r="B51" s="2132" t="str">
        <f>估价对象房地状况!C18</f>
        <v>估价对象周边道路状况、公共交通通达情况、停车便捷程度，综合评价交通便捷度较好</v>
      </c>
      <c r="C51" s="2042"/>
      <c r="D51" s="1065">
        <f t="shared" si="7"/>
        <v>0</v>
      </c>
      <c r="E51" s="745"/>
      <c r="F51" s="1812"/>
      <c r="G51" s="1063"/>
      <c r="H51" s="1066">
        <f t="shared" si="8"/>
        <v>5.7999999999999996E-3</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3274</v>
      </c>
      <c r="B52" s="2132">
        <f>估价对象房地状况!C19</f>
        <v>0</v>
      </c>
      <c r="C52" s="2042"/>
      <c r="D52" s="1065">
        <f t="shared" si="7"/>
        <v>0</v>
      </c>
      <c r="E52" s="745"/>
      <c r="F52" s="1812"/>
      <c r="G52" s="1063"/>
      <c r="H52" s="1066">
        <f t="shared" si="8"/>
        <v>3.0999999999999999E-3</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2054</v>
      </c>
      <c r="B53" s="2133" t="s">
        <v>2055</v>
      </c>
      <c r="C53" s="2042"/>
      <c r="D53" s="1065">
        <f t="shared" si="7"/>
        <v>0</v>
      </c>
      <c r="E53" s="745"/>
      <c r="F53" s="1812"/>
      <c r="G53" s="1063"/>
      <c r="H53" s="1066">
        <f t="shared" si="8"/>
        <v>1.2999999999999999E-3</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c r="D54" s="1065">
        <f t="shared" si="7"/>
        <v>0</v>
      </c>
      <c r="E54" s="745"/>
      <c r="F54" s="1812"/>
      <c r="G54" s="1063"/>
      <c r="H54" s="1066">
        <f t="shared" si="8"/>
        <v>2.0999999999999999E-3</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2057</v>
      </c>
      <c r="B55" s="2134" t="s">
        <v>2058</v>
      </c>
      <c r="C55" s="2042"/>
      <c r="D55" s="1065">
        <f t="shared" si="7"/>
        <v>0</v>
      </c>
      <c r="E55" s="745"/>
      <c r="F55" s="1812"/>
      <c r="G55" s="1063"/>
      <c r="H55" s="1066">
        <f t="shared" si="8"/>
        <v>1.2999999999999999E-3</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2059</v>
      </c>
      <c r="B56" s="1326" t="str">
        <f>估价对象房地状况!C21</f>
        <v>估价对象所在区域公共配套设施齐备情况</v>
      </c>
      <c r="C56" s="2042"/>
      <c r="D56" s="1065">
        <f t="shared" si="7"/>
        <v>0</v>
      </c>
      <c r="E56" s="745"/>
      <c r="F56" s="1812"/>
      <c r="G56" s="1063"/>
      <c r="H56" s="1066">
        <f t="shared" si="8"/>
        <v>1.2999999999999999E-3</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2060</v>
      </c>
      <c r="B57" s="2132" t="str">
        <f>估价对象房地状况!C22</f>
        <v>估价对象所在区域基础设施水平</v>
      </c>
      <c r="C57" s="2042"/>
      <c r="D57" s="1065">
        <f t="shared" si="7"/>
        <v>0</v>
      </c>
      <c r="E57" s="745"/>
      <c r="F57" s="1812"/>
      <c r="G57" s="1063"/>
      <c r="H57" s="1066">
        <f t="shared" si="8"/>
        <v>2.0999999999999999E-3</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2061</v>
      </c>
      <c r="B58" s="2137" t="str">
        <f>估价对象房地状况!C20</f>
        <v>区域自然环境：；人文环境；综合评价环境状况一般</v>
      </c>
      <c r="C58" s="2042"/>
      <c r="D58" s="1065">
        <f t="shared" si="7"/>
        <v>0</v>
      </c>
      <c r="E58" s="746"/>
      <c r="F58" s="1812"/>
      <c r="G58" s="1063"/>
      <c r="H58" s="1066">
        <f t="shared" si="8"/>
        <v>1.2999999999999999E-3</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2"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2053</v>
      </c>
      <c r="B62" s="2132" t="str">
        <f>估价对象房地状况!C18</f>
        <v>估价对象周边道路状况、公共交通通达情况、停车便捷程度，综合评价交通便捷度较好</v>
      </c>
      <c r="C62" s="2042"/>
      <c r="D62" s="1065">
        <f t="shared" si="12"/>
        <v>0</v>
      </c>
      <c r="E62" s="745"/>
      <c r="F62" s="1812"/>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3274</v>
      </c>
      <c r="B63" s="2132">
        <f>估价对象房地状况!C19</f>
        <v>0</v>
      </c>
      <c r="C63" s="2042"/>
      <c r="D63" s="1065">
        <f t="shared" si="12"/>
        <v>0</v>
      </c>
      <c r="E63" s="745"/>
      <c r="F63" s="1812"/>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2054</v>
      </c>
      <c r="B64" s="2133" t="s">
        <v>2055</v>
      </c>
      <c r="C64" s="2042"/>
      <c r="D64" s="1065">
        <f t="shared" si="12"/>
        <v>0</v>
      </c>
      <c r="E64" s="745"/>
      <c r="F64" s="1812"/>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c r="D65" s="1065">
        <f t="shared" si="12"/>
        <v>0</v>
      </c>
      <c r="E65" s="745"/>
      <c r="F65" s="1812"/>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2057</v>
      </c>
      <c r="B66" s="2134" t="s">
        <v>2058</v>
      </c>
      <c r="C66" s="2042"/>
      <c r="D66" s="1065">
        <f t="shared" si="12"/>
        <v>0</v>
      </c>
      <c r="E66" s="745"/>
      <c r="F66" s="1812"/>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2059</v>
      </c>
      <c r="B67" s="1326" t="str">
        <f>估价对象房地状况!C21</f>
        <v>估价对象所在区域公共配套设施齐备情况</v>
      </c>
      <c r="C67" s="2042"/>
      <c r="D67" s="1065">
        <f t="shared" si="12"/>
        <v>0</v>
      </c>
      <c r="E67" s="745"/>
      <c r="F67" s="1812"/>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2060</v>
      </c>
      <c r="B68" s="1326" t="str">
        <f>估价对象房地状况!C22</f>
        <v>估价对象所在区域基础设施水平</v>
      </c>
      <c r="C68" s="2042"/>
      <c r="D68" s="1065">
        <f t="shared" si="12"/>
        <v>0</v>
      </c>
      <c r="E68" s="745"/>
      <c r="F68" s="1812"/>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2061</v>
      </c>
      <c r="B69" s="2138" t="str">
        <f>估价对象房地状况!C20</f>
        <v>区域自然环境：；人文环境；综合评价环境状况一般</v>
      </c>
      <c r="C69" s="2042"/>
      <c r="D69" s="1065">
        <f t="shared" si="12"/>
        <v>0</v>
      </c>
      <c r="E69" s="746"/>
      <c r="F69" s="1812"/>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8" t="s">
        <v>2066</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2"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2053</v>
      </c>
      <c r="B73" s="2132" t="str">
        <f>估价对象房地状况!C18</f>
        <v>估价对象周边道路状况、公共交通通达情况、停车便捷程度，综合评价交通便捷度较好</v>
      </c>
      <c r="C73" s="2042"/>
      <c r="D73" s="1065">
        <f t="shared" si="17"/>
        <v>0</v>
      </c>
      <c r="E73" s="747"/>
      <c r="F73" s="1812"/>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7" t="s">
        <v>3274</v>
      </c>
      <c r="B74" s="2132">
        <f>估价对象房地状况!C19</f>
        <v>0</v>
      </c>
      <c r="C74" s="2042"/>
      <c r="D74" s="1065">
        <f t="shared" si="17"/>
        <v>0</v>
      </c>
      <c r="E74" s="747"/>
      <c r="F74" s="1812"/>
      <c r="G74" s="1063"/>
      <c r="H74" s="1066" t="str">
        <f t="shared" si="18"/>
        <v>——</v>
      </c>
      <c r="I74" s="3365">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c r="D75" s="1065">
        <f t="shared" si="17"/>
        <v>0</v>
      </c>
      <c r="E75" s="747"/>
      <c r="F75" s="1812"/>
      <c r="G75" s="1063"/>
      <c r="H75" s="1066" t="str">
        <f t="shared" si="18"/>
        <v>——</v>
      </c>
      <c r="I75" s="3365">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2059</v>
      </c>
      <c r="B76" s="1326" t="str">
        <f>估价对象房地状况!C21</f>
        <v>估价对象所在区域公共配套设施齐备情况</v>
      </c>
      <c r="C76" s="2042"/>
      <c r="D76" s="1065">
        <f t="shared" si="17"/>
        <v>0</v>
      </c>
      <c r="E76" s="747"/>
      <c r="F76" s="1812"/>
      <c r="G76" s="1063"/>
      <c r="H76" s="1066" t="str">
        <f t="shared" si="18"/>
        <v>——</v>
      </c>
      <c r="I76" s="3365">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2060</v>
      </c>
      <c r="B77" s="1326" t="str">
        <f>估价对象房地状况!C22</f>
        <v>估价对象所在区域基础设施水平</v>
      </c>
      <c r="C77" s="2042"/>
      <c r="D77" s="1065">
        <f t="shared" si="17"/>
        <v>0</v>
      </c>
      <c r="E77" s="747"/>
      <c r="F77" s="1812"/>
      <c r="G77" s="1063"/>
      <c r="H77" s="1066" t="str">
        <f t="shared" si="18"/>
        <v>——</v>
      </c>
      <c r="I77" s="3365">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2057</v>
      </c>
      <c r="B78" s="2134" t="s">
        <v>2058</v>
      </c>
      <c r="C78" s="2042"/>
      <c r="D78" s="1065">
        <f t="shared" si="17"/>
        <v>0</v>
      </c>
      <c r="E78" s="747"/>
      <c r="F78" s="1812"/>
      <c r="G78" s="1063"/>
      <c r="H78" s="1066" t="str">
        <f t="shared" si="18"/>
        <v>——</v>
      </c>
      <c r="I78" s="3365">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2061</v>
      </c>
      <c r="B79" s="2131" t="str">
        <f>估价对象房地状况!C20</f>
        <v>区域自然环境：；人文环境；综合评价环境状况一般</v>
      </c>
      <c r="C79" s="2042"/>
      <c r="D79" s="1065">
        <f t="shared" si="17"/>
        <v>0</v>
      </c>
      <c r="E79" s="747"/>
      <c r="F79" s="1812"/>
      <c r="G79" s="1063"/>
      <c r="H79" s="1066" t="str">
        <f t="shared" si="18"/>
        <v>——</v>
      </c>
      <c r="I79" s="3365">
        <v>0.12</v>
      </c>
      <c r="J79" s="1064">
        <f t="shared" si="19"/>
        <v>0</v>
      </c>
      <c r="K79" s="1064">
        <f t="shared" si="20"/>
        <v>0</v>
      </c>
      <c r="L79" s="1064">
        <v>0</v>
      </c>
      <c r="M79" s="1064">
        <f t="shared" si="21"/>
        <v>0</v>
      </c>
      <c r="N79" s="1064">
        <f t="shared" si="21"/>
        <v>0</v>
      </c>
      <c r="Z79" s="1996"/>
      <c r="AA79" s="2051"/>
      <c r="AG79" s="1121"/>
      <c r="AK79" s="2051"/>
    </row>
    <row r="80" spans="1:37" ht="24.75" thickBot="1">
      <c r="A80" s="2136" t="s">
        <v>2068</v>
      </c>
      <c r="B80" s="2140"/>
      <c r="C80" s="2042"/>
      <c r="D80" s="1065">
        <f t="shared" si="17"/>
        <v>0</v>
      </c>
      <c r="E80" s="748"/>
      <c r="F80" s="1812"/>
      <c r="G80" s="1063"/>
      <c r="H80" s="1066" t="str">
        <f t="shared" si="18"/>
        <v>——</v>
      </c>
      <c r="I80" s="3366">
        <v>0.05</v>
      </c>
      <c r="J80" s="1064">
        <f t="shared" si="19"/>
        <v>0</v>
      </c>
      <c r="K80" s="1064">
        <f t="shared" si="20"/>
        <v>0</v>
      </c>
      <c r="L80" s="1064">
        <v>0</v>
      </c>
      <c r="M80" s="1064">
        <f t="shared" si="21"/>
        <v>0</v>
      </c>
      <c r="N80" s="1064">
        <f t="shared" si="21"/>
        <v>0</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2"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2"/>
      <c r="G84" s="1063"/>
      <c r="H84" s="1066" t="str">
        <f t="shared" si="23"/>
        <v>——</v>
      </c>
      <c r="I84" s="3365">
        <v>0.3</v>
      </c>
      <c r="J84" s="1064">
        <f t="shared" si="24"/>
        <v>0</v>
      </c>
      <c r="K84" s="1064">
        <f t="shared" si="25"/>
        <v>0</v>
      </c>
      <c r="L84" s="1064">
        <v>0</v>
      </c>
      <c r="M84" s="1064">
        <f t="shared" si="26"/>
        <v>0</v>
      </c>
      <c r="N84" s="1064">
        <f t="shared" si="26"/>
        <v>0</v>
      </c>
      <c r="Z84" s="1996"/>
      <c r="AA84" s="2051"/>
      <c r="AG84" s="1121"/>
      <c r="AK84" s="2051"/>
    </row>
    <row r="85" spans="1:37" ht="36">
      <c r="A85" s="3367" t="s">
        <v>3275</v>
      </c>
      <c r="B85" s="2132">
        <f>估价对象房地状况!G17</f>
        <v>0</v>
      </c>
      <c r="C85" s="2042"/>
      <c r="D85" s="1065">
        <f t="shared" si="22"/>
        <v>0</v>
      </c>
      <c r="E85" s="747"/>
      <c r="F85" s="1812"/>
      <c r="G85" s="1063"/>
      <c r="H85" s="1066" t="str">
        <f t="shared" si="23"/>
        <v>——</v>
      </c>
      <c r="I85" s="3365">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2"/>
      <c r="G86" s="1063"/>
      <c r="H86" s="1066" t="str">
        <f t="shared" si="23"/>
        <v>——</v>
      </c>
      <c r="I86" s="3365">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6" t="str">
        <f>估价对象房地状况!G19</f>
        <v>估价对象所在区域公共配套设施齐备情况</v>
      </c>
      <c r="C87" s="2042"/>
      <c r="D87" s="1065">
        <f t="shared" si="22"/>
        <v>0</v>
      </c>
      <c r="E87" s="747"/>
      <c r="F87" s="1812"/>
      <c r="G87" s="1063"/>
      <c r="H87" s="1066" t="str">
        <f t="shared" si="23"/>
        <v>——</v>
      </c>
      <c r="I87" s="3365">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2"/>
      <c r="D88" s="1065">
        <f t="shared" si="22"/>
        <v>0</v>
      </c>
      <c r="E88" s="747"/>
      <c r="F88" s="1812"/>
      <c r="G88" s="1063"/>
      <c r="H88" s="1066" t="str">
        <f t="shared" si="23"/>
        <v>——</v>
      </c>
      <c r="I88" s="3365">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2"/>
      <c r="G89" s="1063"/>
      <c r="H89" s="1066" t="str">
        <f t="shared" si="23"/>
        <v>——</v>
      </c>
      <c r="I89" s="3365">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2"/>
      <c r="G90" s="1063"/>
      <c r="H90" s="1066" t="str">
        <f t="shared" si="23"/>
        <v>——</v>
      </c>
      <c r="I90" s="3366">
        <v>0.05</v>
      </c>
      <c r="J90" s="1064">
        <f t="shared" si="24"/>
        <v>0</v>
      </c>
      <c r="K90" s="1064">
        <f t="shared" si="25"/>
        <v>0</v>
      </c>
      <c r="L90" s="1064">
        <v>0</v>
      </c>
      <c r="M90" s="1064">
        <f t="shared" si="26"/>
        <v>0</v>
      </c>
      <c r="N90" s="1064">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4" t="s">
        <v>3299</v>
      </c>
      <c r="B103" s="3754"/>
      <c r="C103" s="3754"/>
      <c r="D103" s="3754"/>
      <c r="E103" s="3754"/>
      <c r="F103" s="3754"/>
      <c r="G103" s="3754"/>
      <c r="H103" s="3754"/>
      <c r="I103" s="3754"/>
      <c r="J103" s="3754"/>
      <c r="K103" s="3388"/>
      <c r="L103" s="3388"/>
      <c r="M103" s="3388"/>
      <c r="N103" s="3388"/>
    </row>
    <row r="104" spans="1:14">
      <c r="A104" s="3755" t="s">
        <v>3300</v>
      </c>
      <c r="B104" s="3755" t="s">
        <v>3301</v>
      </c>
      <c r="C104" s="3389" t="s">
        <v>3302</v>
      </c>
      <c r="D104" s="3390"/>
      <c r="E104" s="3390"/>
      <c r="F104" s="3390"/>
      <c r="G104" s="3390"/>
      <c r="H104" s="3390"/>
      <c r="I104" s="3390"/>
      <c r="J104" s="3391"/>
      <c r="K104" s="3392"/>
      <c r="L104" s="3392"/>
      <c r="M104" s="3392"/>
      <c r="N104" s="3392"/>
    </row>
    <row r="105" spans="1:14">
      <c r="A105" s="3755"/>
      <c r="B105" s="3755"/>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41"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2"/>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4" t="s">
        <v>3316</v>
      </c>
      <c r="B113" s="3744"/>
      <c r="C113" s="3744"/>
      <c r="D113" s="3744"/>
      <c r="E113" s="3744"/>
      <c r="F113" s="3744"/>
      <c r="G113" s="3744"/>
      <c r="H113" s="3744"/>
      <c r="I113" s="3744"/>
      <c r="J113" s="374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4.5</v>
      </c>
      <c r="C116" s="3398" t="s">
        <v>3318</v>
      </c>
      <c r="D116" s="3399">
        <f>SUMPRODUCT((A118:A122=F116)*(B117:M117=H116)*B118:M122)</f>
        <v>0.94730000000000003</v>
      </c>
      <c r="E116" s="1998" t="s">
        <v>3319</v>
      </c>
      <c r="F116" s="3400" t="str">
        <f>E2</f>
        <v>商业</v>
      </c>
      <c r="G116" s="1998" t="s">
        <v>3320</v>
      </c>
      <c r="H116" s="3400" t="str">
        <f>G2</f>
        <v>二级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0.94730000000000003</v>
      </c>
      <c r="C118" s="3386">
        <f>B118</f>
        <v>0.94730000000000003</v>
      </c>
      <c r="D118" s="3386">
        <f>ROUND(0.949-0.014*B116,4)</f>
        <v>0.88600000000000001</v>
      </c>
      <c r="E118" s="3386">
        <f>D118</f>
        <v>0.88600000000000001</v>
      </c>
      <c r="F118" s="3386">
        <f>E118</f>
        <v>0.88600000000000001</v>
      </c>
      <c r="G118" s="3386">
        <f>F118</f>
        <v>0.88600000000000001</v>
      </c>
      <c r="H118" s="3386">
        <f>G118</f>
        <v>0.88600000000000001</v>
      </c>
      <c r="I118" s="3386">
        <f>ROUND(0.8486-0.018*B116,4)</f>
        <v>0.76759999999999995</v>
      </c>
      <c r="J118" s="3386">
        <f t="shared" ref="J118:M122" si="35">I118</f>
        <v>0.76759999999999995</v>
      </c>
      <c r="K118" s="3386">
        <f t="shared" si="35"/>
        <v>0.76759999999999995</v>
      </c>
      <c r="L118" s="3386">
        <f t="shared" si="35"/>
        <v>0.76759999999999995</v>
      </c>
      <c r="M118" s="3409">
        <f t="shared" si="35"/>
        <v>0.76759999999999995</v>
      </c>
      <c r="N118" s="3396"/>
    </row>
    <row r="119" spans="1:14">
      <c r="A119" s="3408" t="s">
        <v>3334</v>
      </c>
      <c r="B119" s="3386">
        <f>ROUND(0.993-0.0112*B116,4)</f>
        <v>0.94259999999999999</v>
      </c>
      <c r="C119" s="3386">
        <f>B119</f>
        <v>0.94259999999999999</v>
      </c>
      <c r="D119" s="3386">
        <f>ROUND(0.9415-0.0142*B116,4)</f>
        <v>0.87760000000000005</v>
      </c>
      <c r="E119" s="3386">
        <f t="shared" ref="E119:H120" si="36">D119</f>
        <v>0.87760000000000005</v>
      </c>
      <c r="F119" s="3386">
        <f t="shared" si="36"/>
        <v>0.87760000000000005</v>
      </c>
      <c r="G119" s="3386">
        <f t="shared" si="36"/>
        <v>0.87760000000000005</v>
      </c>
      <c r="H119" s="3386">
        <f t="shared" si="36"/>
        <v>0.87760000000000005</v>
      </c>
      <c r="I119" s="3386">
        <f>ROUND(0.838-0.0182*B116,4)</f>
        <v>0.75609999999999999</v>
      </c>
      <c r="J119" s="3386">
        <f t="shared" si="35"/>
        <v>0.75609999999999999</v>
      </c>
      <c r="K119" s="3386">
        <f t="shared" si="35"/>
        <v>0.75609999999999999</v>
      </c>
      <c r="L119" s="3386">
        <f t="shared" si="35"/>
        <v>0.75609999999999999</v>
      </c>
      <c r="M119" s="3409">
        <f t="shared" si="35"/>
        <v>0.75609999999999999</v>
      </c>
      <c r="N119" s="3396"/>
    </row>
    <row r="120" spans="1:14">
      <c r="A120" s="3408" t="s">
        <v>3335</v>
      </c>
      <c r="B120" s="3386">
        <f>ROUND(0.9448-0.0115*B116,4)</f>
        <v>0.8931</v>
      </c>
      <c r="C120" s="3386">
        <f>B120</f>
        <v>0.8931</v>
      </c>
      <c r="D120" s="3386">
        <f>ROUND(0.937-0.0145*B116,4)</f>
        <v>0.87180000000000002</v>
      </c>
      <c r="E120" s="3386">
        <f t="shared" si="36"/>
        <v>0.87180000000000002</v>
      </c>
      <c r="F120" s="3386">
        <f t="shared" si="36"/>
        <v>0.87180000000000002</v>
      </c>
      <c r="G120" s="3386">
        <f t="shared" si="36"/>
        <v>0.87180000000000002</v>
      </c>
      <c r="H120" s="3386">
        <f t="shared" si="36"/>
        <v>0.87180000000000002</v>
      </c>
      <c r="I120" s="3386">
        <f>ROUND(0.7965-0.0185*B116,4)</f>
        <v>0.71330000000000005</v>
      </c>
      <c r="J120" s="3386">
        <f t="shared" si="35"/>
        <v>0.71330000000000005</v>
      </c>
      <c r="K120" s="3386">
        <f t="shared" si="35"/>
        <v>0.71330000000000005</v>
      </c>
      <c r="L120" s="3386">
        <f t="shared" si="35"/>
        <v>0.71330000000000005</v>
      </c>
      <c r="M120" s="3409">
        <f t="shared" si="35"/>
        <v>0.71330000000000005</v>
      </c>
      <c r="N120" s="3396"/>
    </row>
    <row r="121" spans="1:14" ht="13.5" thickBot="1">
      <c r="A121" s="3410" t="s">
        <v>3336</v>
      </c>
      <c r="B121" s="3411">
        <f>ROUND(0.7836-0.012*B116,4)</f>
        <v>0.72960000000000003</v>
      </c>
      <c r="C121" s="3411">
        <f>B121</f>
        <v>0.72960000000000003</v>
      </c>
      <c r="D121" s="3411">
        <f>ROUND(0.753-0.015*B116,4)</f>
        <v>0.6855</v>
      </c>
      <c r="E121" s="3411">
        <f>D121</f>
        <v>0.6855</v>
      </c>
      <c r="F121" s="3411">
        <f>E121</f>
        <v>0.6855</v>
      </c>
      <c r="G121" s="3411">
        <f>ROUND(0.6612-0.018*B116,4)</f>
        <v>0.58020000000000005</v>
      </c>
      <c r="H121" s="3411">
        <f>G121</f>
        <v>0.58020000000000005</v>
      </c>
      <c r="I121" s="3411">
        <f>ROUND(0.5905-0.019*B116,4)</f>
        <v>0.505</v>
      </c>
      <c r="J121" s="3411">
        <f t="shared" si="35"/>
        <v>0.505</v>
      </c>
      <c r="K121" s="3411">
        <f t="shared" si="35"/>
        <v>0.505</v>
      </c>
      <c r="L121" s="3411">
        <f t="shared" si="35"/>
        <v>0.505</v>
      </c>
      <c r="M121" s="3412">
        <f t="shared" si="35"/>
        <v>0.505</v>
      </c>
      <c r="N121" s="3396"/>
    </row>
    <row r="122" spans="1:14">
      <c r="A122" s="3413" t="s">
        <v>2615</v>
      </c>
      <c r="B122" s="3386">
        <f>ROUND(0.9404-0.0106*B116,4)</f>
        <v>0.89270000000000005</v>
      </c>
      <c r="C122" s="3386">
        <f>B122</f>
        <v>0.89270000000000005</v>
      </c>
      <c r="D122" s="3386">
        <f>ROUND(0.8955-0.0135*B116,4)</f>
        <v>0.83479999999999999</v>
      </c>
      <c r="E122" s="3386">
        <f t="shared" ref="E122:H122" si="37">D122</f>
        <v>0.83479999999999999</v>
      </c>
      <c r="F122" s="3386">
        <f t="shared" si="37"/>
        <v>0.83479999999999999</v>
      </c>
      <c r="G122" s="3386">
        <f t="shared" si="37"/>
        <v>0.83479999999999999</v>
      </c>
      <c r="H122" s="3386">
        <f t="shared" si="37"/>
        <v>0.83479999999999999</v>
      </c>
      <c r="I122" s="3386">
        <f>ROUND(0.7632-0.0166*B116,4)</f>
        <v>0.6885</v>
      </c>
      <c r="J122" s="3386">
        <f t="shared" si="35"/>
        <v>0.6885</v>
      </c>
      <c r="K122" s="3386">
        <f t="shared" si="35"/>
        <v>0.6885</v>
      </c>
      <c r="L122" s="3386">
        <f t="shared" si="35"/>
        <v>0.6885</v>
      </c>
      <c r="M122" s="3409">
        <f t="shared" si="35"/>
        <v>0.6885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11.19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114543</v>
      </c>
      <c r="C2" s="1387" t="s">
        <v>805</v>
      </c>
      <c r="D2" s="1387"/>
      <c r="E2" s="1388"/>
      <c r="F2" s="1389"/>
      <c r="G2" s="2704"/>
      <c r="H2" s="2693"/>
      <c r="I2" s="2693"/>
      <c r="J2" s="2693"/>
      <c r="K2" s="2694"/>
      <c r="L2" s="2693"/>
      <c r="M2" s="2693"/>
    </row>
    <row r="3" spans="1:37" ht="18" customHeight="1" thickBot="1">
      <c r="A3" s="1390" t="s">
        <v>806</v>
      </c>
      <c r="B3" s="1391">
        <f ca="1">IF(ISERROR(B2*10000/F43),0,ROUND(B2*10000/F43,0))</f>
        <v>19937</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14343</v>
      </c>
      <c r="D5" s="1364" t="s">
        <v>693</v>
      </c>
      <c r="E5" s="1071"/>
      <c r="F5" s="1072"/>
      <c r="G5" s="1384"/>
      <c r="H5" s="299">
        <v>1</v>
      </c>
      <c r="I5" s="300" t="s">
        <v>692</v>
      </c>
      <c r="J5" s="1070">
        <f ca="1">J6+J10+J12</f>
        <v>0</v>
      </c>
      <c r="K5" s="1364" t="s">
        <v>693</v>
      </c>
      <c r="L5" s="1071"/>
      <c r="M5" s="1072"/>
    </row>
    <row r="6" spans="1:37" ht="18" customHeight="1">
      <c r="A6" s="1069" t="s">
        <v>398</v>
      </c>
      <c r="B6" s="3762" t="s">
        <v>694</v>
      </c>
      <c r="C6" s="1074">
        <f ca="1">ROUND(F6*F8*F7*(1-F9)/10000,0)</f>
        <v>14343</v>
      </c>
      <c r="D6" s="155" t="s">
        <v>2109</v>
      </c>
      <c r="E6" s="302" t="s">
        <v>696</v>
      </c>
      <c r="F6" s="303">
        <f ca="1">INDIRECT("'数据-取费表'!u"&amp;$G$1)</f>
        <v>7.2</v>
      </c>
      <c r="G6" s="1384"/>
      <c r="H6" s="1069" t="s">
        <v>398</v>
      </c>
      <c r="I6" s="3762" t="s">
        <v>694</v>
      </c>
      <c r="J6" s="301">
        <f ca="1">ROUND(M6*M8*M7*(1-M9)/10000,0)</f>
        <v>0</v>
      </c>
      <c r="K6" s="155" t="s">
        <v>2108</v>
      </c>
      <c r="L6" s="302" t="s">
        <v>696</v>
      </c>
      <c r="M6" s="303">
        <f ca="1">INDIRECT("'数据-取费表'!z"&amp;$G$1)</f>
        <v>0</v>
      </c>
    </row>
    <row r="7" spans="1:37" ht="18" customHeight="1">
      <c r="A7" s="1073"/>
      <c r="B7" s="3763"/>
      <c r="C7" s="1075"/>
      <c r="D7" s="307"/>
      <c r="E7" s="1076" t="s">
        <v>697</v>
      </c>
      <c r="F7" s="303">
        <f ca="1">IF(INDIRECT("'数据-取费表'!ah"&amp;$G$1)="",INDIRECT("'数据-取费表'!k"&amp;$G$1),INDIRECT("'数据-取费表'!ah"&amp;$G$1))</f>
        <v>57452.09</v>
      </c>
      <c r="G7" s="1384"/>
      <c r="H7" s="304"/>
      <c r="I7" s="3763"/>
      <c r="J7" s="306"/>
      <c r="K7" s="307"/>
      <c r="L7" s="302" t="s">
        <v>697</v>
      </c>
      <c r="M7" s="303">
        <f ca="1">F7</f>
        <v>57452.09</v>
      </c>
    </row>
    <row r="8" spans="1:37" ht="18" customHeight="1">
      <c r="A8" s="304"/>
      <c r="B8" s="3763"/>
      <c r="C8" s="306"/>
      <c r="D8" s="307"/>
      <c r="E8" s="302" t="s">
        <v>698</v>
      </c>
      <c r="F8" s="303">
        <f ca="1">INDIRECT("'数据-取费表'!ai"&amp;$G$1)</f>
        <v>365</v>
      </c>
      <c r="G8" s="1384"/>
      <c r="H8" s="304"/>
      <c r="I8" s="3763"/>
      <c r="J8" s="306"/>
      <c r="K8" s="307"/>
      <c r="L8" s="302" t="s">
        <v>698</v>
      </c>
      <c r="M8" s="303">
        <f ca="1">INDIRECT("'数据-取费表'!ai"&amp;$G$1)</f>
        <v>365</v>
      </c>
    </row>
    <row r="9" spans="1:37" ht="18" customHeight="1">
      <c r="A9" s="304"/>
      <c r="B9" s="3764"/>
      <c r="C9" s="306"/>
      <c r="D9" s="307"/>
      <c r="E9" s="302" t="s">
        <v>699</v>
      </c>
      <c r="F9" s="312">
        <f ca="1">INDIRECT("'数据-取费表'!w"&amp;$G$1)</f>
        <v>0.05</v>
      </c>
      <c r="G9" s="1384"/>
      <c r="H9" s="304"/>
      <c r="I9" s="376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31787</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28726</v>
      </c>
      <c r="D14" s="1345" t="s">
        <v>708</v>
      </c>
      <c r="E14" s="1342"/>
      <c r="F14" s="319"/>
      <c r="G14" s="1384"/>
      <c r="H14" s="982" t="s">
        <v>398</v>
      </c>
      <c r="I14" s="302" t="s">
        <v>709</v>
      </c>
      <c r="J14" s="21">
        <f ca="1">C29</f>
        <v>46745</v>
      </c>
      <c r="K14" s="12"/>
      <c r="L14" s="807"/>
      <c r="M14" s="808"/>
    </row>
    <row r="15" spans="1:37" s="1397" customFormat="1" ht="18" customHeight="1" thickBot="1">
      <c r="A15" s="982" t="s">
        <v>399</v>
      </c>
      <c r="B15" s="302" t="s">
        <v>710</v>
      </c>
      <c r="C15" s="21">
        <f ca="1">ROUND(C14*F15,0)</f>
        <v>1436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701</v>
      </c>
      <c r="K16" s="1087" t="s">
        <v>715</v>
      </c>
      <c r="L16" s="1088"/>
      <c r="M16" s="1072"/>
    </row>
    <row r="17" spans="1:37" s="1397" customFormat="1" ht="18" customHeight="1">
      <c r="A17" s="982" t="s">
        <v>681</v>
      </c>
      <c r="B17" s="302" t="s">
        <v>716</v>
      </c>
      <c r="C17" s="21">
        <f ca="1">ROUND(F17*(F43+INDIRECT("'数据-取费表'!S"&amp;$G$1))/10000,0)</f>
        <v>1149</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431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31742</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794</v>
      </c>
      <c r="D20" s="323" t="s">
        <v>729</v>
      </c>
      <c r="E20" s="302" t="s">
        <v>712</v>
      </c>
      <c r="F20" s="322">
        <f>'数据-取费表'!B37</f>
        <v>2.5000000000000001E-2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2.5000000000000001E-2</v>
      </c>
      <c r="G21" s="1396"/>
      <c r="H21" s="326"/>
      <c r="I21" s="311"/>
      <c r="J21" s="26"/>
      <c r="K21" s="327"/>
      <c r="L21" s="302" t="s">
        <v>736</v>
      </c>
      <c r="M21" s="303">
        <f ca="1">INDIRECT("'数据-取费表'!r"&amp;$G$1)</f>
        <v>10178.42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701.18</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2046</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-701</v>
      </c>
      <c r="K25" s="1095" t="s">
        <v>753</v>
      </c>
      <c r="L25" s="1096"/>
      <c r="M25" s="1097"/>
    </row>
    <row r="26" spans="1:37">
      <c r="A26" s="982" t="s">
        <v>397</v>
      </c>
      <c r="B26" s="302" t="s">
        <v>754</v>
      </c>
      <c r="C26" s="21">
        <f ca="1">ROUND((C19+C20)*F26,0)</f>
        <v>8134</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6.3E-3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46745</v>
      </c>
      <c r="D29" s="1092"/>
      <c r="E29" s="1090"/>
      <c r="F29" s="1093"/>
      <c r="G29" s="1396"/>
      <c r="H29" s="334" t="s">
        <v>396</v>
      </c>
      <c r="I29" s="335" t="s">
        <v>768</v>
      </c>
      <c r="J29" s="336">
        <f ca="1">ROUND(J26/(1+F40)^F41,0)</f>
        <v>0</v>
      </c>
      <c r="K29" s="337" t="s">
        <v>769</v>
      </c>
      <c r="L29" s="338"/>
      <c r="M29" s="339">
        <f ca="1">INDIRECT("'数据-取费表'!k"&amp;$G$1)</f>
        <v>57452.09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3456</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2404.16</v>
      </c>
      <c r="D31" s="1345" t="s">
        <v>720</v>
      </c>
      <c r="E31" s="1344" t="s">
        <v>770</v>
      </c>
      <c r="F31" s="2313">
        <f ca="1">IF(项目基本情况!B11="企业","——",IF(M47="住宅",IF(F6*F7*F8/12/(1+'数据-取费表'!F30)&gt;100000,4%,2.5%),IF(F6*F7*F8/12/(1+'数据-取费表'!F30)&gt;100000,12%,7%)))</f>
        <v>0.12</v>
      </c>
      <c r="G31" s="1384"/>
      <c r="H31" s="2806" t="s">
        <v>2310</v>
      </c>
      <c r="I31" s="1398"/>
      <c r="J31" s="1399"/>
      <c r="K31" s="2473"/>
      <c r="L31" s="2696"/>
      <c r="M31" s="2697"/>
    </row>
    <row r="32" spans="1:37" ht="18" customHeight="1">
      <c r="A32" s="982" t="s">
        <v>397</v>
      </c>
      <c r="B32" s="302" t="s">
        <v>723</v>
      </c>
      <c r="C32" s="21">
        <f ca="1">IF(项目基本情况!B11="自然人","——",ROUND(C6*F32/(1+'数据-取费表'!C42),2))</f>
        <v>764.96</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1639.2</v>
      </c>
      <c r="D33" s="1370" t="s">
        <v>3340</v>
      </c>
      <c r="E33" s="302" t="s">
        <v>712</v>
      </c>
      <c r="F33" s="322">
        <f>IF(D33="按票据","——",IF(D33="按租金收入计税",'数据-取费表'!B51,'数据-取费表'!B50))</f>
        <v>0.12</v>
      </c>
      <c r="G33" s="1384"/>
      <c r="H33" s="2698">
        <f ca="1">C39/C6</f>
        <v>0.7590462246391968</v>
      </c>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10178.42</v>
      </c>
      <c r="G35" s="1384"/>
      <c r="H35" s="2695"/>
      <c r="I35" s="1398"/>
      <c r="J35" s="1399"/>
      <c r="K35" s="2699"/>
      <c r="L35" s="2698"/>
      <c r="M35" s="2698"/>
    </row>
    <row r="36" spans="1:18" ht="18" customHeight="1">
      <c r="A36" s="1102" t="s">
        <v>402</v>
      </c>
      <c r="B36" s="302" t="s">
        <v>738</v>
      </c>
      <c r="C36" s="21">
        <f ca="1">ROUND(C29*F36,2)</f>
        <v>701.18</v>
      </c>
      <c r="D36" s="1344" t="s">
        <v>771</v>
      </c>
      <c r="E36" s="302" t="s">
        <v>712</v>
      </c>
      <c r="F36" s="328">
        <f ca="1">INDIRECT("'数据-取费表'!Ak"&amp;$G$1)</f>
        <v>1.4999999999999999E-2</v>
      </c>
      <c r="G36" s="1384"/>
      <c r="H36" s="2698"/>
      <c r="I36" s="1398"/>
      <c r="J36" s="1399"/>
      <c r="K36" s="2542"/>
      <c r="L36" s="2698"/>
      <c r="M36" s="2698"/>
    </row>
    <row r="37" spans="1:18" ht="18" customHeight="1">
      <c r="A37" s="982" t="s">
        <v>437</v>
      </c>
      <c r="B37" s="302" t="s">
        <v>742</v>
      </c>
      <c r="C37" s="21">
        <f ca="1">ROUND(C13*F37,2)</f>
        <v>63.57</v>
      </c>
      <c r="D37" s="1344" t="s">
        <v>743</v>
      </c>
      <c r="E37" s="302" t="s">
        <v>744</v>
      </c>
      <c r="F37" s="330">
        <f ca="1">INDIRECT("'数据-取费表'!Al"&amp;$G$1)</f>
        <v>2E-3</v>
      </c>
      <c r="G37" s="1384"/>
      <c r="H37" s="2698"/>
      <c r="I37" s="1398"/>
      <c r="J37" s="1399"/>
      <c r="K37" s="2542"/>
      <c r="L37" s="2698"/>
      <c r="M37" s="2698"/>
    </row>
    <row r="38" spans="1:18" ht="18" customHeight="1" thickBot="1">
      <c r="A38" s="1089" t="s">
        <v>684</v>
      </c>
      <c r="B38" s="1090" t="s">
        <v>728</v>
      </c>
      <c r="C38" s="1091">
        <f ca="1">ROUND(C5*F38,2)</f>
        <v>286.86</v>
      </c>
      <c r="D38" s="1092" t="s">
        <v>748</v>
      </c>
      <c r="E38" s="1090" t="s">
        <v>744</v>
      </c>
      <c r="F38" s="1086">
        <f ca="1">INDIRECT("'数据-取费表'!Am"&amp;$G$1)</f>
        <v>0.02</v>
      </c>
      <c r="G38" s="1384"/>
      <c r="H38" s="2698"/>
      <c r="I38" s="1398"/>
      <c r="J38" s="1399"/>
      <c r="K38" s="2702"/>
      <c r="L38" s="2698"/>
      <c r="M38" s="2698"/>
    </row>
    <row r="39" spans="1:18" ht="24.6" customHeight="1" thickTop="1">
      <c r="A39" s="1079" t="s">
        <v>394</v>
      </c>
      <c r="B39" s="1094" t="s">
        <v>772</v>
      </c>
      <c r="C39" s="310">
        <f ca="1">C5-C30</f>
        <v>10887</v>
      </c>
      <c r="D39" s="1095" t="s">
        <v>773</v>
      </c>
      <c r="E39" s="1096"/>
      <c r="F39" s="1097"/>
      <c r="G39" s="1384"/>
      <c r="H39" s="2698"/>
      <c r="I39" s="1398"/>
      <c r="J39" s="1399"/>
      <c r="K39" s="2702"/>
      <c r="L39" s="2698"/>
      <c r="M39" s="2698"/>
    </row>
    <row r="40" spans="1:18" ht="18" customHeight="1">
      <c r="A40" s="299" t="s">
        <v>395</v>
      </c>
      <c r="B40" s="300" t="s">
        <v>774</v>
      </c>
      <c r="C40" s="301">
        <f ca="1">ROUND(C39*(1-((1+F42)/(1+F40))^F41)/(F40-F42),0)</f>
        <v>100120</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11.19</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17427</v>
      </c>
      <c r="D43" s="337" t="s">
        <v>777</v>
      </c>
      <c r="E43" s="338" t="s">
        <v>778</v>
      </c>
      <c r="F43" s="339">
        <f ca="1">INDIRECT("'数据-取费表'!k"&amp;$G$1)</f>
        <v>57452.09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-106389</v>
      </c>
      <c r="D46" s="1406" t="str">
        <f>C2</f>
        <v>万元</v>
      </c>
      <c r="E46" s="1400"/>
      <c r="F46" s="1400"/>
      <c r="I46" s="1407" t="s">
        <v>810</v>
      </c>
      <c r="J46" s="1408"/>
      <c r="K46" s="1409"/>
      <c r="L46" s="1410">
        <f ca="1">IF(M47="住宅",0,IF(L48&gt;J51,L60,J60))</f>
        <v>14423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4153</v>
      </c>
      <c r="K47" s="1416" t="s">
        <v>816</v>
      </c>
      <c r="L47" s="1417">
        <f ca="1">INDIRECT("'数据-取费表'!d"&amp;$G$1)</f>
        <v>40</v>
      </c>
      <c r="M47" s="1380" t="str">
        <f>IF(ISNUMBER(FIND("住宅",C1)),"住宅","非住宅")</f>
        <v>非住宅</v>
      </c>
      <c r="O47" s="1418" t="s">
        <v>403</v>
      </c>
      <c r="P47" s="1419" t="s">
        <v>817</v>
      </c>
      <c r="Q47" s="1420">
        <f ca="1">C40+J29</f>
        <v>100120</v>
      </c>
      <c r="R47" s="1420" t="s">
        <v>818</v>
      </c>
    </row>
    <row r="48" spans="1:18" s="1384" customFormat="1" ht="28.5" thickBot="1">
      <c r="A48" s="1110" t="s">
        <v>438</v>
      </c>
      <c r="B48" s="300" t="s">
        <v>692</v>
      </c>
      <c r="C48" s="1359">
        <f ca="1">C49+C53+C55</f>
        <v>0</v>
      </c>
      <c r="D48" s="1112"/>
      <c r="E48" s="1113"/>
      <c r="F48" s="962"/>
      <c r="G48" s="722"/>
      <c r="H48" s="723"/>
      <c r="I48" s="1421" t="s">
        <v>819</v>
      </c>
      <c r="J48" s="1422" t="s">
        <v>4154</v>
      </c>
      <c r="K48" s="1423" t="s">
        <v>820</v>
      </c>
      <c r="L48" s="1424">
        <f ca="1">INDIRECT("'数据-取费表'!f"&amp;$G$1)</f>
        <v>11.19</v>
      </c>
      <c r="O48" s="1418" t="s">
        <v>404</v>
      </c>
      <c r="P48" s="1419" t="s">
        <v>821</v>
      </c>
      <c r="Q48" s="1420">
        <f ca="1">J60</f>
        <v>14423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2018</v>
      </c>
      <c r="K49" s="1423" t="s">
        <v>824</v>
      </c>
      <c r="L49" s="1427"/>
      <c r="O49" s="1428" t="s">
        <v>405</v>
      </c>
      <c r="P49" s="1419" t="s">
        <v>825</v>
      </c>
      <c r="Q49" s="1420">
        <f ca="1">C29</f>
        <v>46745</v>
      </c>
      <c r="R49" s="1420" t="s">
        <v>818</v>
      </c>
    </row>
    <row r="50" spans="1:18" s="1384" customFormat="1" ht="13.5" thickBot="1">
      <c r="A50" s="976"/>
      <c r="B50" s="979"/>
      <c r="C50" s="1118"/>
      <c r="D50" s="953"/>
      <c r="E50" s="1056" t="s">
        <v>697</v>
      </c>
      <c r="F50" s="1057">
        <f ca="1">F7</f>
        <v>57452.09</v>
      </c>
      <c r="H50" s="723"/>
      <c r="I50" s="1421" t="s">
        <v>826</v>
      </c>
      <c r="J50" s="1429">
        <f>SUMPRODUCT((I63:I65=J47)*(J62:L62=J48)*(J63:L65))</f>
        <v>60</v>
      </c>
      <c r="K50" s="1423" t="s">
        <v>827</v>
      </c>
      <c r="L50" s="1427"/>
      <c r="M50" s="1430"/>
      <c r="O50" s="1428" t="s">
        <v>406</v>
      </c>
      <c r="P50" s="1419" t="s">
        <v>828</v>
      </c>
      <c r="Q50" s="1431">
        <f ca="1">J58</f>
        <v>0.73</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146465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11.19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11.19</v>
      </c>
      <c r="K53" s="3760" t="s">
        <v>837</v>
      </c>
      <c r="L53" s="3761"/>
      <c r="O53" s="1418" t="s">
        <v>409</v>
      </c>
      <c r="P53" s="1419" t="s">
        <v>838</v>
      </c>
      <c r="Q53" s="1420">
        <f ca="1">Q47+Q48</f>
        <v>114543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0.73</v>
      </c>
      <c r="K55" s="1445" t="s">
        <v>841</v>
      </c>
      <c r="L55" s="1446"/>
      <c r="O55" s="1411" t="s">
        <v>811</v>
      </c>
      <c r="P55" s="1412" t="s">
        <v>812</v>
      </c>
      <c r="Q55" s="1413" t="s">
        <v>813</v>
      </c>
      <c r="R55" s="1413" t="s">
        <v>814</v>
      </c>
    </row>
    <row r="56" spans="1:18" s="1384" customFormat="1" ht="25.5" thickTop="1" thickBot="1">
      <c r="A56" s="957">
        <v>2</v>
      </c>
      <c r="B56" s="958" t="s">
        <v>704</v>
      </c>
      <c r="C56" s="232">
        <f ca="1">C13</f>
        <v>31787</v>
      </c>
      <c r="D56" s="1447"/>
      <c r="E56" s="1448"/>
      <c r="F56" s="1440"/>
      <c r="I56" s="1449" t="s">
        <v>842</v>
      </c>
      <c r="J56" s="1450" t="s">
        <v>4155</v>
      </c>
      <c r="K56" s="1421" t="s">
        <v>843</v>
      </c>
      <c r="L56" s="1424" t="str">
        <f ca="1">IF(L48&lt;J51,"——",L48-J53)</f>
        <v>——</v>
      </c>
      <c r="O56" s="1418" t="s">
        <v>403</v>
      </c>
      <c r="P56" s="1419" t="s">
        <v>817</v>
      </c>
      <c r="Q56" s="1420">
        <f ca="1">C40+J29</f>
        <v>100120</v>
      </c>
      <c r="R56" s="1420" t="s">
        <v>818</v>
      </c>
    </row>
    <row r="57" spans="1:18" s="1384" customFormat="1" ht="24.75" thickBot="1">
      <c r="A57" s="1451"/>
      <c r="B57" s="950" t="s">
        <v>767</v>
      </c>
      <c r="C57" s="238">
        <f ca="1">C29</f>
        <v>46745</v>
      </c>
      <c r="D57" s="1452"/>
      <c r="E57" s="1453"/>
      <c r="F57" s="1454"/>
      <c r="I57" s="1455" t="s">
        <v>844</v>
      </c>
      <c r="J57" s="1456">
        <f ca="1">IF(OR(M47="住宅",J51&lt;L48,J56="是"),"——",J51-L48)</f>
        <v>43.81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765</v>
      </c>
      <c r="D58" s="960" t="s">
        <v>715</v>
      </c>
      <c r="E58" s="961"/>
      <c r="F58" s="962"/>
      <c r="I58" s="1455" t="s">
        <v>848</v>
      </c>
      <c r="J58" s="1457">
        <f ca="1">IF(J55&lt;0.4,0.4,J55)</f>
        <v>0.73</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f ca="1">IF(OR(M47="住宅",J51&lt;L48,J56="是"),"——",ROUND(C29*J58,0))</f>
        <v>34124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14423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100120</v>
      </c>
      <c r="R62" s="1420" t="s">
        <v>410</v>
      </c>
    </row>
    <row r="63" spans="1:18" s="1384" customFormat="1" ht="13.5" thickBot="1">
      <c r="A63" s="326"/>
      <c r="B63" s="956"/>
      <c r="C63" s="26"/>
      <c r="D63" s="966"/>
      <c r="E63" s="950" t="s">
        <v>788</v>
      </c>
      <c r="F63" s="303">
        <f t="shared" ca="1" si="0"/>
        <v>10178.42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701.18</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63.57</v>
      </c>
      <c r="D65" s="964" t="s">
        <v>743</v>
      </c>
      <c r="E65" s="950" t="s">
        <v>744</v>
      </c>
      <c r="F65" s="330">
        <f t="shared" ca="1" si="0"/>
        <v>2E-3</v>
      </c>
      <c r="I65" s="1462" t="s">
        <v>867</v>
      </c>
      <c r="J65" s="1463">
        <v>40</v>
      </c>
      <c r="K65" s="1463">
        <v>30</v>
      </c>
      <c r="L65" s="1463">
        <v>50</v>
      </c>
      <c r="M65" s="1465">
        <v>0.02</v>
      </c>
      <c r="O65" s="1418" t="s">
        <v>403</v>
      </c>
      <c r="P65" s="1419" t="s">
        <v>868</v>
      </c>
      <c r="Q65" s="1420">
        <f ca="1">C40+J29</f>
        <v>100120</v>
      </c>
      <c r="R65" s="1420" t="s">
        <v>818</v>
      </c>
    </row>
    <row r="66" spans="1:18" s="1384" customFormat="1" ht="16.5"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-765</v>
      </c>
      <c r="D67" s="963" t="s">
        <v>753</v>
      </c>
      <c r="E67" s="968"/>
      <c r="F67" s="969"/>
      <c r="O67" s="1428" t="s">
        <v>405</v>
      </c>
      <c r="P67" s="1419" t="s">
        <v>850</v>
      </c>
      <c r="Q67" s="1466">
        <f ca="1">L51</f>
        <v>146465</v>
      </c>
      <c r="R67" s="1420" t="s">
        <v>870</v>
      </c>
    </row>
    <row r="68" spans="1:18" s="1384" customFormat="1" ht="16.5" thickBot="1">
      <c r="A68" s="947" t="s">
        <v>395</v>
      </c>
      <c r="B68" s="948" t="s">
        <v>774</v>
      </c>
      <c r="C68" s="301">
        <f ca="1">ROUND(C67*(1-((1+F70)/(1+F68))^F69)/(F68-F70),0)</f>
        <v>-6269</v>
      </c>
      <c r="D68" s="965" t="s">
        <v>758</v>
      </c>
      <c r="E68" s="950" t="s">
        <v>759</v>
      </c>
      <c r="F68" s="312">
        <f ca="1">F40</f>
        <v>5.5E-2</v>
      </c>
      <c r="O68" s="1428" t="s">
        <v>406</v>
      </c>
      <c r="P68" s="1467" t="s">
        <v>871</v>
      </c>
      <c r="Q68" s="1420">
        <f ca="1">ROUND(Q69-Q70*Q71,0)</f>
        <v>8503</v>
      </c>
      <c r="R68" s="1420" t="s">
        <v>414</v>
      </c>
    </row>
    <row r="69" spans="1:18" s="1384" customFormat="1" ht="13.5" thickBot="1">
      <c r="A69" s="951"/>
      <c r="B69" s="952"/>
      <c r="C69" s="306"/>
      <c r="D69" s="970" t="s">
        <v>762</v>
      </c>
      <c r="E69" s="950" t="s">
        <v>763</v>
      </c>
      <c r="F69" s="333">
        <f ca="1">F41</f>
        <v>11.19</v>
      </c>
      <c r="O69" s="1428" t="s">
        <v>411</v>
      </c>
      <c r="P69" s="1467" t="s">
        <v>872</v>
      </c>
      <c r="Q69" s="1420">
        <f ca="1">C39</f>
        <v>10887</v>
      </c>
      <c r="R69" s="1420" t="s">
        <v>818</v>
      </c>
    </row>
    <row r="70" spans="1:18" s="1384" customFormat="1" ht="13.5" thickBot="1">
      <c r="A70" s="954"/>
      <c r="B70" s="955"/>
      <c r="C70" s="310"/>
      <c r="D70" s="966"/>
      <c r="E70" s="950" t="s">
        <v>766</v>
      </c>
      <c r="F70" s="1054"/>
      <c r="O70" s="1428" t="s">
        <v>412</v>
      </c>
      <c r="P70" s="1467" t="s">
        <v>873</v>
      </c>
      <c r="Q70" s="1420">
        <f ca="1">C13</f>
        <v>31787</v>
      </c>
      <c r="R70" s="1420" t="s">
        <v>818</v>
      </c>
    </row>
    <row r="71" spans="1:18" s="1384" customFormat="1" ht="13.5" thickBot="1">
      <c r="A71" s="971" t="s">
        <v>396</v>
      </c>
      <c r="B71" s="972" t="s">
        <v>776</v>
      </c>
      <c r="C71" s="336">
        <f ca="1">ROUND(C68*10000/F71,0)</f>
        <v>-1091</v>
      </c>
      <c r="D71" s="973" t="s">
        <v>777</v>
      </c>
      <c r="E71" s="974" t="s">
        <v>778</v>
      </c>
      <c r="F71" s="339">
        <f ca="1">F43</f>
        <v>57452.09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2384</v>
      </c>
      <c r="D75" s="1384"/>
      <c r="E75" s="1384"/>
      <c r="F75" s="1384"/>
      <c r="K75" s="1402"/>
      <c r="L75" s="1384"/>
      <c r="O75" s="1418" t="s">
        <v>409</v>
      </c>
      <c r="P75" s="1419" t="s">
        <v>838</v>
      </c>
      <c r="Q75" s="1420">
        <f ca="1">Q65+Q66</f>
        <v>100120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0.78100000000000003</v>
      </c>
    </row>
    <row r="80" spans="1:18">
      <c r="B80" s="340" t="s">
        <v>800</v>
      </c>
      <c r="C80" s="274">
        <f ca="1">ROUND(C75/C39,3)</f>
        <v>0.219</v>
      </c>
    </row>
    <row r="81" spans="2:3">
      <c r="B81" s="270" t="s">
        <v>801</v>
      </c>
      <c r="C81" s="238"/>
    </row>
    <row r="82" spans="2:3">
      <c r="B82" s="273" t="s">
        <v>802</v>
      </c>
      <c r="C82" s="275">
        <f ca="1">1-C83</f>
        <v>0.68300000000000005</v>
      </c>
    </row>
    <row r="83" spans="2:3">
      <c r="B83" s="273" t="s">
        <v>803</v>
      </c>
      <c r="C83" s="274">
        <f ca="1">ROUND(C13/C40,3)</f>
        <v>0.317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62" t="s">
        <v>694</v>
      </c>
      <c r="C6" s="1074">
        <f ca="1">ROUND(F6*F8*F7*(1-F9),0)</f>
        <v>0</v>
      </c>
      <c r="D6" s="155" t="s">
        <v>2106</v>
      </c>
      <c r="E6" s="302" t="s">
        <v>696</v>
      </c>
      <c r="F6" s="303">
        <f ca="1">INDIRECT("'数据-取费表'!u"&amp;$G$1)</f>
        <v>0</v>
      </c>
      <c r="G6" s="1384"/>
      <c r="H6" s="1069" t="s">
        <v>398</v>
      </c>
      <c r="I6" s="3762" t="s">
        <v>694</v>
      </c>
      <c r="J6" s="301">
        <f ca="1">ROUND(M6*M8*M7*(1-M9),0)</f>
        <v>0</v>
      </c>
      <c r="K6" s="1376" t="s">
        <v>2107</v>
      </c>
      <c r="L6" s="302" t="s">
        <v>696</v>
      </c>
      <c r="M6" s="303">
        <f ca="1">INDIRECT("'数据-取费表'!z"&amp;$G$1)</f>
        <v>0</v>
      </c>
    </row>
    <row r="7" spans="1:37" ht="18" customHeight="1">
      <c r="A7" s="1073"/>
      <c r="B7" s="3763"/>
      <c r="C7" s="1075"/>
      <c r="D7" s="307"/>
      <c r="E7" s="1076" t="s">
        <v>697</v>
      </c>
      <c r="F7" s="303">
        <f ca="1">IF(INDIRECT("'数据-取费表'!ah"&amp;$G$1)="",INDIRECT("'数据-取费表'!k"&amp;$G$1),INDIRECT("'数据-取费表'!ah"&amp;$G$1))</f>
        <v>0</v>
      </c>
      <c r="G7" s="1384"/>
      <c r="H7" s="304"/>
      <c r="I7" s="3763"/>
      <c r="J7" s="306"/>
      <c r="K7" s="307"/>
      <c r="L7" s="302" t="s">
        <v>697</v>
      </c>
      <c r="M7" s="303">
        <f ca="1">F7</f>
        <v>0</v>
      </c>
    </row>
    <row r="8" spans="1:37" ht="18" customHeight="1">
      <c r="A8" s="304"/>
      <c r="B8" s="3763"/>
      <c r="C8" s="306"/>
      <c r="D8" s="307"/>
      <c r="E8" s="302" t="s">
        <v>698</v>
      </c>
      <c r="F8" s="303">
        <f ca="1">INDIRECT("'数据-取费表'!ai"&amp;$G$1)</f>
        <v>0</v>
      </c>
      <c r="G8" s="1384"/>
      <c r="H8" s="304"/>
      <c r="I8" s="3763"/>
      <c r="J8" s="306"/>
      <c r="K8" s="307"/>
      <c r="L8" s="302" t="s">
        <v>698</v>
      </c>
      <c r="M8" s="303">
        <f ca="1">INDIRECT("'数据-取费表'!ai"&amp;$G$1)</f>
        <v>0</v>
      </c>
    </row>
    <row r="9" spans="1:37" ht="18" customHeight="1">
      <c r="A9" s="304"/>
      <c r="B9" s="3764"/>
      <c r="C9" s="306"/>
      <c r="D9" s="307"/>
      <c r="E9" s="302" t="s">
        <v>699</v>
      </c>
      <c r="F9" s="312">
        <f ca="1">INDIRECT("'数据-取费表'!w"&amp;$G$1)</f>
        <v>0</v>
      </c>
      <c r="G9" s="1384"/>
      <c r="H9" s="304"/>
      <c r="I9" s="376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2.5000000000000001E-2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2.5000000000000001E-2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0</v>
      </c>
      <c r="D31" s="1345" t="s">
        <v>720</v>
      </c>
      <c r="E31" s="1344" t="s">
        <v>770</v>
      </c>
      <c r="F31" s="2313">
        <f ca="1">IF(项目基本情况!B11="企业","——",IF(M47="住宅",IF(F6*F7*F8/12/(1+'数据-取费表'!F30)&gt;100000,4%,2.5%),IF(F6*F7*F8/12/(1+'数据-取费表'!F30)&gt;100000,12%,7%)))</f>
        <v>7.0000000000000007E-2</v>
      </c>
      <c r="G31" s="1384"/>
      <c r="H31" s="2806" t="s">
        <v>2310</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t="e">
        <f ca="1">ROUND((C68-C40)/10000,4)</f>
        <v>#DIV/0!</v>
      </c>
      <c r="D45" s="3430"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0</v>
      </c>
      <c r="K53" s="3760" t="s">
        <v>837</v>
      </c>
      <c r="L53" s="376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2" sqref="F3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 ca="1">IF(D2="——",C40,C40+E2)</f>
        <v>#DIV/0!</v>
      </c>
      <c r="C2" s="2842" t="s">
        <v>2319</v>
      </c>
      <c r="D2" s="3441" t="s">
        <v>43</v>
      </c>
      <c r="E2" s="3442"/>
      <c r="F2" s="2844"/>
      <c r="G2" s="2845"/>
      <c r="H2" s="2846"/>
      <c r="I2" s="2847"/>
      <c r="J2" s="3771" t="s">
        <v>2320</v>
      </c>
      <c r="K2" s="3772"/>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 ca="1">ROUND(B2*10000/B4,0)</f>
        <v>#DIV/0!</v>
      </c>
      <c r="C3" s="2842" t="s">
        <v>2329</v>
      </c>
      <c r="D3" s="2842"/>
      <c r="E3" s="2843"/>
      <c r="F3" s="2844"/>
      <c r="G3" s="2845"/>
      <c r="H3" s="2846"/>
      <c r="I3" s="2847"/>
      <c r="J3" s="3773" t="s">
        <v>2330</v>
      </c>
      <c r="K3" s="3774"/>
      <c r="L3" s="2854"/>
      <c r="M3" s="2854"/>
      <c r="N3" s="2854"/>
      <c r="O3" s="2854"/>
      <c r="P3" s="2854"/>
      <c r="Q3" s="2855"/>
      <c r="R3" s="2856">
        <f>SUM(L3:Q3)</f>
        <v>0</v>
      </c>
      <c r="S3" s="2839"/>
      <c r="T3" s="2839"/>
      <c r="U3" s="2839"/>
      <c r="V3" s="2847"/>
    </row>
    <row r="4" spans="1:22" s="2851" customFormat="1" ht="13.15" customHeight="1">
      <c r="A4" s="2857" t="s">
        <v>2331</v>
      </c>
      <c r="B4" s="2858">
        <f>'数据-汇总表'!E3</f>
        <v>57452.09</v>
      </c>
      <c r="C4" s="2842"/>
      <c r="D4" s="2842"/>
      <c r="E4" s="2843"/>
      <c r="F4" s="2844"/>
      <c r="G4" s="2845"/>
      <c r="H4" s="2846"/>
      <c r="I4" s="2847"/>
      <c r="J4" s="3773" t="s">
        <v>2332</v>
      </c>
      <c r="K4" s="3774"/>
      <c r="L4" s="2859"/>
      <c r="M4" s="2859"/>
      <c r="N4" s="2859"/>
      <c r="O4" s="2859"/>
      <c r="P4" s="2859"/>
      <c r="Q4" s="2860"/>
      <c r="R4" s="2861">
        <f>SUM(L4:Q4)</f>
        <v>0</v>
      </c>
      <c r="S4" s="2839"/>
      <c r="T4" s="2839"/>
      <c r="U4" s="2839"/>
      <c r="V4" s="2847"/>
    </row>
    <row r="5" spans="1:22" s="2851" customFormat="1" ht="13.15" customHeight="1" thickBot="1">
      <c r="A5" s="2862" t="s">
        <v>2333</v>
      </c>
      <c r="B5" s="2863">
        <f>'数据-基础表'!A3</f>
        <v>10178.42</v>
      </c>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79" t="s">
        <v>2336</v>
      </c>
      <c r="B6" s="3780"/>
      <c r="C6" s="3781"/>
      <c r="D6" s="2868">
        <v>13300</v>
      </c>
      <c r="E6" s="2869"/>
      <c r="F6" s="2870"/>
      <c r="G6" s="2871"/>
      <c r="H6" s="2846"/>
      <c r="I6" s="2847"/>
      <c r="J6" s="3765">
        <v>1</v>
      </c>
      <c r="K6" s="3766"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 ca="1">SUM(D9,D10,D11,D17,0)</f>
        <v>3785</v>
      </c>
      <c r="E7" s="2878">
        <f ca="1">E9+E10+E11+E17</f>
        <v>0.2845864661654135</v>
      </c>
      <c r="F7" s="2879"/>
      <c r="G7" s="2880"/>
      <c r="H7" s="2846"/>
      <c r="I7" s="2847"/>
      <c r="J7" s="3765"/>
      <c r="K7" s="3767"/>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82" t="s">
        <v>2350</v>
      </c>
      <c r="C8" s="3783"/>
      <c r="D8" s="2887" t="s">
        <v>2351</v>
      </c>
      <c r="E8" s="2888" t="s">
        <v>2352</v>
      </c>
      <c r="F8" s="2889" t="s">
        <v>2353</v>
      </c>
      <c r="G8" s="2890"/>
      <c r="H8" s="2846"/>
      <c r="I8" s="2847"/>
      <c r="J8" s="3765"/>
      <c r="K8" s="3767"/>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82" t="s">
        <v>2356</v>
      </c>
      <c r="C9" s="3783"/>
      <c r="D9" s="2887">
        <f>ROUND(D6*E9,0)</f>
        <v>0</v>
      </c>
      <c r="E9" s="2891"/>
      <c r="F9" s="2892" t="s">
        <v>2357</v>
      </c>
      <c r="G9" s="2871"/>
      <c r="H9" s="2846"/>
      <c r="I9" s="2847"/>
      <c r="J9" s="3765"/>
      <c r="K9" s="3767"/>
      <c r="L9" s="2881" t="s">
        <v>2358</v>
      </c>
      <c r="M9" s="2882"/>
      <c r="N9" s="2858"/>
      <c r="O9" s="2883"/>
      <c r="P9" s="2883"/>
      <c r="Q9" s="2884">
        <v>365</v>
      </c>
      <c r="R9" s="2885">
        <f t="shared" si="0"/>
        <v>0</v>
      </c>
      <c r="S9" s="2839"/>
      <c r="T9" s="2839"/>
      <c r="U9" s="2839"/>
      <c r="V9" s="2847"/>
    </row>
    <row r="10" spans="1:22" s="2851" customFormat="1" ht="13.15" customHeight="1">
      <c r="A10" s="2886">
        <v>2</v>
      </c>
      <c r="B10" s="3782" t="s">
        <v>2359</v>
      </c>
      <c r="C10" s="3783"/>
      <c r="D10" s="2887">
        <f>ROUND(D6*E10,0)</f>
        <v>1330</v>
      </c>
      <c r="E10" s="2891">
        <v>0.1</v>
      </c>
      <c r="F10" s="2892" t="s">
        <v>2360</v>
      </c>
      <c r="G10" s="2871"/>
      <c r="H10" s="2846"/>
      <c r="I10" s="2847"/>
      <c r="J10" s="3765"/>
      <c r="K10" s="3767"/>
      <c r="L10" s="2881" t="s">
        <v>2361</v>
      </c>
      <c r="M10" s="2882"/>
      <c r="N10" s="2858"/>
      <c r="O10" s="2883"/>
      <c r="P10" s="2883"/>
      <c r="Q10" s="2884">
        <v>365</v>
      </c>
      <c r="R10" s="2885">
        <f t="shared" si="0"/>
        <v>0</v>
      </c>
      <c r="S10" s="2839"/>
      <c r="T10" s="2839"/>
      <c r="U10" s="2839"/>
      <c r="V10" s="2847"/>
    </row>
    <row r="11" spans="1:22" s="2851" customFormat="1" ht="13.15" customHeight="1">
      <c r="A11" s="2886">
        <v>3</v>
      </c>
      <c r="B11" s="3782" t="s">
        <v>2362</v>
      </c>
      <c r="C11" s="3783"/>
      <c r="D11" s="2887">
        <f ca="1">D12+D14+D15+D16</f>
        <v>1125</v>
      </c>
      <c r="E11" s="2893">
        <f ca="1">D11/D6</f>
        <v>8.4586466165413529E-2</v>
      </c>
      <c r="F11" s="2889"/>
      <c r="G11" s="2890"/>
      <c r="H11" s="2846"/>
      <c r="I11" s="2847"/>
      <c r="J11" s="3765"/>
      <c r="K11" s="3767"/>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75" t="s">
        <v>2365</v>
      </c>
      <c r="C12" s="3776"/>
      <c r="D12" s="2895">
        <f ca="1">ROUND(D13*1.2%*(1-30%),0)</f>
        <v>393</v>
      </c>
      <c r="E12" s="2896">
        <v>1.2E-2</v>
      </c>
      <c r="F12" s="2889" t="s">
        <v>2366</v>
      </c>
      <c r="G12" s="2890"/>
      <c r="H12" s="2846"/>
      <c r="I12" s="2847"/>
      <c r="J12" s="3765"/>
      <c r="K12" s="3767"/>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f ca="1">收益法!C29</f>
        <v>46745</v>
      </c>
      <c r="E13" s="2900"/>
      <c r="F13" s="2889"/>
      <c r="G13" s="2890"/>
      <c r="H13" s="2846"/>
      <c r="I13" s="2847"/>
      <c r="J13" s="3765"/>
      <c r="K13" s="3767"/>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75" t="s">
        <v>2371</v>
      </c>
      <c r="C14" s="3776"/>
      <c r="D14" s="2895">
        <f>ROUND(E14*B5/10000,0)</f>
        <v>0</v>
      </c>
      <c r="E14" s="2884"/>
      <c r="F14" s="2889" t="s">
        <v>2372</v>
      </c>
      <c r="G14" s="2890"/>
      <c r="H14" s="2846"/>
      <c r="I14" s="2847"/>
      <c r="J14" s="3765"/>
      <c r="K14" s="3768"/>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75" t="s">
        <v>2375</v>
      </c>
      <c r="C15" s="3776"/>
      <c r="D15" s="2895">
        <f>ROUND(D6*E15,0)</f>
        <v>732</v>
      </c>
      <c r="E15" s="2896">
        <v>5.5E-2</v>
      </c>
      <c r="F15" s="2889" t="s">
        <v>2376</v>
      </c>
      <c r="G15" s="2871"/>
      <c r="H15" s="2846"/>
      <c r="I15" s="2847"/>
      <c r="J15" s="3765">
        <v>2</v>
      </c>
      <c r="K15" s="3766"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75" t="s">
        <v>2384</v>
      </c>
      <c r="C16" s="3776"/>
      <c r="D16" s="2906">
        <f>D6*E16</f>
        <v>0</v>
      </c>
      <c r="E16" s="2907"/>
      <c r="F16" s="2892" t="s">
        <v>2385</v>
      </c>
      <c r="G16" s="2871"/>
      <c r="H16" s="2846"/>
      <c r="I16" s="2847"/>
      <c r="J16" s="3765"/>
      <c r="K16" s="3767"/>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77" t="s">
        <v>2387</v>
      </c>
      <c r="C17" s="3778"/>
      <c r="D17" s="2909">
        <f>ROUND(D6*E17,0)</f>
        <v>1330</v>
      </c>
      <c r="E17" s="2910">
        <v>0.1</v>
      </c>
      <c r="F17" s="2911" t="s">
        <v>2388</v>
      </c>
      <c r="G17" s="2871"/>
      <c r="H17" s="2846"/>
      <c r="I17" s="2847"/>
      <c r="J17" s="3765"/>
      <c r="K17" s="3767"/>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1330</v>
      </c>
      <c r="E18" s="2913">
        <v>0.1</v>
      </c>
      <c r="F18" s="2914" t="s">
        <v>2391</v>
      </c>
      <c r="G18" s="2871"/>
      <c r="H18" s="2846"/>
      <c r="I18" s="2847"/>
      <c r="J18" s="3765"/>
      <c r="K18" s="3767"/>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65"/>
      <c r="K19" s="3768"/>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65">
        <v>3</v>
      </c>
      <c r="K20" s="3766"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65"/>
      <c r="K21" s="3767"/>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65"/>
      <c r="K22" s="3767"/>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13300</v>
      </c>
      <c r="D23" s="2932">
        <f>C23*(1+D24)</f>
        <v>13300</v>
      </c>
      <c r="E23" s="2933">
        <f>D23*(1+E24)</f>
        <v>13300</v>
      </c>
      <c r="F23" s="2934"/>
      <c r="G23" s="2935"/>
      <c r="H23" s="2846"/>
      <c r="I23" s="2847"/>
      <c r="J23" s="3765"/>
      <c r="K23" s="3767"/>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v>0</v>
      </c>
      <c r="E24" s="2940">
        <v>0</v>
      </c>
      <c r="F24" s="2941"/>
      <c r="G24" s="2935"/>
      <c r="H24" s="2846"/>
      <c r="I24" s="2847"/>
      <c r="J24" s="3765"/>
      <c r="K24" s="3768"/>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 ca="1">D7</f>
        <v>3785</v>
      </c>
      <c r="D26" s="2932">
        <f>D23*D27</f>
        <v>0</v>
      </c>
      <c r="E26" s="2933">
        <f>E23*E27</f>
        <v>0</v>
      </c>
      <c r="F26" s="2934"/>
      <c r="G26" s="2935"/>
      <c r="H26" s="2846"/>
      <c r="I26" s="2847"/>
      <c r="J26" s="376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f ca="1">E7</f>
        <v>0.2845864661654135</v>
      </c>
      <c r="D27" s="2939">
        <v>0</v>
      </c>
      <c r="E27" s="2940">
        <v>0</v>
      </c>
      <c r="F27" s="2941"/>
      <c r="G27" s="2935"/>
      <c r="H27" s="2956"/>
      <c r="I27" s="2947"/>
      <c r="J27" s="377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1330</v>
      </c>
      <c r="D29" s="2932">
        <f>D23*C30</f>
        <v>1330</v>
      </c>
      <c r="E29" s="2933">
        <f>E23*C30</f>
        <v>1330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0.1</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 ca="1">C23-C26-C29</f>
        <v>8185</v>
      </c>
      <c r="D32" s="2932">
        <f>D23-D26-D29</f>
        <v>11970</v>
      </c>
      <c r="E32" s="2933">
        <f>E23-E26-E29</f>
        <v>11970</v>
      </c>
      <c r="F32" s="2934"/>
      <c r="G32" s="2928"/>
      <c r="H32" s="2846"/>
      <c r="I32" s="2847"/>
      <c r="J32" s="3771" t="s">
        <v>2320</v>
      </c>
      <c r="K32" s="3772"/>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73" t="s">
        <v>2330</v>
      </c>
      <c r="K33" s="3774"/>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v>0.06</v>
      </c>
      <c r="D34" s="2976">
        <v>0</v>
      </c>
      <c r="E34" s="2977">
        <v>0</v>
      </c>
      <c r="F34" s="2934"/>
      <c r="G34" s="2928"/>
      <c r="H34" s="2956"/>
      <c r="I34" s="2947"/>
      <c r="J34" s="3773" t="s">
        <v>2332</v>
      </c>
      <c r="K34" s="377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v>2.5000000000000001E-2</v>
      </c>
      <c r="D35" s="2980">
        <v>0</v>
      </c>
      <c r="E35" s="2981">
        <v>0</v>
      </c>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f ca="1">收益法!F41</f>
        <v>11.19</v>
      </c>
      <c r="D36" s="2986">
        <v>0</v>
      </c>
      <c r="E36" s="2987">
        <v>0</v>
      </c>
      <c r="F36" s="2988">
        <f ca="1">C36+D36+E36</f>
        <v>11.19</v>
      </c>
      <c r="G36" s="2928"/>
      <c r="H36" s="2846"/>
      <c r="I36" s="2847"/>
      <c r="J36" s="3765">
        <v>1</v>
      </c>
      <c r="K36" s="3766"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65"/>
      <c r="K37" s="3767"/>
      <c r="L37" s="2881"/>
      <c r="M37" s="2882"/>
      <c r="N37" s="2858"/>
      <c r="O37" s="2883"/>
      <c r="P37" s="2883"/>
      <c r="Q37" s="2884"/>
      <c r="R37" s="2885"/>
      <c r="S37" s="2920"/>
      <c r="T37" s="2839" t="s">
        <v>2348</v>
      </c>
      <c r="U37" s="2839"/>
      <c r="V37" s="2847"/>
    </row>
    <row r="38" spans="1:23" s="2851" customFormat="1" ht="13.15" customHeight="1">
      <c r="A38" s="2929">
        <v>8</v>
      </c>
      <c r="B38" s="2930"/>
      <c r="C38" s="2887">
        <f ca="1">ROUND(C32*(1-((1+C35)/(1+C34))^C36)/(C34-C35),0)</f>
        <v>73245</v>
      </c>
      <c r="D38" s="2887" t="e">
        <f>IF(D23=0,0,ROUND(D32*(1-((1+D35)/(1+D34))^D36)/(D34-D35),0))</f>
        <v>#DIV/0!</v>
      </c>
      <c r="E38" s="2887" t="e">
        <f>IF(E23=0,0,ROUND(E32*(1-((1+E35)/(1+E34))^E36)/(E34-E35),0))</f>
        <v>#DIV/0!</v>
      </c>
      <c r="F38" s="2934"/>
      <c r="G38" s="2928"/>
      <c r="H38" s="2846"/>
      <c r="I38" s="2847"/>
      <c r="J38" s="3765"/>
      <c r="K38" s="3767"/>
      <c r="L38" s="2881"/>
      <c r="M38" s="2882"/>
      <c r="N38" s="2858"/>
      <c r="O38" s="2883"/>
      <c r="P38" s="2883"/>
      <c r="Q38" s="2884"/>
      <c r="R38" s="2885"/>
      <c r="S38" s="2920"/>
      <c r="T38" s="2839" t="s">
        <v>2355</v>
      </c>
      <c r="U38" s="2839"/>
      <c r="V38" s="2847"/>
    </row>
    <row r="39" spans="1:23" s="2851" customFormat="1" ht="13.15" customHeight="1">
      <c r="A39" s="2929">
        <v>9</v>
      </c>
      <c r="B39" s="2930" t="s">
        <v>2433</v>
      </c>
      <c r="C39" s="2895">
        <f ca="1">C38</f>
        <v>73245</v>
      </c>
      <c r="D39" s="2930" t="e">
        <f ca="1">D38/(1+D34)^C36</f>
        <v>#DIV/0!</v>
      </c>
      <c r="E39" s="2930" t="e">
        <f ca="1">E38/(1+E34)^(C36+D36)</f>
        <v>#DIV/0!</v>
      </c>
      <c r="F39" s="2934"/>
      <c r="G39" s="2989"/>
      <c r="H39" s="2846"/>
      <c r="I39" s="2847"/>
      <c r="J39" s="3765"/>
      <c r="K39" s="3767"/>
      <c r="L39" s="2881"/>
      <c r="M39" s="2882"/>
      <c r="N39" s="2858"/>
      <c r="O39" s="2883"/>
      <c r="P39" s="2883"/>
      <c r="Q39" s="2884"/>
      <c r="R39" s="2885"/>
      <c r="S39" s="2920"/>
      <c r="T39" s="2839"/>
      <c r="U39" s="2839"/>
      <c r="V39" s="2847"/>
    </row>
    <row r="40" spans="1:23" s="2851" customFormat="1" ht="13.15" customHeight="1">
      <c r="A40" s="2990">
        <v>10</v>
      </c>
      <c r="B40" s="2930" t="s">
        <v>2434</v>
      </c>
      <c r="C40" s="2991" t="e">
        <f ca="1">C39+D39+E39</f>
        <v>#DIV/0!</v>
      </c>
      <c r="D40" s="2992"/>
      <c r="E40" s="2992"/>
      <c r="F40" s="2993"/>
      <c r="G40" s="2928"/>
      <c r="H40" s="2846"/>
      <c r="I40" s="2847"/>
      <c r="J40" s="3765"/>
      <c r="K40" s="3768"/>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 ca="1">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6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7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 sqref="B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5" t="s">
        <v>1658</v>
      </c>
      <c r="B1" s="1866"/>
      <c r="C1" s="1866"/>
      <c r="D1" s="1866"/>
      <c r="E1" s="1867"/>
      <c r="F1" s="2705"/>
      <c r="G1" s="1489"/>
      <c r="H1" s="1489"/>
      <c r="I1" s="1489"/>
      <c r="J1" s="1489"/>
      <c r="K1" s="1489"/>
      <c r="L1" s="1489"/>
      <c r="M1" s="1489"/>
      <c r="N1" s="1489"/>
      <c r="O1" s="1489"/>
      <c r="P1" s="1489"/>
      <c r="Q1" s="1489"/>
      <c r="R1" s="1489"/>
      <c r="S1" s="1489"/>
    </row>
    <row r="2" spans="1:22" ht="15.75">
      <c r="A2" s="1868" t="s">
        <v>1462</v>
      </c>
      <c r="B2" s="1869">
        <f ca="1">SUMIF(B6:B13,"&lt;&gt;#ref!",B6:B13)</f>
        <v>114543</v>
      </c>
      <c r="C2" s="1870" t="s">
        <v>1651</v>
      </c>
      <c r="D2" s="1871" t="s">
        <v>1652</v>
      </c>
      <c r="E2" s="2605">
        <f>SUM(E6:E13)</f>
        <v>57452.09</v>
      </c>
      <c r="F2" s="2705"/>
      <c r="G2" s="1489"/>
      <c r="H2" s="1489"/>
      <c r="I2" s="1489"/>
      <c r="J2" s="1489"/>
      <c r="K2" s="1489"/>
      <c r="L2" s="1489"/>
      <c r="M2" s="1489"/>
      <c r="N2" s="1489"/>
      <c r="O2" s="1489"/>
      <c r="P2" s="1489"/>
      <c r="Q2" s="1489"/>
      <c r="R2" s="1489"/>
      <c r="S2" s="1489"/>
    </row>
    <row r="3" spans="1:22" ht="15.75">
      <c r="A3" s="1868" t="s">
        <v>686</v>
      </c>
      <c r="B3" s="2599">
        <f ca="1">ROUND(B2*10000/E2,0)</f>
        <v>19937</v>
      </c>
      <c r="C3" s="1870"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84" t="s">
        <v>1654</v>
      </c>
      <c r="C5" s="3785"/>
      <c r="D5" s="2706"/>
      <c r="E5" s="1872" t="s">
        <v>1655</v>
      </c>
      <c r="F5" s="1873"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114543</v>
      </c>
      <c r="C6" s="1870" t="s">
        <v>1651</v>
      </c>
      <c r="D6" s="2707"/>
      <c r="E6" s="2604">
        <f>IF(OR(A6=0,F6="否"),0,'数据-取费表'!K6+'数据-取费表'!S6)</f>
        <v>57452.09</v>
      </c>
      <c r="F6" s="1874"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0" t="s">
        <v>1651</v>
      </c>
      <c r="D7" s="2707"/>
      <c r="E7" s="2604">
        <f>IF(OR(A7=0,F7="否"),0,'数据-取费表'!K7+'数据-取费表'!S7)</f>
        <v>0</v>
      </c>
      <c r="F7" s="1874"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0" t="s">
        <v>1651</v>
      </c>
      <c r="D8" s="2707"/>
      <c r="E8" s="2604">
        <f>IF(OR(A8=0,F8="否"),0,'数据-取费表'!K8+'数据-取费表'!S8)</f>
        <v>0</v>
      </c>
      <c r="F8" s="1874"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0" t="s">
        <v>1651</v>
      </c>
      <c r="D9" s="2707"/>
      <c r="E9" s="2604">
        <f>IF(OR(A9=0,F9="否"),0,'数据-取费表'!K9+'数据-取费表'!S9)</f>
        <v>0</v>
      </c>
      <c r="F9" s="1874"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0" t="s">
        <v>1651</v>
      </c>
      <c r="D10" s="2707"/>
      <c r="E10" s="2604">
        <f>IF(OR(A10=0,F10="否"),0,'数据-取费表'!K10+'数据-取费表'!S10)</f>
        <v>0</v>
      </c>
      <c r="F10" s="1874"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0" t="s">
        <v>1651</v>
      </c>
      <c r="D11" s="2707"/>
      <c r="E11" s="2604">
        <f>IF(OR(A11=0,F11="否"),0,'数据-取费表'!K11+'数据-取费表'!S11)</f>
        <v>0</v>
      </c>
      <c r="F11" s="1874"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0" t="s">
        <v>1651</v>
      </c>
      <c r="D12" s="2707"/>
      <c r="E12" s="2604">
        <f>IF(OR(A12=0,F12="否"),0,'数据-取费表'!K12+'数据-取费表'!S12)</f>
        <v>0</v>
      </c>
      <c r="F12" s="1874"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6" t="s">
        <v>1661</v>
      </c>
      <c r="C1" s="1238" t="s">
        <v>1662</v>
      </c>
      <c r="D1" s="1225"/>
      <c r="E1" s="3424"/>
      <c r="F1" s="1877"/>
      <c r="G1" s="1235" t="s">
        <v>1663</v>
      </c>
      <c r="H1" s="1234"/>
      <c r="I1" s="1234"/>
      <c r="J1" s="1234"/>
      <c r="K1" s="1236"/>
      <c r="L1" s="1237"/>
      <c r="M1" s="1238"/>
      <c r="N1" s="1238"/>
      <c r="O1" s="1238"/>
      <c r="P1" s="1878"/>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79"/>
      <c r="D2" s="1115" t="e">
        <f ca="1">IF(E1="项目模式",SUMIF(INDIRECT("'"&amp;F2&amp;"'"&amp;"!A:A"),"承租人权益价值",INDIRECT("'"&amp;F2&amp;"'"&amp;"!c:c")),SUMIF(INDIRECT("'"&amp;F2&amp;"'"&amp;"!A:A"),"承租人权益价值（单套）",INDIRECT("'"&amp;F2&amp;"'"&amp;"!c:c")))</f>
        <v>#REF!</v>
      </c>
      <c r="E2" s="1880" t="s">
        <v>1664</v>
      </c>
      <c r="F2" s="1881"/>
      <c r="G2" s="907"/>
      <c r="H2" s="907"/>
      <c r="I2" s="907"/>
      <c r="J2" s="907"/>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57452.09</v>
      </c>
      <c r="E3" s="907"/>
      <c r="F3" s="1886"/>
      <c r="G3" s="907"/>
      <c r="H3" s="907"/>
      <c r="I3" s="907"/>
      <c r="J3" s="907"/>
      <c r="K3" s="1882"/>
      <c r="L3" s="2711"/>
      <c r="M3" s="2712"/>
      <c r="N3" s="2712"/>
      <c r="O3" s="2712"/>
      <c r="P3" s="1883"/>
      <c r="Q3" s="1884"/>
      <c r="R3" s="1884"/>
      <c r="S3" s="1884"/>
      <c r="T3" s="1884"/>
      <c r="U3" s="1884"/>
      <c r="V3" s="1884"/>
      <c r="W3" s="1884"/>
      <c r="X3" s="1884"/>
      <c r="Y3" s="1884"/>
      <c r="Z3" s="1884"/>
      <c r="AA3" s="1884"/>
      <c r="AB3" s="1884"/>
      <c r="AC3" s="1061"/>
    </row>
    <row r="4" spans="1:29" ht="15">
      <c r="A4" s="355" t="s">
        <v>1666</v>
      </c>
      <c r="B4" s="356"/>
      <c r="C4" s="3804" t="s">
        <v>1667</v>
      </c>
      <c r="D4" s="3805"/>
      <c r="E4" s="3806" t="s">
        <v>1668</v>
      </c>
      <c r="F4" s="3807"/>
      <c r="G4" s="3804" t="s">
        <v>1669</v>
      </c>
      <c r="H4" s="3805"/>
      <c r="I4" s="3804" t="s">
        <v>1670</v>
      </c>
      <c r="J4" s="3805"/>
      <c r="K4" s="1887" t="s">
        <v>1671</v>
      </c>
      <c r="L4" s="2713"/>
      <c r="M4" s="2714"/>
      <c r="N4" s="2714"/>
      <c r="O4" s="2714"/>
      <c r="P4" s="3808" t="s">
        <v>1672</v>
      </c>
      <c r="Q4" s="3809"/>
      <c r="R4" s="3814" t="s">
        <v>1668</v>
      </c>
      <c r="S4" s="3815"/>
      <c r="T4" s="3814" t="s">
        <v>1669</v>
      </c>
      <c r="U4" s="3815"/>
      <c r="V4" s="3820" t="s">
        <v>1670</v>
      </c>
      <c r="W4" s="3820"/>
      <c r="X4" s="1355"/>
      <c r="Y4" s="3814" t="s">
        <v>1672</v>
      </c>
      <c r="Z4" s="3815"/>
      <c r="AA4" s="3801" t="s">
        <v>1668</v>
      </c>
      <c r="AB4" s="3801" t="s">
        <v>1669</v>
      </c>
      <c r="AC4" s="3801" t="s">
        <v>1670</v>
      </c>
    </row>
    <row r="5" spans="1:29" ht="15">
      <c r="A5" s="358"/>
      <c r="B5" s="359"/>
      <c r="C5" s="3823" t="s">
        <v>1673</v>
      </c>
      <c r="D5" s="3824"/>
      <c r="E5" s="3830" t="s">
        <v>1674</v>
      </c>
      <c r="F5" s="3831"/>
      <c r="G5" s="3823" t="s">
        <v>1675</v>
      </c>
      <c r="H5" s="3824"/>
      <c r="I5" s="3823" t="s">
        <v>1676</v>
      </c>
      <c r="J5" s="3824"/>
      <c r="K5" s="1888"/>
      <c r="L5" s="2713"/>
      <c r="M5" s="2714"/>
      <c r="N5" s="2714"/>
      <c r="O5" s="2714"/>
      <c r="P5" s="3810"/>
      <c r="Q5" s="3811"/>
      <c r="R5" s="3816"/>
      <c r="S5" s="3817"/>
      <c r="T5" s="3816"/>
      <c r="U5" s="3817"/>
      <c r="V5" s="3820"/>
      <c r="W5" s="3820"/>
      <c r="X5" s="1355"/>
      <c r="Y5" s="3816"/>
      <c r="Z5" s="3817"/>
      <c r="AA5" s="3802"/>
      <c r="AB5" s="3802"/>
      <c r="AC5" s="3802"/>
    </row>
    <row r="6" spans="1:29" ht="15.75" thickBot="1">
      <c r="A6" s="360"/>
      <c r="B6" s="361"/>
      <c r="C6" s="3821" t="s">
        <v>1677</v>
      </c>
      <c r="D6" s="3822"/>
      <c r="E6" s="3828" t="s">
        <v>1677</v>
      </c>
      <c r="F6" s="3829"/>
      <c r="G6" s="3821" t="s">
        <v>1677</v>
      </c>
      <c r="H6" s="3822"/>
      <c r="I6" s="3821" t="s">
        <v>1677</v>
      </c>
      <c r="J6" s="3822"/>
      <c r="K6" s="1888" t="s">
        <v>1678</v>
      </c>
      <c r="L6" s="2713"/>
      <c r="M6" s="2714"/>
      <c r="N6" s="2714"/>
      <c r="O6" s="2714"/>
      <c r="P6" s="3812"/>
      <c r="Q6" s="3813"/>
      <c r="R6" s="3816"/>
      <c r="S6" s="3817"/>
      <c r="T6" s="3818"/>
      <c r="U6" s="3819"/>
      <c r="V6" s="3820"/>
      <c r="W6" s="3820"/>
      <c r="X6" s="1355"/>
      <c r="Y6" s="3818"/>
      <c r="Z6" s="3819"/>
      <c r="AA6" s="3803"/>
      <c r="AB6" s="3803"/>
      <c r="AC6" s="3803"/>
    </row>
    <row r="7" spans="1:29" s="108" customFormat="1" ht="15.75" thickBot="1">
      <c r="A7" s="362" t="s">
        <v>1679</v>
      </c>
      <c r="B7" s="363"/>
      <c r="C7" s="364">
        <f>'数据-取费表'!B2</f>
        <v>45040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825" t="s">
        <v>1680</v>
      </c>
      <c r="Q7" s="3827"/>
      <c r="R7" s="701" t="s">
        <v>20</v>
      </c>
      <c r="S7" s="702">
        <f t="shared" ref="S7:S15" si="0">F7</f>
        <v>0</v>
      </c>
      <c r="T7" s="701" t="s">
        <v>20</v>
      </c>
      <c r="U7" s="702">
        <f t="shared" ref="U7:U15" si="1">H7</f>
        <v>0</v>
      </c>
      <c r="V7" s="701" t="s">
        <v>20</v>
      </c>
      <c r="W7" s="702">
        <f t="shared" ref="W7:W15" si="2">J7</f>
        <v>0</v>
      </c>
      <c r="X7" s="703"/>
      <c r="Y7" s="3825" t="s">
        <v>1680</v>
      </c>
      <c r="Z7" s="3826"/>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825" t="s">
        <v>1683</v>
      </c>
      <c r="Q8" s="3826"/>
      <c r="R8" s="701" t="s">
        <v>20</v>
      </c>
      <c r="S8" s="702">
        <f t="shared" si="0"/>
        <v>100</v>
      </c>
      <c r="T8" s="701" t="s">
        <v>20</v>
      </c>
      <c r="U8" s="702">
        <f t="shared" si="1"/>
        <v>100</v>
      </c>
      <c r="V8" s="701" t="s">
        <v>20</v>
      </c>
      <c r="W8" s="702">
        <f t="shared" si="2"/>
        <v>100</v>
      </c>
      <c r="X8" s="703"/>
      <c r="Y8" s="3825" t="s">
        <v>1683</v>
      </c>
      <c r="Z8" s="382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800"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800"/>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800"/>
      <c r="Q11" s="1343" t="str">
        <f t="shared" si="6"/>
        <v>容积率</v>
      </c>
      <c r="R11" s="701" t="s">
        <v>18</v>
      </c>
      <c r="S11" s="702" t="e">
        <f t="shared" si="0"/>
        <v>#N/A</v>
      </c>
      <c r="T11" s="701" t="s">
        <v>18</v>
      </c>
      <c r="U11" s="702" t="e">
        <f t="shared" si="1"/>
        <v>#N/A</v>
      </c>
      <c r="V11" s="701" t="s">
        <v>18</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800"/>
      <c r="Q12" s="1343">
        <f t="shared" si="6"/>
        <v>111</v>
      </c>
      <c r="R12" s="701" t="s">
        <v>18</v>
      </c>
      <c r="S12" s="702">
        <f t="shared" si="0"/>
        <v>100</v>
      </c>
      <c r="T12" s="701" t="s">
        <v>18</v>
      </c>
      <c r="U12" s="702">
        <f t="shared" si="1"/>
        <v>100</v>
      </c>
      <c r="V12" s="701" t="s">
        <v>18</v>
      </c>
      <c r="W12" s="702">
        <f t="shared" si="2"/>
        <v>100</v>
      </c>
      <c r="X12" s="703"/>
      <c r="Y12" s="364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800"/>
      <c r="Q13" s="1343">
        <f t="shared" si="6"/>
        <v>111</v>
      </c>
      <c r="R13" s="701" t="s">
        <v>18</v>
      </c>
      <c r="S13" s="702">
        <f t="shared" si="0"/>
        <v>100</v>
      </c>
      <c r="T13" s="701" t="s">
        <v>18</v>
      </c>
      <c r="U13" s="702">
        <f t="shared" si="1"/>
        <v>100</v>
      </c>
      <c r="V13" s="701" t="s">
        <v>18</v>
      </c>
      <c r="W13" s="702">
        <f t="shared" si="2"/>
        <v>100</v>
      </c>
      <c r="X13" s="703"/>
      <c r="Y13" s="3645"/>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800"/>
      <c r="Q14" s="1343">
        <f t="shared" si="6"/>
        <v>111</v>
      </c>
      <c r="R14" s="701" t="s">
        <v>18</v>
      </c>
      <c r="S14" s="702">
        <f t="shared" si="0"/>
        <v>100</v>
      </c>
      <c r="T14" s="701" t="s">
        <v>18</v>
      </c>
      <c r="U14" s="702">
        <f t="shared" si="1"/>
        <v>100</v>
      </c>
      <c r="V14" s="701" t="s">
        <v>18</v>
      </c>
      <c r="W14" s="702">
        <f t="shared" si="2"/>
        <v>100</v>
      </c>
      <c r="X14" s="703"/>
      <c r="Y14" s="3645"/>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98" t="s">
        <v>1691</v>
      </c>
      <c r="Q15" s="1352" t="str">
        <f t="shared" si="6"/>
        <v>居住社区成熟度</v>
      </c>
      <c r="R15" s="705" t="s">
        <v>18</v>
      </c>
      <c r="S15" s="706">
        <f t="shared" si="0"/>
        <v>100</v>
      </c>
      <c r="T15" s="705" t="s">
        <v>18</v>
      </c>
      <c r="U15" s="706">
        <f t="shared" si="1"/>
        <v>100</v>
      </c>
      <c r="V15" s="705" t="s">
        <v>18</v>
      </c>
      <c r="W15" s="706">
        <f t="shared" si="2"/>
        <v>100</v>
      </c>
      <c r="X15" s="1355"/>
      <c r="Y15" s="3791" t="s">
        <v>1691</v>
      </c>
      <c r="Z15" s="1356" t="str">
        <f t="shared" si="7"/>
        <v>居住社区成熟度</v>
      </c>
      <c r="AA15" s="1353">
        <f t="shared" si="3"/>
        <v>1</v>
      </c>
      <c r="AB15" s="1353">
        <f t="shared" si="4"/>
        <v>1</v>
      </c>
      <c r="AC15" s="1353">
        <f t="shared" si="5"/>
        <v>1</v>
      </c>
    </row>
    <row r="16" spans="1:29" ht="15">
      <c r="A16" s="379"/>
      <c r="B16" s="397"/>
      <c r="C16" s="398"/>
      <c r="D16" s="399"/>
      <c r="E16" s="1895"/>
      <c r="F16" s="399"/>
      <c r="G16" s="1896"/>
      <c r="H16" s="401"/>
      <c r="I16" s="1896"/>
      <c r="J16" s="399"/>
      <c r="K16" s="1897"/>
      <c r="L16" s="2720"/>
      <c r="M16" s="2714"/>
      <c r="N16" s="2714"/>
      <c r="O16" s="2714"/>
      <c r="P16" s="3799"/>
      <c r="Q16" s="1352"/>
      <c r="R16" s="705"/>
      <c r="S16" s="706"/>
      <c r="T16" s="705"/>
      <c r="U16" s="706"/>
      <c r="V16" s="705"/>
      <c r="W16" s="706"/>
      <c r="X16" s="1355"/>
      <c r="Y16" s="3792"/>
      <c r="Z16" s="1356"/>
      <c r="AA16" s="1353">
        <v>1</v>
      </c>
      <c r="AB16" s="1353">
        <v>1</v>
      </c>
      <c r="AC16" s="1353">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99"/>
      <c r="Q17" s="1352" t="str">
        <f>B17</f>
        <v>交通便捷度</v>
      </c>
      <c r="R17" s="705" t="s">
        <v>18</v>
      </c>
      <c r="S17" s="706">
        <f>F17</f>
        <v>100</v>
      </c>
      <c r="T17" s="705" t="s">
        <v>18</v>
      </c>
      <c r="U17" s="706">
        <f>H17</f>
        <v>100</v>
      </c>
      <c r="V17" s="705" t="s">
        <v>18</v>
      </c>
      <c r="W17" s="706">
        <f>J17</f>
        <v>100</v>
      </c>
      <c r="X17" s="1355"/>
      <c r="Y17" s="3792"/>
      <c r="Z17" s="1356" t="str">
        <f>Q17</f>
        <v>交通便捷度</v>
      </c>
      <c r="AA17" s="1353">
        <f t="shared" si="3"/>
        <v>1</v>
      </c>
      <c r="AB17" s="1353">
        <f t="shared" si="4"/>
        <v>1</v>
      </c>
      <c r="AC17" s="1353">
        <f t="shared" si="5"/>
        <v>1</v>
      </c>
    </row>
    <row r="18" spans="1:29" ht="15">
      <c r="A18" s="379"/>
      <c r="B18" s="407"/>
      <c r="C18" s="1899"/>
      <c r="D18" s="401"/>
      <c r="E18" s="1900"/>
      <c r="F18" s="401"/>
      <c r="G18" s="1901"/>
      <c r="H18" s="399"/>
      <c r="I18" s="1901"/>
      <c r="J18" s="399"/>
      <c r="K18" s="1897"/>
      <c r="L18" s="2720"/>
      <c r="M18" s="2714"/>
      <c r="N18" s="2714"/>
      <c r="O18" s="2714"/>
      <c r="P18" s="3799"/>
      <c r="Q18" s="1352"/>
      <c r="R18" s="705"/>
      <c r="S18" s="706"/>
      <c r="T18" s="705"/>
      <c r="U18" s="706"/>
      <c r="V18" s="705"/>
      <c r="W18" s="706"/>
      <c r="X18" s="1355"/>
      <c r="Y18" s="3792"/>
      <c r="Z18" s="1356"/>
      <c r="AA18" s="1353">
        <v>1</v>
      </c>
      <c r="AB18" s="1353">
        <v>1</v>
      </c>
      <c r="AC18" s="1353">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99"/>
      <c r="Q19" s="1352" t="str">
        <f>B19</f>
        <v>公共配套设施</v>
      </c>
      <c r="R19" s="705" t="s">
        <v>18</v>
      </c>
      <c r="S19" s="706">
        <f>F19</f>
        <v>100</v>
      </c>
      <c r="T19" s="705" t="s">
        <v>18</v>
      </c>
      <c r="U19" s="706">
        <f>H19</f>
        <v>100</v>
      </c>
      <c r="V19" s="705" t="s">
        <v>18</v>
      </c>
      <c r="W19" s="706">
        <f>J19</f>
        <v>100</v>
      </c>
      <c r="X19" s="1355"/>
      <c r="Y19" s="3792"/>
      <c r="Z19" s="1356" t="str">
        <f>Q19</f>
        <v>公共配套设施</v>
      </c>
      <c r="AA19" s="1353">
        <f t="shared" si="3"/>
        <v>1</v>
      </c>
      <c r="AB19" s="1353">
        <f t="shared" si="4"/>
        <v>1</v>
      </c>
      <c r="AC19" s="1353">
        <f t="shared" si="5"/>
        <v>1</v>
      </c>
    </row>
    <row r="20" spans="1:29" ht="15">
      <c r="A20" s="379"/>
      <c r="B20" s="407"/>
      <c r="C20" s="398"/>
      <c r="D20" s="399"/>
      <c r="E20" s="1895"/>
      <c r="F20" s="399"/>
      <c r="G20" s="1896"/>
      <c r="H20" s="399"/>
      <c r="I20" s="1896"/>
      <c r="J20" s="399"/>
      <c r="K20" s="1897"/>
      <c r="L20" s="2720"/>
      <c r="M20" s="2714"/>
      <c r="N20" s="2714"/>
      <c r="O20" s="2714"/>
      <c r="P20" s="3799"/>
      <c r="Q20" s="1352"/>
      <c r="R20" s="705"/>
      <c r="S20" s="706"/>
      <c r="T20" s="705"/>
      <c r="U20" s="706"/>
      <c r="V20" s="705"/>
      <c r="W20" s="706"/>
      <c r="X20" s="1355"/>
      <c r="Y20" s="3792"/>
      <c r="Z20" s="1356"/>
      <c r="AA20" s="1353">
        <v>1</v>
      </c>
      <c r="AB20" s="1353">
        <v>1</v>
      </c>
      <c r="AC20" s="1353">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99"/>
      <c r="Q21" s="1352" t="str">
        <f>B21</f>
        <v>基础设施水平</v>
      </c>
      <c r="R21" s="705" t="s">
        <v>14</v>
      </c>
      <c r="S21" s="706">
        <f>F21</f>
        <v>100</v>
      </c>
      <c r="T21" s="705" t="s">
        <v>14</v>
      </c>
      <c r="U21" s="706">
        <f>H21</f>
        <v>100</v>
      </c>
      <c r="V21" s="705" t="s">
        <v>14</v>
      </c>
      <c r="W21" s="706">
        <f>J21</f>
        <v>100</v>
      </c>
      <c r="X21" s="1355"/>
      <c r="Y21" s="3792"/>
      <c r="Z21" s="1356" t="str">
        <f>Q21</f>
        <v>基础设施水平</v>
      </c>
      <c r="AA21" s="1353">
        <f t="shared" ref="AA21" si="8">D21/F21</f>
        <v>1</v>
      </c>
      <c r="AB21" s="1353">
        <f t="shared" ref="AB21" si="9">D21/H21</f>
        <v>1</v>
      </c>
      <c r="AC21" s="1353">
        <f t="shared" ref="AC21" si="10">D21/J21</f>
        <v>1</v>
      </c>
    </row>
    <row r="22" spans="1:29" ht="15">
      <c r="A22" s="379"/>
      <c r="B22" s="1131"/>
      <c r="C22" s="1899"/>
      <c r="D22" s="399"/>
      <c r="E22" s="398"/>
      <c r="F22" s="399"/>
      <c r="G22" s="1902"/>
      <c r="H22" s="399"/>
      <c r="I22" s="398"/>
      <c r="J22" s="399"/>
      <c r="K22" s="1903"/>
      <c r="L22" s="2720"/>
      <c r="M22" s="2714"/>
      <c r="N22" s="2714"/>
      <c r="O22" s="2714"/>
      <c r="P22" s="3799"/>
      <c r="Q22" s="1352"/>
      <c r="R22" s="705"/>
      <c r="S22" s="706"/>
      <c r="T22" s="705"/>
      <c r="U22" s="706"/>
      <c r="V22" s="705"/>
      <c r="W22" s="706"/>
      <c r="X22" s="1355"/>
      <c r="Y22" s="3792"/>
      <c r="Z22" s="1356"/>
      <c r="AA22" s="1353">
        <v>1</v>
      </c>
      <c r="AB22" s="1353">
        <v>1</v>
      </c>
      <c r="AC22" s="1353">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99"/>
      <c r="Q23" s="1352" t="str">
        <f>B23</f>
        <v>自然及人文环境</v>
      </c>
      <c r="R23" s="705" t="s">
        <v>18</v>
      </c>
      <c r="S23" s="706">
        <f>F23</f>
        <v>100</v>
      </c>
      <c r="T23" s="705" t="s">
        <v>18</v>
      </c>
      <c r="U23" s="706">
        <f>H23</f>
        <v>100</v>
      </c>
      <c r="V23" s="705" t="s">
        <v>18</v>
      </c>
      <c r="W23" s="706">
        <f>J23</f>
        <v>100</v>
      </c>
      <c r="X23" s="1355"/>
      <c r="Y23" s="3792"/>
      <c r="Z23" s="1356" t="str">
        <f>Q23</f>
        <v>自然及人文环境</v>
      </c>
      <c r="AA23" s="1353">
        <f>D23/F23</f>
        <v>1</v>
      </c>
      <c r="AB23" s="1353">
        <f>D23/H23</f>
        <v>1</v>
      </c>
      <c r="AC23" s="1353">
        <f>D23/J23</f>
        <v>1</v>
      </c>
    </row>
    <row r="24" spans="1:29" ht="15">
      <c r="A24" s="379"/>
      <c r="B24" s="407"/>
      <c r="C24" s="398"/>
      <c r="D24" s="399"/>
      <c r="E24" s="1895"/>
      <c r="F24" s="399"/>
      <c r="G24" s="1896"/>
      <c r="H24" s="399"/>
      <c r="I24" s="1896"/>
      <c r="J24" s="399"/>
      <c r="K24" s="1897"/>
      <c r="L24" s="2720"/>
      <c r="M24" s="2714"/>
      <c r="N24" s="2714"/>
      <c r="O24" s="2714"/>
      <c r="P24" s="3799"/>
      <c r="Q24" s="1352"/>
      <c r="R24" s="705"/>
      <c r="S24" s="706"/>
      <c r="T24" s="705"/>
      <c r="U24" s="706"/>
      <c r="V24" s="705"/>
      <c r="W24" s="706"/>
      <c r="X24" s="1355"/>
      <c r="Y24" s="3792"/>
      <c r="Z24" s="1356"/>
      <c r="AA24" s="1353">
        <v>1</v>
      </c>
      <c r="AB24" s="1353">
        <v>1</v>
      </c>
      <c r="AC24" s="1353">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9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9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99"/>
      <c r="Q26" s="1352" t="str">
        <f t="shared" si="11"/>
        <v>朝向</v>
      </c>
      <c r="R26" s="705" t="s">
        <v>18</v>
      </c>
      <c r="S26" s="706">
        <f t="shared" si="12"/>
        <v>100</v>
      </c>
      <c r="T26" s="705" t="s">
        <v>18</v>
      </c>
      <c r="U26" s="706">
        <f t="shared" si="13"/>
        <v>100</v>
      </c>
      <c r="V26" s="705" t="s">
        <v>18</v>
      </c>
      <c r="W26" s="706">
        <f t="shared" si="14"/>
        <v>100</v>
      </c>
      <c r="X26" s="1355"/>
      <c r="Y26" s="379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99"/>
      <c r="Q27" s="1343">
        <f t="shared" si="11"/>
        <v>111</v>
      </c>
      <c r="R27" s="701" t="s">
        <v>18</v>
      </c>
      <c r="S27" s="702">
        <f t="shared" si="12"/>
        <v>100</v>
      </c>
      <c r="T27" s="701" t="s">
        <v>18</v>
      </c>
      <c r="U27" s="702">
        <f t="shared" si="13"/>
        <v>100</v>
      </c>
      <c r="V27" s="701" t="s">
        <v>18</v>
      </c>
      <c r="W27" s="702">
        <f t="shared" si="14"/>
        <v>100</v>
      </c>
      <c r="X27" s="703"/>
      <c r="Y27" s="379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99"/>
      <c r="Q28" s="1352">
        <f t="shared" si="11"/>
        <v>111</v>
      </c>
      <c r="R28" s="705" t="s">
        <v>18</v>
      </c>
      <c r="S28" s="706">
        <f t="shared" si="12"/>
        <v>100</v>
      </c>
      <c r="T28" s="705" t="s">
        <v>18</v>
      </c>
      <c r="U28" s="706">
        <f t="shared" si="13"/>
        <v>100</v>
      </c>
      <c r="V28" s="705" t="s">
        <v>18</v>
      </c>
      <c r="W28" s="706">
        <f t="shared" si="14"/>
        <v>100</v>
      </c>
      <c r="X28" s="1355"/>
      <c r="Y28" s="379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99"/>
      <c r="Q29" s="1352">
        <f t="shared" si="11"/>
        <v>111</v>
      </c>
      <c r="R29" s="705" t="s">
        <v>18</v>
      </c>
      <c r="S29" s="706">
        <f t="shared" si="12"/>
        <v>100</v>
      </c>
      <c r="T29" s="705" t="s">
        <v>18</v>
      </c>
      <c r="U29" s="706">
        <f t="shared" si="13"/>
        <v>100</v>
      </c>
      <c r="V29" s="705" t="s">
        <v>18</v>
      </c>
      <c r="W29" s="706">
        <f t="shared" si="14"/>
        <v>100</v>
      </c>
      <c r="X29" s="1355"/>
      <c r="Y29" s="379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99"/>
      <c r="Q30" s="1352">
        <f t="shared" si="11"/>
        <v>111</v>
      </c>
      <c r="R30" s="705" t="s">
        <v>18</v>
      </c>
      <c r="S30" s="706">
        <f t="shared" si="12"/>
        <v>100</v>
      </c>
      <c r="T30" s="705" t="s">
        <v>18</v>
      </c>
      <c r="U30" s="706">
        <f t="shared" si="13"/>
        <v>100</v>
      </c>
      <c r="V30" s="705" t="s">
        <v>18</v>
      </c>
      <c r="W30" s="706">
        <f t="shared" si="14"/>
        <v>100</v>
      </c>
      <c r="X30" s="1355"/>
      <c r="Y30" s="379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99"/>
      <c r="Q31" s="1352">
        <f t="shared" si="11"/>
        <v>111</v>
      </c>
      <c r="R31" s="705" t="s">
        <v>18</v>
      </c>
      <c r="S31" s="706">
        <f t="shared" si="12"/>
        <v>100</v>
      </c>
      <c r="T31" s="705" t="s">
        <v>18</v>
      </c>
      <c r="U31" s="706">
        <f t="shared" si="13"/>
        <v>100</v>
      </c>
      <c r="V31" s="705" t="s">
        <v>18</v>
      </c>
      <c r="W31" s="706">
        <f t="shared" si="14"/>
        <v>100</v>
      </c>
      <c r="X31" s="1355"/>
      <c r="Y31" s="3792"/>
      <c r="Z31" s="1356">
        <f t="shared" si="18"/>
        <v>111</v>
      </c>
      <c r="AA31" s="1353">
        <f t="shared" si="15"/>
        <v>1</v>
      </c>
      <c r="AB31" s="1353">
        <f t="shared" si="16"/>
        <v>1</v>
      </c>
      <c r="AC31" s="1353">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93" t="s">
        <v>1696</v>
      </c>
      <c r="Q32" s="1352" t="str">
        <f t="shared" si="11"/>
        <v>建筑类型</v>
      </c>
      <c r="R32" s="705" t="s">
        <v>18</v>
      </c>
      <c r="S32" s="706">
        <f t="shared" si="12"/>
        <v>100</v>
      </c>
      <c r="T32" s="705" t="s">
        <v>18</v>
      </c>
      <c r="U32" s="706">
        <f t="shared" si="13"/>
        <v>100</v>
      </c>
      <c r="V32" s="705" t="s">
        <v>18</v>
      </c>
      <c r="W32" s="706">
        <f t="shared" si="14"/>
        <v>100</v>
      </c>
      <c r="X32" s="1355"/>
      <c r="Y32" s="379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94"/>
      <c r="Q33" s="707" t="str">
        <f t="shared" si="11"/>
        <v>项目建筑规模</v>
      </c>
      <c r="R33" s="708" t="s">
        <v>18</v>
      </c>
      <c r="S33" s="709" t="e">
        <f t="shared" si="12"/>
        <v>#N/A</v>
      </c>
      <c r="T33" s="708" t="s">
        <v>18</v>
      </c>
      <c r="U33" s="709" t="e">
        <f t="shared" si="13"/>
        <v>#N/A</v>
      </c>
      <c r="V33" s="708" t="s">
        <v>18</v>
      </c>
      <c r="W33" s="709" t="e">
        <f t="shared" si="14"/>
        <v>#N/A</v>
      </c>
      <c r="X33" s="710"/>
      <c r="Y33" s="3796"/>
      <c r="Z33" s="711" t="str">
        <f t="shared" si="18"/>
        <v>项目建筑规模</v>
      </c>
      <c r="AA33" s="1353" t="e">
        <f t="shared" si="15"/>
        <v>#N/A</v>
      </c>
      <c r="AB33" s="1353" t="e">
        <f t="shared" si="16"/>
        <v>#N/A</v>
      </c>
      <c r="AC33" s="1353"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94"/>
      <c r="Q34" s="1352" t="str">
        <f t="shared" si="11"/>
        <v>建筑结构</v>
      </c>
      <c r="R34" s="705" t="s">
        <v>18</v>
      </c>
      <c r="S34" s="706">
        <f t="shared" si="12"/>
        <v>100</v>
      </c>
      <c r="T34" s="705" t="s">
        <v>18</v>
      </c>
      <c r="U34" s="706">
        <f t="shared" si="13"/>
        <v>100</v>
      </c>
      <c r="V34" s="705" t="s">
        <v>18</v>
      </c>
      <c r="W34" s="706">
        <f t="shared" si="14"/>
        <v>100</v>
      </c>
      <c r="X34" s="1355"/>
      <c r="Y34" s="3796"/>
      <c r="Z34" s="1356" t="str">
        <f t="shared" si="18"/>
        <v>建筑结构</v>
      </c>
      <c r="AA34" s="1353">
        <f t="shared" si="15"/>
        <v>1</v>
      </c>
      <c r="AB34" s="1353">
        <f t="shared" si="16"/>
        <v>1</v>
      </c>
      <c r="AC34" s="1353">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94"/>
      <c r="Q35" s="1352" t="str">
        <f t="shared" si="11"/>
        <v>建筑品质</v>
      </c>
      <c r="R35" s="705" t="s">
        <v>18</v>
      </c>
      <c r="S35" s="706">
        <f t="shared" si="12"/>
        <v>100</v>
      </c>
      <c r="T35" s="705" t="s">
        <v>18</v>
      </c>
      <c r="U35" s="706">
        <f t="shared" si="13"/>
        <v>100</v>
      </c>
      <c r="V35" s="705" t="s">
        <v>18</v>
      </c>
      <c r="W35" s="706">
        <f t="shared" si="14"/>
        <v>100</v>
      </c>
      <c r="X35" s="1355"/>
      <c r="Y35" s="3796"/>
      <c r="Z35" s="1356" t="str">
        <f t="shared" si="18"/>
        <v>建筑品质</v>
      </c>
      <c r="AA35" s="1353">
        <f t="shared" si="15"/>
        <v>1</v>
      </c>
      <c r="AB35" s="1353">
        <f t="shared" si="16"/>
        <v>1</v>
      </c>
      <c r="AC35" s="1353">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94"/>
      <c r="Q36" s="1352" t="str">
        <f t="shared" si="11"/>
        <v>公共部分装修</v>
      </c>
      <c r="R36" s="705" t="s">
        <v>18</v>
      </c>
      <c r="S36" s="706">
        <f t="shared" si="12"/>
        <v>100</v>
      </c>
      <c r="T36" s="705" t="s">
        <v>18</v>
      </c>
      <c r="U36" s="706">
        <f t="shared" si="13"/>
        <v>100</v>
      </c>
      <c r="V36" s="705" t="s">
        <v>18</v>
      </c>
      <c r="W36" s="706">
        <f t="shared" si="14"/>
        <v>100</v>
      </c>
      <c r="X36" s="1355"/>
      <c r="Y36" s="379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94"/>
      <c r="Q37" s="1343" t="str">
        <f t="shared" si="11"/>
        <v>成新度</v>
      </c>
      <c r="R37" s="701" t="s">
        <v>18</v>
      </c>
      <c r="S37" s="702" t="e">
        <f t="shared" si="12"/>
        <v>#N/A</v>
      </c>
      <c r="T37" s="701" t="s">
        <v>18</v>
      </c>
      <c r="U37" s="702" t="e">
        <f t="shared" si="13"/>
        <v>#N/A</v>
      </c>
      <c r="V37" s="701" t="s">
        <v>18</v>
      </c>
      <c r="W37" s="702" t="e">
        <f t="shared" si="14"/>
        <v>#N/A</v>
      </c>
      <c r="X37" s="703"/>
      <c r="Y37" s="3796"/>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94" t="s">
        <v>1696</v>
      </c>
      <c r="Q38" s="1352" t="str">
        <f t="shared" si="11"/>
        <v>物业管理</v>
      </c>
      <c r="R38" s="705" t="s">
        <v>18</v>
      </c>
      <c r="S38" s="706">
        <f t="shared" si="12"/>
        <v>100</v>
      </c>
      <c r="T38" s="705" t="s">
        <v>18</v>
      </c>
      <c r="U38" s="706">
        <f t="shared" si="13"/>
        <v>100</v>
      </c>
      <c r="V38" s="705" t="s">
        <v>18</v>
      </c>
      <c r="W38" s="706">
        <f t="shared" si="14"/>
        <v>100</v>
      </c>
      <c r="X38" s="1355"/>
      <c r="Y38" s="3796" t="s">
        <v>1696</v>
      </c>
      <c r="Z38" s="1356" t="str">
        <f t="shared" si="18"/>
        <v>物业管理</v>
      </c>
      <c r="AA38" s="1353">
        <f t="shared" si="15"/>
        <v>1</v>
      </c>
      <c r="AB38" s="1353">
        <f t="shared" si="16"/>
        <v>1</v>
      </c>
      <c r="AC38" s="1353">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94"/>
      <c r="Q39" s="1352" t="str">
        <f t="shared" si="11"/>
        <v>市政基础设施</v>
      </c>
      <c r="R39" s="705" t="s">
        <v>18</v>
      </c>
      <c r="S39" s="706">
        <f t="shared" si="12"/>
        <v>100</v>
      </c>
      <c r="T39" s="705" t="s">
        <v>18</v>
      </c>
      <c r="U39" s="706">
        <f t="shared" si="13"/>
        <v>100</v>
      </c>
      <c r="V39" s="705" t="s">
        <v>18</v>
      </c>
      <c r="W39" s="706">
        <f t="shared" si="14"/>
        <v>100</v>
      </c>
      <c r="X39" s="1355"/>
      <c r="Y39" s="3796"/>
      <c r="Z39" s="1356" t="str">
        <f t="shared" si="18"/>
        <v>市政基础设施</v>
      </c>
      <c r="AA39" s="1353">
        <f t="shared" si="15"/>
        <v>1</v>
      </c>
      <c r="AB39" s="1353">
        <f t="shared" si="16"/>
        <v>1</v>
      </c>
      <c r="AC39" s="1353">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94"/>
      <c r="Q40" s="1352" t="str">
        <f t="shared" si="11"/>
        <v>房型</v>
      </c>
      <c r="R40" s="705" t="s">
        <v>18</v>
      </c>
      <c r="S40" s="706">
        <f t="shared" si="12"/>
        <v>100</v>
      </c>
      <c r="T40" s="705" t="s">
        <v>18</v>
      </c>
      <c r="U40" s="706">
        <f t="shared" si="13"/>
        <v>100</v>
      </c>
      <c r="V40" s="705" t="s">
        <v>18</v>
      </c>
      <c r="W40" s="706">
        <f t="shared" si="14"/>
        <v>100</v>
      </c>
      <c r="X40" s="1355"/>
      <c r="Y40" s="379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94"/>
      <c r="Q41" s="707" t="str">
        <f t="shared" si="11"/>
        <v>单套/主力户型建筑面积</v>
      </c>
      <c r="R41" s="708" t="s">
        <v>18</v>
      </c>
      <c r="S41" s="709">
        <f t="shared" si="12"/>
        <v>100</v>
      </c>
      <c r="T41" s="708" t="s">
        <v>18</v>
      </c>
      <c r="U41" s="709">
        <f t="shared" si="13"/>
        <v>100</v>
      </c>
      <c r="V41" s="708" t="s">
        <v>18</v>
      </c>
      <c r="W41" s="709">
        <f t="shared" si="14"/>
        <v>100</v>
      </c>
      <c r="X41" s="710"/>
      <c r="Y41" s="3796"/>
      <c r="Z41" s="711" t="str">
        <f t="shared" si="18"/>
        <v>单套/主力户型建筑面积</v>
      </c>
      <c r="AA41" s="1353">
        <f t="shared" si="15"/>
        <v>1</v>
      </c>
      <c r="AB41" s="1353">
        <f t="shared" si="16"/>
        <v>1</v>
      </c>
      <c r="AC41" s="1353">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94"/>
      <c r="Q42" s="1352" t="str">
        <f t="shared" si="11"/>
        <v>内部装修</v>
      </c>
      <c r="R42" s="705" t="s">
        <v>18</v>
      </c>
      <c r="S42" s="706">
        <f t="shared" si="12"/>
        <v>100</v>
      </c>
      <c r="T42" s="705" t="s">
        <v>18</v>
      </c>
      <c r="U42" s="706">
        <f t="shared" si="13"/>
        <v>100</v>
      </c>
      <c r="V42" s="705" t="s">
        <v>18</v>
      </c>
      <c r="W42" s="706">
        <f t="shared" si="14"/>
        <v>100</v>
      </c>
      <c r="X42" s="1355"/>
      <c r="Y42" s="3796"/>
      <c r="Z42" s="1356" t="str">
        <f t="shared" si="18"/>
        <v>内部装修</v>
      </c>
      <c r="AA42" s="1353">
        <f t="shared" si="15"/>
        <v>1</v>
      </c>
      <c r="AB42" s="1353">
        <f t="shared" si="16"/>
        <v>1</v>
      </c>
      <c r="AC42" s="1353">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94"/>
      <c r="Q43" s="1352" t="str">
        <f t="shared" si="11"/>
        <v>内部装修维护情况</v>
      </c>
      <c r="R43" s="705" t="s">
        <v>18</v>
      </c>
      <c r="S43" s="706">
        <f t="shared" si="12"/>
        <v>100</v>
      </c>
      <c r="T43" s="705" t="s">
        <v>18</v>
      </c>
      <c r="U43" s="706">
        <f t="shared" si="13"/>
        <v>100</v>
      </c>
      <c r="V43" s="705" t="s">
        <v>18</v>
      </c>
      <c r="W43" s="706">
        <f t="shared" si="14"/>
        <v>100</v>
      </c>
      <c r="X43" s="1355"/>
      <c r="Y43" s="379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94"/>
      <c r="Q44" s="1343">
        <f t="shared" si="11"/>
        <v>111</v>
      </c>
      <c r="R44" s="701" t="s">
        <v>18</v>
      </c>
      <c r="S44" s="702">
        <f t="shared" si="12"/>
        <v>100</v>
      </c>
      <c r="T44" s="701" t="s">
        <v>18</v>
      </c>
      <c r="U44" s="702">
        <f t="shared" si="13"/>
        <v>100</v>
      </c>
      <c r="V44" s="701" t="s">
        <v>18</v>
      </c>
      <c r="W44" s="702">
        <f t="shared" si="14"/>
        <v>100</v>
      </c>
      <c r="X44" s="703"/>
      <c r="Y44" s="379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94"/>
      <c r="Q45" s="1352">
        <f t="shared" si="11"/>
        <v>111</v>
      </c>
      <c r="R45" s="705" t="s">
        <v>18</v>
      </c>
      <c r="S45" s="706">
        <f t="shared" si="12"/>
        <v>100</v>
      </c>
      <c r="T45" s="705" t="s">
        <v>18</v>
      </c>
      <c r="U45" s="706">
        <f t="shared" si="13"/>
        <v>100</v>
      </c>
      <c r="V45" s="705" t="s">
        <v>18</v>
      </c>
      <c r="W45" s="706">
        <f t="shared" si="14"/>
        <v>100</v>
      </c>
      <c r="X45" s="1355"/>
      <c r="Y45" s="3796"/>
      <c r="Z45" s="1356">
        <f t="shared" si="18"/>
        <v>111</v>
      </c>
      <c r="AA45" s="1353">
        <f t="shared" si="15"/>
        <v>1</v>
      </c>
      <c r="AB45" s="1353">
        <f t="shared" si="16"/>
        <v>1</v>
      </c>
      <c r="AC45" s="1353">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95"/>
      <c r="Q46" s="1352">
        <f t="shared" si="11"/>
        <v>111</v>
      </c>
      <c r="R46" s="705" t="s">
        <v>17</v>
      </c>
      <c r="S46" s="706">
        <f t="shared" si="12"/>
        <v>100</v>
      </c>
      <c r="T46" s="705" t="s">
        <v>17</v>
      </c>
      <c r="U46" s="706">
        <f t="shared" si="13"/>
        <v>100</v>
      </c>
      <c r="V46" s="705" t="s">
        <v>17</v>
      </c>
      <c r="W46" s="706">
        <f t="shared" si="14"/>
        <v>100</v>
      </c>
      <c r="X46" s="1355"/>
      <c r="Y46" s="379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2"/>
      <c r="L47" s="2722"/>
      <c r="M47" s="2723"/>
      <c r="N47" s="2714"/>
      <c r="O47" s="2723"/>
      <c r="P47" s="3789" t="str">
        <f>A47</f>
        <v>成交单价（元/平方米）</v>
      </c>
      <c r="Q47" s="3789"/>
      <c r="R47" s="3790">
        <f>E47</f>
        <v>0</v>
      </c>
      <c r="S47" s="3790"/>
      <c r="T47" s="3790">
        <f>G47</f>
        <v>0</v>
      </c>
      <c r="U47" s="3790"/>
      <c r="V47" s="3790">
        <f>I47</f>
        <v>0</v>
      </c>
      <c r="W47" s="3790"/>
      <c r="X47" s="690"/>
      <c r="Y47" s="712"/>
      <c r="Z47" s="690"/>
      <c r="AA47" s="690"/>
      <c r="AB47" s="690"/>
      <c r="AC47" s="690"/>
    </row>
    <row r="48" spans="1:29" ht="15.75" thickBot="1">
      <c r="A48" s="437" t="s">
        <v>1709</v>
      </c>
      <c r="B48" s="438"/>
      <c r="C48" s="1160" t="e">
        <f>R49</f>
        <v>#DIV/0!</v>
      </c>
      <c r="D48" s="2315" t="s">
        <v>2138</v>
      </c>
      <c r="E48" s="1161" t="e">
        <f>R48</f>
        <v>#DIV/0!</v>
      </c>
      <c r="F48" s="2316"/>
      <c r="G48" s="1160" t="e">
        <f>T48</f>
        <v>#DIV/0!</v>
      </c>
      <c r="H48" s="2316"/>
      <c r="I48" s="1161" t="e">
        <f>V48</f>
        <v>#DIV/0!</v>
      </c>
      <c r="J48" s="2316"/>
      <c r="K48" s="2317">
        <f>F48+H48+J48</f>
        <v>0</v>
      </c>
      <c r="L48" s="2722"/>
      <c r="M48" s="2723"/>
      <c r="N48" s="2723"/>
      <c r="O48" s="2723"/>
      <c r="P48" s="3789" t="str">
        <f>A48</f>
        <v>比较价值（元/平方米）</v>
      </c>
      <c r="Q48" s="3789"/>
      <c r="R48" s="3790" t="e">
        <f>IF(F1="售价",ROUND(PRODUCT(R47,AA7:AA46),0),ROUND(PRODUCT(R47,AA7:AA46),1))</f>
        <v>#DIV/0!</v>
      </c>
      <c r="S48" s="3790"/>
      <c r="T48" s="3790" t="e">
        <f>IF(F1="售价",ROUND(PRODUCT(T47,AB7:AB46),0),ROUND(PRODUCT(T47,AB7:AB46),1))</f>
        <v>#DIV/0!</v>
      </c>
      <c r="U48" s="3790"/>
      <c r="V48" s="3790" t="e">
        <f>IF(F1="售价",ROUND(PRODUCT(V47,AC7:AC46),0),ROUND(PRODUCT(V47,AC7:AC46),1))</f>
        <v>#DIV/0!</v>
      </c>
      <c r="W48" s="379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3"/>
      <c r="L49" s="2722"/>
      <c r="M49" s="2723"/>
      <c r="N49" s="2723"/>
      <c r="O49" s="2723"/>
      <c r="P49" s="3786" t="str">
        <f>A49</f>
        <v>估价对象XX用房的比较价值（楼面单价，元/平方米）</v>
      </c>
      <c r="Q49" s="3787"/>
      <c r="R49" s="3788" t="e">
        <f>IF(F1="售价",ROUND(IF(D48="简单平均",AVERAGE(R48:V48),R48*F48+T48*H48+V48*J48),0),ROUND(IF(D48="简单平均",AVERAGE(R48:V48),R48*F48+T48*H48+V48*J48),1))</f>
        <v>#DIV/0!</v>
      </c>
      <c r="S49" s="3788"/>
      <c r="T49" s="3788"/>
      <c r="U49" s="3788"/>
      <c r="V49" s="3788"/>
      <c r="W49" s="378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24" sqref="M2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6" t="s">
        <v>1766</v>
      </c>
      <c r="C1" s="1238" t="s">
        <v>1662</v>
      </c>
      <c r="D1" s="1225" t="s">
        <v>673</v>
      </c>
      <c r="E1" s="3424" t="s">
        <v>4442</v>
      </c>
      <c r="F1" s="1877" t="s">
        <v>4441</v>
      </c>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f>IF(E1="项目模式",IF(C2="——",ROUND(C49*D3/10000,0),ROUND(C49*D3/10000,0)-D2),IF(E1="单套模式",IF(C2="——",ROUND(C49*D3/10000,4),ROUND(C49*D3/10000,4)-D2)))</f>
        <v>246843</v>
      </c>
      <c r="C2" s="1879" t="s">
        <v>43</v>
      </c>
      <c r="D2" s="1115"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42965</v>
      </c>
      <c r="C3" s="354" t="s">
        <v>1768</v>
      </c>
      <c r="D3" s="353">
        <f>IF(D1="",'数据-汇总表'!E3,SUMIF('数据-汇总表'!$C19:$C33,D1,'数据-汇总表'!$E19:$E33))</f>
        <v>57452.09</v>
      </c>
      <c r="E3" s="1952"/>
      <c r="F3" s="3541">
        <f>大宗交易案例!A12</f>
        <v>44378</v>
      </c>
      <c r="G3" s="908"/>
      <c r="H3" s="3542">
        <f>大宗交易案例!A13</f>
        <v>44348</v>
      </c>
      <c r="I3" s="908"/>
      <c r="J3" s="3542">
        <f>大宗交易案例!A14</f>
        <v>44317</v>
      </c>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804" t="s">
        <v>1770</v>
      </c>
      <c r="D4" s="3805"/>
      <c r="E4" s="3806" t="s">
        <v>1771</v>
      </c>
      <c r="F4" s="3807"/>
      <c r="G4" s="3804" t="s">
        <v>1772</v>
      </c>
      <c r="H4" s="3805"/>
      <c r="I4" s="3804" t="s">
        <v>1773</v>
      </c>
      <c r="J4" s="3805"/>
      <c r="K4" s="559" t="s">
        <v>1774</v>
      </c>
      <c r="L4" s="2713"/>
      <c r="M4" s="2714"/>
      <c r="N4" s="2714"/>
      <c r="O4" s="2714"/>
      <c r="P4" s="3808" t="s">
        <v>1775</v>
      </c>
      <c r="Q4" s="3809"/>
      <c r="R4" s="3814" t="s">
        <v>1771</v>
      </c>
      <c r="S4" s="3815"/>
      <c r="T4" s="3814" t="s">
        <v>1772</v>
      </c>
      <c r="U4" s="3815"/>
      <c r="V4" s="3820" t="s">
        <v>1773</v>
      </c>
      <c r="W4" s="3820"/>
      <c r="X4" s="1355"/>
      <c r="Y4" s="3814" t="s">
        <v>1775</v>
      </c>
      <c r="Z4" s="3815"/>
      <c r="AA4" s="3801" t="s">
        <v>1771</v>
      </c>
      <c r="AB4" s="3820" t="s">
        <v>1772</v>
      </c>
      <c r="AC4" s="3801" t="s">
        <v>1773</v>
      </c>
    </row>
    <row r="5" spans="1:29" ht="15">
      <c r="A5" s="358"/>
      <c r="B5" s="359"/>
      <c r="C5" s="3823" t="s">
        <v>1673</v>
      </c>
      <c r="D5" s="3824"/>
      <c r="E5" s="3830" t="str">
        <f>大宗交易案例!C12</f>
        <v>世茂工三</v>
      </c>
      <c r="F5" s="3831"/>
      <c r="G5" s="3823" t="str">
        <f>大宗交易案例!C13</f>
        <v>北京来福士中心</v>
      </c>
      <c r="H5" s="3824"/>
      <c r="I5" s="3823" t="str">
        <f>大宗交易案例!C14</f>
        <v>北京悦荟广场</v>
      </c>
      <c r="J5" s="3824"/>
      <c r="K5" s="559"/>
      <c r="L5" s="2713"/>
      <c r="M5" s="2714"/>
      <c r="N5" s="2714"/>
      <c r="O5" s="2714"/>
      <c r="P5" s="3810"/>
      <c r="Q5" s="3811"/>
      <c r="R5" s="3816"/>
      <c r="S5" s="3817"/>
      <c r="T5" s="3816"/>
      <c r="U5" s="3817"/>
      <c r="V5" s="3820"/>
      <c r="W5" s="3820"/>
      <c r="X5" s="1355"/>
      <c r="Y5" s="3816"/>
      <c r="Z5" s="3817"/>
      <c r="AA5" s="3802"/>
      <c r="AB5" s="3820"/>
      <c r="AC5" s="3802"/>
    </row>
    <row r="6" spans="1:29" ht="15.75" thickBot="1">
      <c r="A6" s="360"/>
      <c r="B6" s="361"/>
      <c r="C6" s="3821" t="s">
        <v>1677</v>
      </c>
      <c r="D6" s="3822"/>
      <c r="E6" s="3828" t="s">
        <v>1677</v>
      </c>
      <c r="F6" s="3829"/>
      <c r="G6" s="3821" t="s">
        <v>1677</v>
      </c>
      <c r="H6" s="3822"/>
      <c r="I6" s="3821" t="s">
        <v>1677</v>
      </c>
      <c r="J6" s="3822"/>
      <c r="K6" s="559" t="s">
        <v>1678</v>
      </c>
      <c r="L6" s="2713"/>
      <c r="M6" s="2714"/>
      <c r="N6" s="2714"/>
      <c r="O6" s="2714"/>
      <c r="P6" s="3812"/>
      <c r="Q6" s="3813"/>
      <c r="R6" s="3816"/>
      <c r="S6" s="3817"/>
      <c r="T6" s="3818"/>
      <c r="U6" s="3819"/>
      <c r="V6" s="3820"/>
      <c r="W6" s="3820"/>
      <c r="X6" s="1355"/>
      <c r="Y6" s="3818"/>
      <c r="Z6" s="3819"/>
      <c r="AA6" s="3803"/>
      <c r="AB6" s="3820"/>
      <c r="AC6" s="3803"/>
    </row>
    <row r="7" spans="1:29" s="108" customFormat="1" ht="15.75" thickBot="1">
      <c r="A7" s="362" t="s">
        <v>1679</v>
      </c>
      <c r="B7" s="363"/>
      <c r="C7" s="364">
        <f>'数据-取费表'!B2</f>
        <v>45040</v>
      </c>
      <c r="D7" s="365">
        <v>100</v>
      </c>
      <c r="E7" s="366">
        <f>J58</f>
        <v>44805</v>
      </c>
      <c r="F7" s="367">
        <f>SUMIF(58:58,YEAR(E7)&amp;"-"&amp;MONTH(E7),59:59)</f>
        <v>98.59999999999998</v>
      </c>
      <c r="G7" s="366">
        <f>K58</f>
        <v>44774</v>
      </c>
      <c r="H7" s="365">
        <f>SUMIF(58:58,YEAR(G7)&amp;"-"&amp;MONTH(G7),59:59)</f>
        <v>98.399999999999977</v>
      </c>
      <c r="I7" s="366">
        <f>G7</f>
        <v>44774</v>
      </c>
      <c r="J7" s="365">
        <f>SUMIF(58:58,YEAR(I7)&amp;"-"&amp;MONTH(I7),59:59)</f>
        <v>98.399999999999977</v>
      </c>
      <c r="K7" s="560"/>
      <c r="L7" s="2715"/>
      <c r="M7" s="2716"/>
      <c r="N7" s="2716"/>
      <c r="O7" s="2716"/>
      <c r="P7" s="3825" t="s">
        <v>1680</v>
      </c>
      <c r="Q7" s="3827"/>
      <c r="R7" s="701" t="s">
        <v>14</v>
      </c>
      <c r="S7" s="702">
        <f t="shared" ref="S7:S15" si="0">F7</f>
        <v>98.59999999999998</v>
      </c>
      <c r="T7" s="701" t="s">
        <v>14</v>
      </c>
      <c r="U7" s="702">
        <f t="shared" ref="U7:U15" si="1">H7</f>
        <v>98.399999999999977</v>
      </c>
      <c r="V7" s="701" t="s">
        <v>14</v>
      </c>
      <c r="W7" s="702">
        <f t="shared" ref="W7:W15" si="2">J7</f>
        <v>98.399999999999977</v>
      </c>
      <c r="X7" s="703"/>
      <c r="Y7" s="3825" t="s">
        <v>1680</v>
      </c>
      <c r="Z7" s="3826"/>
      <c r="AA7" s="704">
        <f>D7/F7</f>
        <v>1.0141987829614607</v>
      </c>
      <c r="AB7" s="704">
        <f>D7/H7</f>
        <v>1.0162601626016263</v>
      </c>
      <c r="AC7" s="704">
        <f>D7/J7</f>
        <v>1.0162601626016263</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825" t="s">
        <v>1683</v>
      </c>
      <c r="Q8" s="3826"/>
      <c r="R8" s="701" t="s">
        <v>14</v>
      </c>
      <c r="S8" s="702">
        <f t="shared" si="0"/>
        <v>100</v>
      </c>
      <c r="T8" s="701" t="s">
        <v>14</v>
      </c>
      <c r="U8" s="702">
        <f t="shared" si="1"/>
        <v>100</v>
      </c>
      <c r="V8" s="701" t="s">
        <v>14</v>
      </c>
      <c r="W8" s="702">
        <f t="shared" si="2"/>
        <v>100</v>
      </c>
      <c r="X8" s="703"/>
      <c r="Y8" s="3825" t="s">
        <v>1683</v>
      </c>
      <c r="Z8" s="382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800"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800"/>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1689</v>
      </c>
      <c r="C11" s="380">
        <f>'数据-汇总表'!I6</f>
        <v>4.5</v>
      </c>
      <c r="D11" s="127">
        <v>100</v>
      </c>
      <c r="E11" s="381">
        <v>4.59</v>
      </c>
      <c r="F11" s="376">
        <f>LOOKUP(E11,68:68,69:69)-LOOKUP(C11,68:68,69:69)+100</f>
        <v>100</v>
      </c>
      <c r="G11" s="380">
        <f>143865/14686</f>
        <v>9.7960642789050798</v>
      </c>
      <c r="H11" s="127">
        <f>LOOKUP(G11,68:68,69:69)-LOOKUP(C11,68:68,69:69)+100</f>
        <v>99</v>
      </c>
      <c r="I11" s="380">
        <v>3.37</v>
      </c>
      <c r="J11" s="127">
        <f>LOOKUP(I11,68:68,69:69)-LOOKUP(C11,68:68,69:69)+100</f>
        <v>100.5</v>
      </c>
      <c r="K11" s="561">
        <v>0.5</v>
      </c>
      <c r="L11" s="2719"/>
      <c r="M11" s="2714"/>
      <c r="N11" s="2714"/>
      <c r="O11" s="2714"/>
      <c r="P11" s="3800"/>
      <c r="Q11" s="1343" t="str">
        <f t="shared" si="6"/>
        <v>容积率</v>
      </c>
      <c r="R11" s="701" t="s">
        <v>14</v>
      </c>
      <c r="S11" s="702">
        <f t="shared" si="0"/>
        <v>100</v>
      </c>
      <c r="T11" s="701" t="s">
        <v>14</v>
      </c>
      <c r="U11" s="702">
        <f t="shared" si="1"/>
        <v>99</v>
      </c>
      <c r="V11" s="701" t="s">
        <v>14</v>
      </c>
      <c r="W11" s="702">
        <f t="shared" si="2"/>
        <v>100.5</v>
      </c>
      <c r="X11" s="703"/>
      <c r="Y11" s="3645"/>
      <c r="Z11" s="52" t="str">
        <f t="shared" si="7"/>
        <v>容积率</v>
      </c>
      <c r="AA11" s="704">
        <f t="shared" si="3"/>
        <v>1</v>
      </c>
      <c r="AB11" s="704">
        <f t="shared" si="4"/>
        <v>1.0101010101010102</v>
      </c>
      <c r="AC11" s="704">
        <f t="shared" si="5"/>
        <v>0.99502487562189057</v>
      </c>
    </row>
    <row r="12" spans="1:29" s="108" customFormat="1" ht="15">
      <c r="A12" s="382"/>
      <c r="B12" s="1891" t="s">
        <v>4426</v>
      </c>
      <c r="C12" s="3548">
        <v>0</v>
      </c>
      <c r="D12" s="384">
        <v>100</v>
      </c>
      <c r="E12" s="3548">
        <v>0</v>
      </c>
      <c r="F12" s="376">
        <f>SUMIF(70:70,E12,71:71)-SUMIF(70:70,C12,71:71)+100</f>
        <v>100</v>
      </c>
      <c r="G12" s="3546">
        <f>38200/143865/2</f>
        <v>0.13276335453376428</v>
      </c>
      <c r="H12" s="127">
        <f>SUMIF(70:70,G12,71:71)-SUMIF(70:70,C12,71:71)+100</f>
        <v>100</v>
      </c>
      <c r="I12" s="3546">
        <f>大宗交易案例!G14/10*1/大宗交易案例!G14</f>
        <v>0.1</v>
      </c>
      <c r="J12" s="127">
        <f>SUMIF(70:70,I12,71:71)-SUMIF(70:70,C12,71:71)+100</f>
        <v>100</v>
      </c>
      <c r="K12" s="562"/>
      <c r="L12" s="2715"/>
      <c r="M12" s="2716"/>
      <c r="N12" s="2716"/>
      <c r="O12" s="2716"/>
      <c r="P12" s="3800"/>
      <c r="Q12" s="1343" t="str">
        <f t="shared" si="6"/>
        <v>地下车库占比</v>
      </c>
      <c r="R12" s="701" t="s">
        <v>14</v>
      </c>
      <c r="S12" s="702">
        <f t="shared" si="0"/>
        <v>100</v>
      </c>
      <c r="T12" s="701" t="s">
        <v>14</v>
      </c>
      <c r="U12" s="702">
        <f t="shared" si="1"/>
        <v>100</v>
      </c>
      <c r="V12" s="701" t="s">
        <v>14</v>
      </c>
      <c r="W12" s="702">
        <f t="shared" si="2"/>
        <v>100</v>
      </c>
      <c r="X12" s="703"/>
      <c r="Y12" s="3645"/>
      <c r="Z12" s="52" t="str">
        <f t="shared" si="7"/>
        <v>地下车库占比</v>
      </c>
      <c r="AA12" s="704">
        <f>D12/F12</f>
        <v>1</v>
      </c>
      <c r="AB12" s="704">
        <f>D12/H12</f>
        <v>1</v>
      </c>
      <c r="AC12" s="704">
        <f>D12/J12</f>
        <v>1</v>
      </c>
    </row>
    <row r="13" spans="1:29" ht="15">
      <c r="A13" s="379"/>
      <c r="B13" s="1891" t="s">
        <v>4426</v>
      </c>
      <c r="C13" s="3545" t="s">
        <v>4430</v>
      </c>
      <c r="D13" s="386">
        <v>100</v>
      </c>
      <c r="E13" s="3545" t="s">
        <v>4430</v>
      </c>
      <c r="F13" s="376">
        <f>SUMIF(72:72,E13,73:73)-SUMIF(72:72,C13,73:73)+100</f>
        <v>100</v>
      </c>
      <c r="G13" s="3545" t="s">
        <v>4428</v>
      </c>
      <c r="H13" s="386">
        <f>SUMIF(72:72,G13,73:73)-SUMIF(72:72,C13,73:73)+100</f>
        <v>90</v>
      </c>
      <c r="I13" s="3545" t="s">
        <v>4430</v>
      </c>
      <c r="J13" s="386">
        <f>SUMIF(72:72,I13,73:73)-SUMIF(72:72,C13,73:73)+100</f>
        <v>100</v>
      </c>
      <c r="K13" s="562"/>
      <c r="L13" s="2720"/>
      <c r="M13" s="2714"/>
      <c r="N13" s="2714"/>
      <c r="O13" s="2714"/>
      <c r="P13" s="3800"/>
      <c r="Q13" s="1343" t="str">
        <f t="shared" si="6"/>
        <v>地下车库占比</v>
      </c>
      <c r="R13" s="701" t="s">
        <v>14</v>
      </c>
      <c r="S13" s="702">
        <f t="shared" si="0"/>
        <v>100</v>
      </c>
      <c r="T13" s="701" t="s">
        <v>14</v>
      </c>
      <c r="U13" s="702">
        <f t="shared" si="1"/>
        <v>90</v>
      </c>
      <c r="V13" s="701" t="s">
        <v>14</v>
      </c>
      <c r="W13" s="702">
        <f t="shared" si="2"/>
        <v>100</v>
      </c>
      <c r="X13" s="703"/>
      <c r="Y13" s="3645"/>
      <c r="Z13" s="52" t="str">
        <f t="shared" si="7"/>
        <v>地下车库占比</v>
      </c>
      <c r="AA13" s="704">
        <f t="shared" si="3"/>
        <v>1</v>
      </c>
      <c r="AB13" s="704">
        <f t="shared" si="4"/>
        <v>1.1111111111111112</v>
      </c>
      <c r="AC13" s="704">
        <f t="shared" si="5"/>
        <v>1</v>
      </c>
    </row>
    <row r="14" spans="1:29" ht="15.75" thickBot="1">
      <c r="A14" s="387"/>
      <c r="B14" s="1893"/>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800"/>
      <c r="Q14" s="1343">
        <f t="shared" si="6"/>
        <v>0</v>
      </c>
      <c r="R14" s="701" t="s">
        <v>14</v>
      </c>
      <c r="S14" s="702">
        <f t="shared" si="0"/>
        <v>100</v>
      </c>
      <c r="T14" s="701" t="s">
        <v>14</v>
      </c>
      <c r="U14" s="702">
        <f t="shared" si="1"/>
        <v>100</v>
      </c>
      <c r="V14" s="701" t="s">
        <v>14</v>
      </c>
      <c r="W14" s="702">
        <f t="shared" si="2"/>
        <v>100</v>
      </c>
      <c r="X14" s="703"/>
      <c r="Y14" s="3645"/>
      <c r="Z14" s="52">
        <f t="shared" si="7"/>
        <v>0</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10</v>
      </c>
      <c r="L15" s="2720"/>
      <c r="M15" s="2714"/>
      <c r="N15" s="2714"/>
      <c r="O15" s="2714"/>
      <c r="P15" s="3798" t="s">
        <v>1691</v>
      </c>
      <c r="Q15" s="1352" t="str">
        <f t="shared" si="6"/>
        <v>商业繁华度</v>
      </c>
      <c r="R15" s="705" t="s">
        <v>14</v>
      </c>
      <c r="S15" s="706">
        <f t="shared" si="0"/>
        <v>100</v>
      </c>
      <c r="T15" s="705" t="s">
        <v>14</v>
      </c>
      <c r="U15" s="706">
        <f t="shared" si="1"/>
        <v>100</v>
      </c>
      <c r="V15" s="705" t="s">
        <v>14</v>
      </c>
      <c r="W15" s="706">
        <f t="shared" si="2"/>
        <v>100</v>
      </c>
      <c r="X15" s="1355"/>
      <c r="Y15" s="3791" t="s">
        <v>1691</v>
      </c>
      <c r="Z15" s="1356" t="str">
        <f t="shared" si="7"/>
        <v>商业繁华度</v>
      </c>
      <c r="AA15" s="1353">
        <f t="shared" si="3"/>
        <v>1</v>
      </c>
      <c r="AB15" s="1353">
        <f t="shared" si="4"/>
        <v>1</v>
      </c>
      <c r="AC15" s="1353">
        <f t="shared" si="5"/>
        <v>1</v>
      </c>
    </row>
    <row r="16" spans="1:29" ht="15">
      <c r="A16" s="379"/>
      <c r="B16" s="397"/>
      <c r="C16" s="398" t="s">
        <v>4435</v>
      </c>
      <c r="D16" s="399"/>
      <c r="E16" s="398" t="s">
        <v>4435</v>
      </c>
      <c r="F16" s="400"/>
      <c r="G16" s="398" t="s">
        <v>4435</v>
      </c>
      <c r="H16" s="401"/>
      <c r="I16" s="398" t="s">
        <v>4435</v>
      </c>
      <c r="J16" s="399"/>
      <c r="K16" s="564"/>
      <c r="L16" s="2720"/>
      <c r="M16" s="2714"/>
      <c r="N16" s="2714"/>
      <c r="O16" s="2714"/>
      <c r="P16" s="3799"/>
      <c r="Q16" s="1352"/>
      <c r="R16" s="705"/>
      <c r="S16" s="706"/>
      <c r="T16" s="705"/>
      <c r="U16" s="706"/>
      <c r="V16" s="705"/>
      <c r="W16" s="706"/>
      <c r="X16" s="1355"/>
      <c r="Y16" s="3792"/>
      <c r="Z16" s="1356"/>
      <c r="AA16" s="1353">
        <v>1</v>
      </c>
      <c r="AB16" s="1353">
        <v>1</v>
      </c>
      <c r="AC16" s="1353">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105</v>
      </c>
      <c r="I17" s="403"/>
      <c r="J17" s="406">
        <f>SUMIF(78:78,I18,79:79)-SUMIF(78:78,C18,79:79)+100</f>
        <v>95</v>
      </c>
      <c r="K17" s="563">
        <v>5</v>
      </c>
      <c r="L17" s="2720"/>
      <c r="M17" s="2714"/>
      <c r="N17" s="2714"/>
      <c r="O17" s="2714"/>
      <c r="P17" s="3799"/>
      <c r="Q17" s="1352" t="str">
        <f>B17</f>
        <v>交通便捷度</v>
      </c>
      <c r="R17" s="705" t="s">
        <v>14</v>
      </c>
      <c r="S17" s="706">
        <f>F17</f>
        <v>100</v>
      </c>
      <c r="T17" s="705" t="s">
        <v>14</v>
      </c>
      <c r="U17" s="706">
        <f>H17</f>
        <v>105</v>
      </c>
      <c r="V17" s="705" t="s">
        <v>14</v>
      </c>
      <c r="W17" s="706">
        <f>J17</f>
        <v>95</v>
      </c>
      <c r="X17" s="1355"/>
      <c r="Y17" s="3792"/>
      <c r="Z17" s="1356" t="str">
        <f>Q17</f>
        <v>交通便捷度</v>
      </c>
      <c r="AA17" s="1353">
        <f t="shared" si="3"/>
        <v>1</v>
      </c>
      <c r="AB17" s="1353">
        <f t="shared" si="4"/>
        <v>0.95238095238095233</v>
      </c>
      <c r="AC17" s="1353">
        <f t="shared" si="5"/>
        <v>1.0526315789473684</v>
      </c>
    </row>
    <row r="18" spans="1:29" ht="15">
      <c r="A18" s="379"/>
      <c r="B18" s="407"/>
      <c r="C18" s="1899" t="s">
        <v>4436</v>
      </c>
      <c r="D18" s="401"/>
      <c r="E18" s="1899" t="s">
        <v>4436</v>
      </c>
      <c r="F18" s="404"/>
      <c r="G18" s="1900" t="s">
        <v>4435</v>
      </c>
      <c r="H18" s="399"/>
      <c r="I18" s="1901" t="s">
        <v>4427</v>
      </c>
      <c r="J18" s="399"/>
      <c r="K18" s="564"/>
      <c r="L18" s="2720"/>
      <c r="M18" s="2714"/>
      <c r="N18" s="2714"/>
      <c r="O18" s="2714"/>
      <c r="P18" s="3799"/>
      <c r="Q18" s="1352"/>
      <c r="R18" s="705"/>
      <c r="S18" s="706"/>
      <c r="T18" s="705"/>
      <c r="U18" s="706"/>
      <c r="V18" s="705"/>
      <c r="W18" s="706"/>
      <c r="X18" s="1355"/>
      <c r="Y18" s="3792"/>
      <c r="Z18" s="1356"/>
      <c r="AA18" s="1353">
        <v>1</v>
      </c>
      <c r="AB18" s="1353">
        <v>1</v>
      </c>
      <c r="AC18" s="1353">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5</v>
      </c>
      <c r="L19" s="2720"/>
      <c r="M19" s="2714"/>
      <c r="N19" s="2714"/>
      <c r="O19" s="2714"/>
      <c r="P19" s="3799"/>
      <c r="Q19" s="1352" t="str">
        <f>B19</f>
        <v>公共配套设施</v>
      </c>
      <c r="R19" s="705" t="s">
        <v>14</v>
      </c>
      <c r="S19" s="706">
        <f>F19</f>
        <v>100</v>
      </c>
      <c r="T19" s="705" t="s">
        <v>14</v>
      </c>
      <c r="U19" s="706">
        <f>H19</f>
        <v>100</v>
      </c>
      <c r="V19" s="705" t="s">
        <v>14</v>
      </c>
      <c r="W19" s="706">
        <f>J19</f>
        <v>100</v>
      </c>
      <c r="X19" s="1355"/>
      <c r="Y19" s="3792"/>
      <c r="Z19" s="1356" t="str">
        <f>Q19</f>
        <v>公共配套设施</v>
      </c>
      <c r="AA19" s="1353">
        <f t="shared" si="3"/>
        <v>1</v>
      </c>
      <c r="AB19" s="1353">
        <f t="shared" si="4"/>
        <v>1</v>
      </c>
      <c r="AC19" s="1353">
        <f t="shared" si="5"/>
        <v>1</v>
      </c>
    </row>
    <row r="20" spans="1:29" ht="15">
      <c r="A20" s="379"/>
      <c r="B20" s="407"/>
      <c r="C20" s="398" t="s">
        <v>4435</v>
      </c>
      <c r="D20" s="399"/>
      <c r="E20" s="398" t="s">
        <v>4435</v>
      </c>
      <c r="F20" s="400"/>
      <c r="G20" s="398" t="s">
        <v>4435</v>
      </c>
      <c r="H20" s="399"/>
      <c r="I20" s="398" t="s">
        <v>4435</v>
      </c>
      <c r="J20" s="399"/>
      <c r="K20" s="564"/>
      <c r="L20" s="2720"/>
      <c r="M20" s="2714"/>
      <c r="N20" s="2714"/>
      <c r="O20" s="2714"/>
      <c r="P20" s="3799"/>
      <c r="Q20" s="1352"/>
      <c r="R20" s="705"/>
      <c r="S20" s="706"/>
      <c r="T20" s="705"/>
      <c r="U20" s="706"/>
      <c r="V20" s="705"/>
      <c r="W20" s="706"/>
      <c r="X20" s="1355"/>
      <c r="Y20" s="3792"/>
      <c r="Z20" s="1356"/>
      <c r="AA20" s="1353">
        <v>1</v>
      </c>
      <c r="AB20" s="1353">
        <v>1</v>
      </c>
      <c r="AC20" s="1353">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3</v>
      </c>
      <c r="L21" s="2720"/>
      <c r="M21" s="2714"/>
      <c r="N21" s="2714"/>
      <c r="O21" s="2714"/>
      <c r="P21" s="3799"/>
      <c r="Q21" s="1352" t="str">
        <f>B21</f>
        <v>基础设施水平</v>
      </c>
      <c r="R21" s="705" t="s">
        <v>14</v>
      </c>
      <c r="S21" s="706">
        <f>F21</f>
        <v>100</v>
      </c>
      <c r="T21" s="705" t="s">
        <v>14</v>
      </c>
      <c r="U21" s="706">
        <f>H21</f>
        <v>100</v>
      </c>
      <c r="V21" s="705" t="s">
        <v>14</v>
      </c>
      <c r="W21" s="706">
        <f>J21</f>
        <v>100</v>
      </c>
      <c r="X21" s="1355"/>
      <c r="Y21" s="3792"/>
      <c r="Z21" s="1356" t="str">
        <f>Q21</f>
        <v>基础设施水平</v>
      </c>
      <c r="AA21" s="1353">
        <f t="shared" ref="AA21" si="8">D21/F21</f>
        <v>1</v>
      </c>
      <c r="AB21" s="1353">
        <f t="shared" ref="AB21" si="9">D21/H21</f>
        <v>1</v>
      </c>
      <c r="AC21" s="1353">
        <f t="shared" ref="AC21" si="10">D21/J21</f>
        <v>1</v>
      </c>
    </row>
    <row r="22" spans="1:29" ht="15">
      <c r="A22" s="379"/>
      <c r="B22" s="1131"/>
      <c r="C22" s="1899" t="s">
        <v>4454</v>
      </c>
      <c r="D22" s="399"/>
      <c r="E22" s="1899" t="s">
        <v>4454</v>
      </c>
      <c r="F22" s="400"/>
      <c r="G22" s="1899" t="s">
        <v>4454</v>
      </c>
      <c r="H22" s="399"/>
      <c r="I22" s="1899" t="s">
        <v>4454</v>
      </c>
      <c r="J22" s="399"/>
      <c r="K22" s="1130"/>
      <c r="L22" s="2720"/>
      <c r="M22" s="2714"/>
      <c r="N22" s="2714"/>
      <c r="O22" s="2714"/>
      <c r="P22" s="3799"/>
      <c r="Q22" s="1352"/>
      <c r="R22" s="705"/>
      <c r="S22" s="706"/>
      <c r="T22" s="705"/>
      <c r="U22" s="706"/>
      <c r="V22" s="705"/>
      <c r="W22" s="706"/>
      <c r="X22" s="1355"/>
      <c r="Y22" s="3792"/>
      <c r="Z22" s="1356"/>
      <c r="AA22" s="1353">
        <v>1</v>
      </c>
      <c r="AB22" s="1353">
        <v>1</v>
      </c>
      <c r="AC22" s="1353">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3</v>
      </c>
      <c r="L23" s="2720"/>
      <c r="M23" s="2714"/>
      <c r="N23" s="2714"/>
      <c r="O23" s="2714"/>
      <c r="P23" s="3799"/>
      <c r="Q23" s="1352" t="str">
        <f>B23</f>
        <v>自然及人文环境</v>
      </c>
      <c r="R23" s="705" t="s">
        <v>14</v>
      </c>
      <c r="S23" s="706">
        <f>F23</f>
        <v>100</v>
      </c>
      <c r="T23" s="705" t="s">
        <v>14</v>
      </c>
      <c r="U23" s="706">
        <f>H23</f>
        <v>100</v>
      </c>
      <c r="V23" s="705" t="s">
        <v>14</v>
      </c>
      <c r="W23" s="706">
        <f>J23</f>
        <v>100</v>
      </c>
      <c r="X23" s="1355"/>
      <c r="Y23" s="3792"/>
      <c r="Z23" s="1356" t="str">
        <f>Q23</f>
        <v>自然及人文环境</v>
      </c>
      <c r="AA23" s="1353">
        <f t="shared" si="3"/>
        <v>1</v>
      </c>
      <c r="AB23" s="1353">
        <f t="shared" si="4"/>
        <v>1</v>
      </c>
      <c r="AC23" s="1353">
        <f t="shared" si="5"/>
        <v>1</v>
      </c>
    </row>
    <row r="24" spans="1:29" ht="15.75" thickBot="1">
      <c r="A24" s="379"/>
      <c r="B24" s="407"/>
      <c r="C24" s="398" t="s">
        <v>4436</v>
      </c>
      <c r="D24" s="399"/>
      <c r="E24" s="398" t="s">
        <v>4436</v>
      </c>
      <c r="F24" s="400"/>
      <c r="G24" s="398" t="s">
        <v>4436</v>
      </c>
      <c r="H24" s="399"/>
      <c r="I24" s="398" t="s">
        <v>4436</v>
      </c>
      <c r="J24" s="399"/>
      <c r="K24" s="564"/>
      <c r="L24" s="2720"/>
      <c r="M24" s="2714"/>
      <c r="N24" s="2714"/>
      <c r="O24" s="2714"/>
      <c r="P24" s="3799"/>
      <c r="Q24" s="1352"/>
      <c r="R24" s="705"/>
      <c r="S24" s="706"/>
      <c r="T24" s="705"/>
      <c r="U24" s="706"/>
      <c r="V24" s="705"/>
      <c r="W24" s="706"/>
      <c r="X24" s="1355"/>
      <c r="Y24" s="3792"/>
      <c r="Z24" s="1356"/>
      <c r="AA24" s="1353">
        <v>1</v>
      </c>
      <c r="AB24" s="1353">
        <v>1</v>
      </c>
      <c r="AC24" s="1353">
        <v>1</v>
      </c>
    </row>
    <row r="25" spans="1:29" ht="15" hidden="1">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99"/>
      <c r="Q25" s="1352" t="str">
        <f t="shared" ref="Q25:Q46" si="11">B25</f>
        <v>临街状况</v>
      </c>
      <c r="R25" s="705" t="s">
        <v>14</v>
      </c>
      <c r="S25" s="706">
        <f>F25</f>
        <v>100</v>
      </c>
      <c r="T25" s="705" t="s">
        <v>14</v>
      </c>
      <c r="U25" s="706">
        <f>H25</f>
        <v>100</v>
      </c>
      <c r="V25" s="705" t="s">
        <v>14</v>
      </c>
      <c r="W25" s="706">
        <f>J25</f>
        <v>100</v>
      </c>
      <c r="X25" s="1355"/>
      <c r="Y25" s="3792"/>
      <c r="Z25" s="1356" t="str">
        <f>Q25</f>
        <v>临街状况</v>
      </c>
      <c r="AA25" s="1353">
        <f t="shared" si="3"/>
        <v>1</v>
      </c>
      <c r="AB25" s="1353">
        <f t="shared" si="4"/>
        <v>1</v>
      </c>
      <c r="AC25" s="1353">
        <f t="shared" si="5"/>
        <v>1</v>
      </c>
    </row>
    <row r="26" spans="1:29" ht="15" hidden="1">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99"/>
      <c r="Q26" s="1352" t="str">
        <f t="shared" si="11"/>
        <v>平面位置/可视性</v>
      </c>
      <c r="R26" s="705" t="s">
        <v>14</v>
      </c>
      <c r="S26" s="706">
        <f>F26</f>
        <v>100</v>
      </c>
      <c r="T26" s="705" t="s">
        <v>14</v>
      </c>
      <c r="U26" s="706">
        <f>H26</f>
        <v>100</v>
      </c>
      <c r="V26" s="705" t="s">
        <v>14</v>
      </c>
      <c r="W26" s="706">
        <f>J26</f>
        <v>100</v>
      </c>
      <c r="X26" s="1355"/>
      <c r="Y26" s="3792"/>
      <c r="Z26" s="1356" t="str">
        <f>Q26</f>
        <v>平面位置/可视性</v>
      </c>
      <c r="AA26" s="1353">
        <f t="shared" si="3"/>
        <v>1</v>
      </c>
      <c r="AB26" s="1353">
        <f t="shared" si="4"/>
        <v>1</v>
      </c>
      <c r="AC26" s="1353">
        <f t="shared" si="5"/>
        <v>1</v>
      </c>
    </row>
    <row r="27" spans="1:29" s="108" customFormat="1" ht="15" hidden="1">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99"/>
      <c r="Q27" s="1343" t="str">
        <f t="shared" si="11"/>
        <v>人流量</v>
      </c>
      <c r="R27" s="701" t="s">
        <v>14</v>
      </c>
      <c r="S27" s="702">
        <f>F27</f>
        <v>100</v>
      </c>
      <c r="T27" s="701" t="s">
        <v>14</v>
      </c>
      <c r="U27" s="702">
        <f>H27</f>
        <v>100</v>
      </c>
      <c r="V27" s="701" t="s">
        <v>14</v>
      </c>
      <c r="W27" s="702">
        <f>J27</f>
        <v>100</v>
      </c>
      <c r="X27" s="703"/>
      <c r="Y27" s="3792"/>
      <c r="Z27" s="52" t="str">
        <f>Q27</f>
        <v>人流量</v>
      </c>
      <c r="AA27" s="1353">
        <f>D27/F27</f>
        <v>1</v>
      </c>
      <c r="AB27" s="1353">
        <f>D27/H27</f>
        <v>1</v>
      </c>
      <c r="AC27" s="1353">
        <f>D27/J27</f>
        <v>1</v>
      </c>
    </row>
    <row r="28" spans="1:29" ht="15.75" hidden="1" thickBot="1">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9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92"/>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99"/>
      <c r="Q29" s="1352">
        <f t="shared" si="11"/>
        <v>111</v>
      </c>
      <c r="R29" s="705" t="s">
        <v>14</v>
      </c>
      <c r="S29" s="706">
        <f t="shared" si="12"/>
        <v>100</v>
      </c>
      <c r="T29" s="705" t="s">
        <v>14</v>
      </c>
      <c r="U29" s="706">
        <f t="shared" si="13"/>
        <v>100</v>
      </c>
      <c r="V29" s="705" t="s">
        <v>14</v>
      </c>
      <c r="W29" s="706">
        <f t="shared" si="14"/>
        <v>100</v>
      </c>
      <c r="X29" s="1355"/>
      <c r="Y29" s="3792"/>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99"/>
      <c r="Q30" s="1352">
        <f t="shared" si="11"/>
        <v>111</v>
      </c>
      <c r="R30" s="705" t="s">
        <v>14</v>
      </c>
      <c r="S30" s="706">
        <f t="shared" si="12"/>
        <v>100</v>
      </c>
      <c r="T30" s="705" t="s">
        <v>14</v>
      </c>
      <c r="U30" s="706">
        <f t="shared" si="13"/>
        <v>100</v>
      </c>
      <c r="V30" s="705" t="s">
        <v>14</v>
      </c>
      <c r="W30" s="706">
        <f t="shared" si="14"/>
        <v>100</v>
      </c>
      <c r="X30" s="1355"/>
      <c r="Y30" s="3792"/>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99"/>
      <c r="Q31" s="1352">
        <f t="shared" si="11"/>
        <v>111</v>
      </c>
      <c r="R31" s="705" t="s">
        <v>14</v>
      </c>
      <c r="S31" s="706">
        <f t="shared" si="12"/>
        <v>100</v>
      </c>
      <c r="T31" s="705" t="s">
        <v>14</v>
      </c>
      <c r="U31" s="706">
        <f t="shared" si="13"/>
        <v>100</v>
      </c>
      <c r="V31" s="705" t="s">
        <v>14</v>
      </c>
      <c r="W31" s="706">
        <f t="shared" si="14"/>
        <v>100</v>
      </c>
      <c r="X31" s="1355"/>
      <c r="Y31" s="3792"/>
      <c r="Z31" s="1356">
        <f t="shared" si="15"/>
        <v>111</v>
      </c>
      <c r="AA31" s="1353">
        <f t="shared" si="3"/>
        <v>1</v>
      </c>
      <c r="AB31" s="1353">
        <f t="shared" si="4"/>
        <v>1</v>
      </c>
      <c r="AC31" s="1353">
        <f t="shared" si="5"/>
        <v>1</v>
      </c>
    </row>
    <row r="32" spans="1:29" ht="15">
      <c r="A32" s="391" t="s">
        <v>1694</v>
      </c>
      <c r="B32" s="63" t="s">
        <v>1784</v>
      </c>
      <c r="C32" s="1908" t="s">
        <v>4437</v>
      </c>
      <c r="D32" s="418">
        <v>100</v>
      </c>
      <c r="E32" s="1908" t="s">
        <v>4437</v>
      </c>
      <c r="F32" s="412">
        <f>SUMIF(100:100,E32,101:101)-SUMIF(100:100,C32,101:101)+100</f>
        <v>100</v>
      </c>
      <c r="G32" s="1908" t="s">
        <v>4437</v>
      </c>
      <c r="H32" s="386">
        <f>SUMIF(100:100,G32,101:101)-SUMIF(100:100,C32,101:101)+100</f>
        <v>100</v>
      </c>
      <c r="I32" s="1908" t="s">
        <v>4437</v>
      </c>
      <c r="J32" s="418">
        <f>SUMIF(100:100,I32,101:101)-SUMIF(100:100,C32,101:101)+100</f>
        <v>100</v>
      </c>
      <c r="K32" s="561">
        <v>5</v>
      </c>
      <c r="L32" s="2720"/>
      <c r="M32" s="2714"/>
      <c r="N32" s="2714"/>
      <c r="O32" s="2714"/>
      <c r="P32" s="3793" t="s">
        <v>1696</v>
      </c>
      <c r="Q32" s="1352" t="str">
        <f t="shared" si="11"/>
        <v>商业类型</v>
      </c>
      <c r="R32" s="705" t="s">
        <v>14</v>
      </c>
      <c r="S32" s="706">
        <f t="shared" si="12"/>
        <v>100</v>
      </c>
      <c r="T32" s="705" t="s">
        <v>14</v>
      </c>
      <c r="U32" s="706">
        <f t="shared" si="13"/>
        <v>100</v>
      </c>
      <c r="V32" s="705" t="s">
        <v>14</v>
      </c>
      <c r="W32" s="706">
        <f t="shared" si="14"/>
        <v>100</v>
      </c>
      <c r="X32" s="1355"/>
      <c r="Y32" s="3796" t="s">
        <v>1696</v>
      </c>
      <c r="Z32" s="1356" t="str">
        <f t="shared" si="15"/>
        <v>商业类型</v>
      </c>
      <c r="AA32" s="1353">
        <f t="shared" si="3"/>
        <v>1</v>
      </c>
      <c r="AB32" s="1353">
        <f t="shared" si="4"/>
        <v>1</v>
      </c>
      <c r="AC32" s="1353">
        <f t="shared" si="5"/>
        <v>1</v>
      </c>
    </row>
    <row r="33" spans="1:29" s="422" customFormat="1" ht="15">
      <c r="A33" s="419"/>
      <c r="B33" s="375" t="s">
        <v>1697</v>
      </c>
      <c r="C33" s="420">
        <f>'数据-汇总表'!E3</f>
        <v>57452.09</v>
      </c>
      <c r="D33" s="127">
        <v>100</v>
      </c>
      <c r="E33" s="381">
        <f>大宗交易案例!G12</f>
        <v>41197</v>
      </c>
      <c r="F33" s="376">
        <f>LOOKUP(E33,103:103,104:104)-LOOKUP(C33,103:103,104:104)+100</f>
        <v>100</v>
      </c>
      <c r="G33" s="380">
        <v>143865</v>
      </c>
      <c r="H33" s="127">
        <f>LOOKUP(G33,103:103,104:104)-LOOKUP(C33,103:103,104:104)+100</f>
        <v>101</v>
      </c>
      <c r="I33" s="380">
        <f>大宗交易案例!G14</f>
        <v>100030</v>
      </c>
      <c r="J33" s="127">
        <f>LOOKUP(I33,103:103,104:104)-LOOKUP(C33,103:103,104:104)+100</f>
        <v>101</v>
      </c>
      <c r="K33" s="562"/>
      <c r="L33" s="2719"/>
      <c r="M33" s="2721"/>
      <c r="N33" s="2721"/>
      <c r="O33" s="2721"/>
      <c r="P33" s="3794"/>
      <c r="Q33" s="707" t="str">
        <f t="shared" si="11"/>
        <v>项目建筑规模</v>
      </c>
      <c r="R33" s="708" t="s">
        <v>14</v>
      </c>
      <c r="S33" s="709">
        <f t="shared" si="12"/>
        <v>100</v>
      </c>
      <c r="T33" s="708" t="s">
        <v>14</v>
      </c>
      <c r="U33" s="709">
        <f t="shared" si="13"/>
        <v>101</v>
      </c>
      <c r="V33" s="708" t="s">
        <v>14</v>
      </c>
      <c r="W33" s="709">
        <f t="shared" si="14"/>
        <v>101</v>
      </c>
      <c r="X33" s="710"/>
      <c r="Y33" s="3796"/>
      <c r="Z33" s="711" t="str">
        <f t="shared" si="15"/>
        <v>项目建筑规模</v>
      </c>
      <c r="AA33" s="1353">
        <f t="shared" si="3"/>
        <v>1</v>
      </c>
      <c r="AB33" s="1353">
        <f t="shared" si="4"/>
        <v>0.99009900990099009</v>
      </c>
      <c r="AC33" s="1353">
        <f t="shared" si="5"/>
        <v>0.99009900990099009</v>
      </c>
    </row>
    <row r="34" spans="1:29" ht="15">
      <c r="A34" s="423"/>
      <c r="B34" s="375" t="s">
        <v>1698</v>
      </c>
      <c r="C34" s="1910" t="s">
        <v>4153</v>
      </c>
      <c r="D34" s="386">
        <v>100</v>
      </c>
      <c r="E34" s="1910" t="s">
        <v>4153</v>
      </c>
      <c r="F34" s="412">
        <f>SUMIF(105:105,E34,106:106)-SUMIF(105:105,C34,106:106)+100</f>
        <v>100</v>
      </c>
      <c r="G34" s="1910" t="s">
        <v>4153</v>
      </c>
      <c r="H34" s="386">
        <f>SUMIF(105:105,G34,106:106)-SUMIF(105:105,C34,106:106)+100</f>
        <v>100</v>
      </c>
      <c r="I34" s="1910" t="s">
        <v>4153</v>
      </c>
      <c r="J34" s="386">
        <f>SUMIF(105:105,I34,106:106)-SUMIF(105:105,C34,106:106)+100</f>
        <v>100</v>
      </c>
      <c r="K34" s="561">
        <v>3</v>
      </c>
      <c r="L34" s="2720"/>
      <c r="M34" s="2714"/>
      <c r="N34" s="2714"/>
      <c r="O34" s="2714"/>
      <c r="P34" s="3794"/>
      <c r="Q34" s="1352" t="str">
        <f t="shared" si="11"/>
        <v>建筑结构</v>
      </c>
      <c r="R34" s="705" t="s">
        <v>14</v>
      </c>
      <c r="S34" s="706">
        <f t="shared" si="12"/>
        <v>100</v>
      </c>
      <c r="T34" s="705" t="s">
        <v>14</v>
      </c>
      <c r="U34" s="706">
        <f t="shared" si="13"/>
        <v>100</v>
      </c>
      <c r="V34" s="705" t="s">
        <v>14</v>
      </c>
      <c r="W34" s="706">
        <f t="shared" si="14"/>
        <v>100</v>
      </c>
      <c r="X34" s="1355"/>
      <c r="Y34" s="3796"/>
      <c r="Z34" s="1356" t="str">
        <f t="shared" si="15"/>
        <v>建筑结构</v>
      </c>
      <c r="AA34" s="1353">
        <f t="shared" si="3"/>
        <v>1</v>
      </c>
      <c r="AB34" s="1353">
        <f t="shared" si="4"/>
        <v>1</v>
      </c>
      <c r="AC34" s="1353">
        <f t="shared" si="5"/>
        <v>1</v>
      </c>
    </row>
    <row r="35" spans="1:29" ht="15">
      <c r="A35" s="423"/>
      <c r="B35" s="375" t="s">
        <v>1785</v>
      </c>
      <c r="C35" s="1904" t="s">
        <v>4452</v>
      </c>
      <c r="D35" s="386">
        <v>100</v>
      </c>
      <c r="E35" s="1904" t="s">
        <v>4452</v>
      </c>
      <c r="F35" s="412">
        <f>SUMIF(107:107,E35,108:108)-SUMIF(107:107,C35,108:108)+100</f>
        <v>100</v>
      </c>
      <c r="G35" s="1904" t="s">
        <v>4452</v>
      </c>
      <c r="H35" s="386">
        <f>SUMIF(107:107,G35,108:108)-SUMIF(107:107,C35,108:108)+100</f>
        <v>100</v>
      </c>
      <c r="I35" s="1904" t="s">
        <v>4452</v>
      </c>
      <c r="J35" s="386">
        <f>SUMIF(107:107,I35,108:108)-SUMIF(107:107,C35,108:108)+100</f>
        <v>100</v>
      </c>
      <c r="K35" s="561">
        <v>3</v>
      </c>
      <c r="L35" s="2720"/>
      <c r="M35" s="2714"/>
      <c r="N35" s="2714"/>
      <c r="O35" s="2714"/>
      <c r="P35" s="3794"/>
      <c r="Q35" s="1352" t="str">
        <f t="shared" si="11"/>
        <v>公共部分装修</v>
      </c>
      <c r="R35" s="705" t="s">
        <v>14</v>
      </c>
      <c r="S35" s="706">
        <f t="shared" si="12"/>
        <v>100</v>
      </c>
      <c r="T35" s="705" t="s">
        <v>14</v>
      </c>
      <c r="U35" s="706">
        <f t="shared" si="13"/>
        <v>100</v>
      </c>
      <c r="V35" s="705" t="s">
        <v>14</v>
      </c>
      <c r="W35" s="706">
        <f t="shared" si="14"/>
        <v>100</v>
      </c>
      <c r="X35" s="1355"/>
      <c r="Y35" s="3796"/>
      <c r="Z35" s="1356" t="str">
        <f t="shared" si="15"/>
        <v>公共部分装修</v>
      </c>
      <c r="AA35" s="1353">
        <f t="shared" si="3"/>
        <v>1</v>
      </c>
      <c r="AB35" s="1353">
        <f t="shared" si="4"/>
        <v>1</v>
      </c>
      <c r="AC35" s="1353">
        <f t="shared" si="5"/>
        <v>1</v>
      </c>
    </row>
    <row r="36" spans="1:29" ht="15">
      <c r="A36" s="423"/>
      <c r="B36" s="375" t="s">
        <v>1786</v>
      </c>
      <c r="C36" s="425">
        <f>'数据-取费表'!N6</f>
        <v>0.68</v>
      </c>
      <c r="D36" s="386">
        <v>100</v>
      </c>
      <c r="E36" s="425">
        <f>(1-(2023-2011)/60)</f>
        <v>0.8</v>
      </c>
      <c r="F36" s="412">
        <f>LOOKUP(E36,110:110,111:111)-LOOKUP(C36,110:110,111:111)+100</f>
        <v>100</v>
      </c>
      <c r="G36" s="425">
        <f>(1-(2023-2009)/60)</f>
        <v>0.76666666666666661</v>
      </c>
      <c r="H36" s="412">
        <f>LOOKUP(G36,110:110,111:111)-LOOKUP(C36,110:110,111:111)+100</f>
        <v>100</v>
      </c>
      <c r="I36" s="425">
        <f>(1-(2023-2013)/60)</f>
        <v>0.83333333333333337</v>
      </c>
      <c r="J36" s="386">
        <f>LOOKUP(I36,110:110,111:111)-LOOKUP(C36,110:110,111:111)+100</f>
        <v>100</v>
      </c>
      <c r="K36" s="561"/>
      <c r="L36" s="2720"/>
      <c r="M36" s="2714"/>
      <c r="N36" s="2714"/>
      <c r="O36" s="2714"/>
      <c r="P36" s="3794"/>
      <c r="Q36" s="1352" t="str">
        <f t="shared" si="11"/>
        <v>成新度</v>
      </c>
      <c r="R36" s="705" t="s">
        <v>14</v>
      </c>
      <c r="S36" s="706">
        <f t="shared" si="12"/>
        <v>100</v>
      </c>
      <c r="T36" s="705" t="s">
        <v>14</v>
      </c>
      <c r="U36" s="706">
        <f t="shared" si="13"/>
        <v>100</v>
      </c>
      <c r="V36" s="705" t="s">
        <v>14</v>
      </c>
      <c r="W36" s="706">
        <f t="shared" si="14"/>
        <v>100</v>
      </c>
      <c r="X36" s="1355"/>
      <c r="Y36" s="3796"/>
      <c r="Z36" s="1356" t="str">
        <f t="shared" si="15"/>
        <v>成新度</v>
      </c>
      <c r="AA36" s="1353">
        <f t="shared" si="3"/>
        <v>1</v>
      </c>
      <c r="AB36" s="1353">
        <f t="shared" si="4"/>
        <v>1</v>
      </c>
      <c r="AC36" s="1353">
        <f t="shared" si="5"/>
        <v>1</v>
      </c>
    </row>
    <row r="37" spans="1:29" s="108" customFormat="1" ht="15" hidden="1">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94"/>
      <c r="Q37" s="1343" t="str">
        <f t="shared" si="11"/>
        <v>市政基础设施</v>
      </c>
      <c r="R37" s="701" t="s">
        <v>14</v>
      </c>
      <c r="S37" s="702">
        <f t="shared" si="12"/>
        <v>100</v>
      </c>
      <c r="T37" s="701" t="s">
        <v>14</v>
      </c>
      <c r="U37" s="702">
        <f t="shared" si="13"/>
        <v>100</v>
      </c>
      <c r="V37" s="701" t="s">
        <v>14</v>
      </c>
      <c r="W37" s="702">
        <f t="shared" si="14"/>
        <v>100</v>
      </c>
      <c r="X37" s="703"/>
      <c r="Y37" s="3796"/>
      <c r="Z37" s="52" t="str">
        <f t="shared" si="15"/>
        <v>市政基础设施</v>
      </c>
      <c r="AA37" s="704">
        <f t="shared" si="3"/>
        <v>1</v>
      </c>
      <c r="AB37" s="704">
        <f t="shared" si="4"/>
        <v>1</v>
      </c>
      <c r="AC37" s="704">
        <f t="shared" si="5"/>
        <v>1</v>
      </c>
    </row>
    <row r="38" spans="1:29" ht="15" hidden="1">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94" t="s">
        <v>1696</v>
      </c>
      <c r="Q38" s="1352" t="str">
        <f t="shared" si="11"/>
        <v>业态</v>
      </c>
      <c r="R38" s="705" t="s">
        <v>14</v>
      </c>
      <c r="S38" s="706">
        <f t="shared" si="12"/>
        <v>100</v>
      </c>
      <c r="T38" s="705" t="s">
        <v>14</v>
      </c>
      <c r="U38" s="706">
        <f t="shared" si="13"/>
        <v>100</v>
      </c>
      <c r="V38" s="705" t="s">
        <v>14</v>
      </c>
      <c r="W38" s="706">
        <f t="shared" si="14"/>
        <v>100</v>
      </c>
      <c r="X38" s="1355"/>
      <c r="Y38" s="3796" t="s">
        <v>1696</v>
      </c>
      <c r="Z38" s="1356" t="str">
        <f t="shared" si="15"/>
        <v>业态</v>
      </c>
      <c r="AA38" s="1353">
        <f t="shared" si="3"/>
        <v>1</v>
      </c>
      <c r="AB38" s="1353">
        <f t="shared" si="4"/>
        <v>1</v>
      </c>
      <c r="AC38" s="1353">
        <f t="shared" si="5"/>
        <v>1</v>
      </c>
    </row>
    <row r="39" spans="1:29" ht="15" hidden="1">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94"/>
      <c r="Q39" s="1352" t="str">
        <f t="shared" si="11"/>
        <v>层高</v>
      </c>
      <c r="R39" s="705" t="s">
        <v>14</v>
      </c>
      <c r="S39" s="706">
        <f t="shared" si="12"/>
        <v>100</v>
      </c>
      <c r="T39" s="705" t="s">
        <v>14</v>
      </c>
      <c r="U39" s="706">
        <f t="shared" si="13"/>
        <v>100</v>
      </c>
      <c r="V39" s="705" t="s">
        <v>14</v>
      </c>
      <c r="W39" s="706">
        <f t="shared" si="14"/>
        <v>100</v>
      </c>
      <c r="X39" s="1355"/>
      <c r="Y39" s="3796"/>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94"/>
      <c r="Q40" s="1352" t="str">
        <f t="shared" si="11"/>
        <v>单套建筑面积</v>
      </c>
      <c r="R40" s="705" t="s">
        <v>14</v>
      </c>
      <c r="S40" s="706">
        <f t="shared" si="12"/>
        <v>100</v>
      </c>
      <c r="T40" s="705" t="s">
        <v>14</v>
      </c>
      <c r="U40" s="706">
        <f t="shared" si="13"/>
        <v>100</v>
      </c>
      <c r="V40" s="705" t="s">
        <v>14</v>
      </c>
      <c r="W40" s="706">
        <f t="shared" si="14"/>
        <v>100</v>
      </c>
      <c r="X40" s="1355"/>
      <c r="Y40" s="3796"/>
      <c r="Z40" s="1356" t="str">
        <f t="shared" si="15"/>
        <v>单套建筑面积</v>
      </c>
      <c r="AA40" s="1353">
        <f t="shared" si="3"/>
        <v>1</v>
      </c>
      <c r="AB40" s="1353">
        <f t="shared" si="4"/>
        <v>1</v>
      </c>
      <c r="AC40" s="1353">
        <f t="shared" si="5"/>
        <v>1</v>
      </c>
    </row>
    <row r="41" spans="1:29" s="422" customFormat="1" ht="15" hidden="1">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94"/>
      <c r="Q41" s="707" t="str">
        <f t="shared" si="11"/>
        <v>进深比</v>
      </c>
      <c r="R41" s="708" t="s">
        <v>14</v>
      </c>
      <c r="S41" s="709">
        <f t="shared" si="12"/>
        <v>100</v>
      </c>
      <c r="T41" s="708" t="s">
        <v>14</v>
      </c>
      <c r="U41" s="709">
        <f t="shared" si="13"/>
        <v>100</v>
      </c>
      <c r="V41" s="708" t="s">
        <v>14</v>
      </c>
      <c r="W41" s="709">
        <f t="shared" si="14"/>
        <v>100</v>
      </c>
      <c r="X41" s="710"/>
      <c r="Y41" s="3796"/>
      <c r="Z41" s="711" t="str">
        <f t="shared" si="15"/>
        <v>进深比</v>
      </c>
      <c r="AA41" s="1353">
        <f t="shared" si="3"/>
        <v>1</v>
      </c>
      <c r="AB41" s="1353">
        <f t="shared" si="4"/>
        <v>1</v>
      </c>
      <c r="AC41" s="1353">
        <f t="shared" si="5"/>
        <v>1</v>
      </c>
    </row>
    <row r="42" spans="1:29" ht="15">
      <c r="A42" s="423"/>
      <c r="B42" s="375" t="s">
        <v>1792</v>
      </c>
      <c r="C42" s="1904" t="s">
        <v>4436</v>
      </c>
      <c r="D42" s="386">
        <v>100</v>
      </c>
      <c r="E42" s="1904" t="s">
        <v>4436</v>
      </c>
      <c r="F42" s="412">
        <f>SUMIF(122:122,E42,123:123)-SUMIF(122:122,C42,123:123)+100</f>
        <v>100</v>
      </c>
      <c r="G42" s="1904" t="s">
        <v>4436</v>
      </c>
      <c r="H42" s="386">
        <f>SUMIF(122:122,G42,123:123)-SUMIF(122:122,C42,123:123)+100</f>
        <v>100</v>
      </c>
      <c r="I42" s="1904" t="s">
        <v>4436</v>
      </c>
      <c r="J42" s="386">
        <f>SUMIF(122:122,I42,123:123)-SUMIF(122:122,C42,123:123)+100</f>
        <v>100</v>
      </c>
      <c r="K42" s="561"/>
      <c r="L42" s="2720"/>
      <c r="M42" s="2714"/>
      <c r="N42" s="2714"/>
      <c r="O42" s="2714"/>
      <c r="P42" s="3794"/>
      <c r="Q42" s="1352" t="str">
        <f t="shared" si="11"/>
        <v>内部装修</v>
      </c>
      <c r="R42" s="705" t="s">
        <v>14</v>
      </c>
      <c r="S42" s="706">
        <f t="shared" si="12"/>
        <v>100</v>
      </c>
      <c r="T42" s="705" t="s">
        <v>14</v>
      </c>
      <c r="U42" s="706">
        <f t="shared" si="13"/>
        <v>100</v>
      </c>
      <c r="V42" s="705" t="s">
        <v>14</v>
      </c>
      <c r="W42" s="706">
        <f t="shared" si="14"/>
        <v>100</v>
      </c>
      <c r="X42" s="1355"/>
      <c r="Y42" s="3796"/>
      <c r="Z42" s="1356" t="str">
        <f t="shared" si="15"/>
        <v>内部装修</v>
      </c>
      <c r="AA42" s="1353">
        <f t="shared" si="3"/>
        <v>1</v>
      </c>
      <c r="AB42" s="1353">
        <f t="shared" si="4"/>
        <v>1</v>
      </c>
      <c r="AC42" s="1353">
        <f t="shared" si="5"/>
        <v>1</v>
      </c>
    </row>
    <row r="43" spans="1:29" ht="15.75" thickBot="1">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94"/>
      <c r="Q43" s="1352" t="str">
        <f t="shared" si="11"/>
        <v>内部装修维护情况</v>
      </c>
      <c r="R43" s="705" t="s">
        <v>14</v>
      </c>
      <c r="S43" s="706">
        <f t="shared" si="12"/>
        <v>100</v>
      </c>
      <c r="T43" s="705" t="s">
        <v>14</v>
      </c>
      <c r="U43" s="706">
        <f t="shared" si="13"/>
        <v>100</v>
      </c>
      <c r="V43" s="705" t="s">
        <v>14</v>
      </c>
      <c r="W43" s="706">
        <f t="shared" si="14"/>
        <v>100</v>
      </c>
      <c r="X43" s="1355"/>
      <c r="Y43" s="3796"/>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94"/>
      <c r="Q44" s="1343">
        <f t="shared" si="11"/>
        <v>111</v>
      </c>
      <c r="R44" s="701" t="s">
        <v>14</v>
      </c>
      <c r="S44" s="702">
        <f t="shared" si="12"/>
        <v>100</v>
      </c>
      <c r="T44" s="701" t="s">
        <v>14</v>
      </c>
      <c r="U44" s="702">
        <f t="shared" si="13"/>
        <v>100</v>
      </c>
      <c r="V44" s="701" t="s">
        <v>14</v>
      </c>
      <c r="W44" s="702">
        <f t="shared" si="14"/>
        <v>100</v>
      </c>
      <c r="X44" s="703"/>
      <c r="Y44" s="3796"/>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94"/>
      <c r="Q45" s="1352">
        <f t="shared" si="11"/>
        <v>111</v>
      </c>
      <c r="R45" s="705" t="s">
        <v>14</v>
      </c>
      <c r="S45" s="706">
        <f t="shared" si="12"/>
        <v>100</v>
      </c>
      <c r="T45" s="705" t="s">
        <v>14</v>
      </c>
      <c r="U45" s="706">
        <f t="shared" si="13"/>
        <v>100</v>
      </c>
      <c r="V45" s="705" t="s">
        <v>14</v>
      </c>
      <c r="W45" s="706">
        <f t="shared" si="14"/>
        <v>100</v>
      </c>
      <c r="X45" s="1355"/>
      <c r="Y45" s="3796"/>
      <c r="Z45" s="1356">
        <f t="shared" si="15"/>
        <v>111</v>
      </c>
      <c r="AA45" s="1353">
        <f t="shared" si="3"/>
        <v>1</v>
      </c>
      <c r="AB45" s="1353">
        <f t="shared" si="4"/>
        <v>1</v>
      </c>
      <c r="AC45" s="1353">
        <f t="shared" si="5"/>
        <v>1</v>
      </c>
    </row>
    <row r="46" spans="1:29" ht="15.75" hidden="1"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95"/>
      <c r="Q46" s="1352">
        <f t="shared" si="11"/>
        <v>111</v>
      </c>
      <c r="R46" s="705" t="s">
        <v>14</v>
      </c>
      <c r="S46" s="706">
        <f t="shared" si="12"/>
        <v>100</v>
      </c>
      <c r="T46" s="705" t="s">
        <v>14</v>
      </c>
      <c r="U46" s="706">
        <f t="shared" si="13"/>
        <v>100</v>
      </c>
      <c r="V46" s="705" t="s">
        <v>14</v>
      </c>
      <c r="W46" s="706">
        <f t="shared" si="14"/>
        <v>100</v>
      </c>
      <c r="X46" s="1355"/>
      <c r="Y46" s="3797"/>
      <c r="Z46" s="1356">
        <f t="shared" si="15"/>
        <v>111</v>
      </c>
      <c r="AA46" s="1353">
        <f t="shared" si="3"/>
        <v>1</v>
      </c>
      <c r="AB46" s="1353">
        <f t="shared" si="4"/>
        <v>1</v>
      </c>
      <c r="AC46" s="1353">
        <f t="shared" si="5"/>
        <v>1</v>
      </c>
    </row>
    <row r="47" spans="1:29" ht="15">
      <c r="A47" s="430" t="s">
        <v>1708</v>
      </c>
      <c r="B47" s="431"/>
      <c r="C47" s="1154" t="s">
        <v>0</v>
      </c>
      <c r="D47" s="1155"/>
      <c r="E47" s="1156">
        <f>大宗交易案例!J12</f>
        <v>39930</v>
      </c>
      <c r="F47" s="1157"/>
      <c r="G47" s="1158">
        <f>ROUND(大宗交易案例!E13/0.7/G33*10000*10000,0)</f>
        <v>42997</v>
      </c>
      <c r="H47" s="1159"/>
      <c r="I47" s="1156">
        <f>大宗交易案例!J14</f>
        <v>40000</v>
      </c>
      <c r="J47" s="1159"/>
      <c r="K47" s="714"/>
      <c r="L47" s="2722"/>
      <c r="M47" s="2723"/>
      <c r="N47" s="2714"/>
      <c r="O47" s="2723"/>
      <c r="P47" s="3789" t="str">
        <f>A47</f>
        <v>成交单价（元/平方米）</v>
      </c>
      <c r="Q47" s="3789"/>
      <c r="R47" s="3820">
        <f>E47</f>
        <v>39930</v>
      </c>
      <c r="S47" s="3820"/>
      <c r="T47" s="3820">
        <f>G47</f>
        <v>42997</v>
      </c>
      <c r="U47" s="3820"/>
      <c r="V47" s="3820">
        <f>I47</f>
        <v>40000</v>
      </c>
      <c r="W47" s="3820"/>
      <c r="X47" s="690"/>
      <c r="Y47" s="712"/>
      <c r="Z47" s="690"/>
      <c r="AA47" s="690"/>
      <c r="AB47" s="690"/>
      <c r="AC47" s="690"/>
    </row>
    <row r="48" spans="1:29" ht="15.75" thickBot="1">
      <c r="A48" s="437" t="s">
        <v>1793</v>
      </c>
      <c r="B48" s="438"/>
      <c r="C48" s="1160">
        <f>R49</f>
        <v>42965</v>
      </c>
      <c r="D48" s="2315" t="s">
        <v>2138</v>
      </c>
      <c r="E48" s="1161">
        <f>R48</f>
        <v>40497</v>
      </c>
      <c r="F48" s="2316"/>
      <c r="G48" s="1160">
        <f>T48</f>
        <v>46244</v>
      </c>
      <c r="H48" s="2316"/>
      <c r="I48" s="1161">
        <f>V48</f>
        <v>42155</v>
      </c>
      <c r="J48" s="2316"/>
      <c r="K48" s="2318">
        <f>F48+H48+J48</f>
        <v>0</v>
      </c>
      <c r="L48" s="2722"/>
      <c r="M48" s="2723"/>
      <c r="N48" s="2714"/>
      <c r="O48" s="2723"/>
      <c r="P48" s="3789" t="str">
        <f>A48</f>
        <v>比较价值（元/平方米）</v>
      </c>
      <c r="Q48" s="3789"/>
      <c r="R48" s="3790">
        <f>IF(F1="售价",ROUND(PRODUCT(R47,AA7:AA46),0),ROUND(PRODUCT(R47,AA7:AA46),1))</f>
        <v>40497</v>
      </c>
      <c r="S48" s="3790"/>
      <c r="T48" s="3790">
        <f>IF(F1="售价",ROUND(PRODUCT(T47,AB7:AB46),0),ROUND(PRODUCT(T47,AB7:AB46),1))</f>
        <v>46244</v>
      </c>
      <c r="U48" s="3790"/>
      <c r="V48" s="3790">
        <f>IF(F1="售价",ROUND(PRODUCT(V47,AC7:AC46),0),ROUND(PRODUCT(V47,AC7:AC46),1))</f>
        <v>42155</v>
      </c>
      <c r="W48" s="3790"/>
      <c r="X48" s="690"/>
      <c r="Y48" s="690"/>
      <c r="Z48" s="690"/>
      <c r="AA48" s="690"/>
      <c r="AB48" s="690"/>
      <c r="AC48" s="690"/>
    </row>
    <row r="49" spans="1:29" ht="15.75" thickBot="1">
      <c r="A49" s="441" t="s">
        <v>1794</v>
      </c>
      <c r="B49" s="442"/>
      <c r="C49" s="1163">
        <f>R49</f>
        <v>42965</v>
      </c>
      <c r="D49" s="1163"/>
      <c r="E49" s="1163"/>
      <c r="F49" s="1163"/>
      <c r="G49" s="1163"/>
      <c r="H49" s="1163"/>
      <c r="I49" s="1163"/>
      <c r="J49" s="1163"/>
      <c r="K49" s="715"/>
      <c r="L49" s="2722"/>
      <c r="M49" s="2723"/>
      <c r="N49" s="2714"/>
      <c r="O49" s="2723"/>
      <c r="P49" s="3786" t="str">
        <f>A49</f>
        <v>估价对象XX用房的比较价值（楼面单价，元/平方米）</v>
      </c>
      <c r="Q49" s="3787"/>
      <c r="R49" s="3788">
        <f>IF(F1="售价",ROUND(IF(D48="简单平均",AVERAGE(R48:V48),R48*F48+T48*H48+V48*J48),0),ROUND(IF(D48="简单平均",AVERAGE(R48:V48),R48*F48+T48*H48+V48*J48),1))</f>
        <v>42965</v>
      </c>
      <c r="S49" s="3788"/>
      <c r="T49" s="3788"/>
      <c r="U49" s="3788"/>
      <c r="V49" s="3788"/>
      <c r="W49" s="378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1.4199849737039916E-2</v>
      </c>
      <c r="F52" s="449" t="str">
        <f>IF(OR(E52&gt;=0.3,E52&lt;=-0.3),"超过30%","")</f>
        <v/>
      </c>
      <c r="G52" s="448">
        <f>IF(G47&lt;G48,G48/G47-1,G47/G48-1)</f>
        <v>7.551689652766469E-2</v>
      </c>
      <c r="H52" s="449" t="str">
        <f>IF(OR(G52&gt;=0.3,G52&lt;=-0.3),"超过30%","")</f>
        <v/>
      </c>
      <c r="I52" s="448">
        <f>IF(I47&lt;I48,I48/I47-1,I47/I48-1)</f>
        <v>5.3874999999999895E-2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0.14191174654912708</v>
      </c>
      <c r="F53" s="449" t="str">
        <f>IF(OR(E53&gt;=0.2,E53&lt;=-0.2),"超过20%","")</f>
        <v/>
      </c>
      <c r="G53" s="448">
        <f>IF(G48&lt;I48,I48/G48-1,G48/I48-1)</f>
        <v>9.6999169730755508E-2</v>
      </c>
      <c r="H53" s="449" t="str">
        <f>IF(OR(G53&gt;=0.2,G53&lt;=-0.2),"超过20%","")</f>
        <v/>
      </c>
      <c r="I53" s="448">
        <f>IF(I48&lt;E48,E48/I48-1,I48/E48-1)</f>
        <v>4.0941304294145331E-2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7.6809416478837989E-2</v>
      </c>
      <c r="F54" s="449" t="str">
        <f>IF(OR(E54&gt;=0.3,E54&lt;=-0.3),"超过30%","")</f>
        <v/>
      </c>
      <c r="G54" s="448">
        <f>IF(G47&lt;I47,I47/G47-1,G47/I47-1)</f>
        <v>7.4924999999999908E-2</v>
      </c>
      <c r="H54" s="449" t="str">
        <f>IF(OR(G54&gt;=0.3,G54&lt;=-0.3),"超过30%","")</f>
        <v/>
      </c>
      <c r="I54" s="448">
        <f>IF(I47&lt;E47,E47/I47-1,I47/E47-1)</f>
        <v>1.753067868770275E-3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ht="18">
      <c r="A56" s="2723"/>
      <c r="B56" s="2729"/>
      <c r="C56" s="3543" t="s">
        <v>4419</v>
      </c>
      <c r="D56" s="3543" t="s">
        <v>4420</v>
      </c>
      <c r="E56" s="3544" t="s">
        <v>4421</v>
      </c>
      <c r="F56" s="3544" t="s">
        <v>4422</v>
      </c>
      <c r="G56" s="3544" t="s">
        <v>4415</v>
      </c>
      <c r="H56" s="3544" t="s">
        <v>4416</v>
      </c>
      <c r="I56" s="3544" t="s">
        <v>4423</v>
      </c>
      <c r="J56" s="3544" t="s">
        <v>4424</v>
      </c>
      <c r="K56" s="3544" t="s">
        <v>4417</v>
      </c>
      <c r="L56" s="3544" t="s">
        <v>4418</v>
      </c>
      <c r="M56" s="3544" t="s">
        <v>4425</v>
      </c>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f>C59-$C$60</f>
        <v>99.8</v>
      </c>
      <c r="E59" s="461">
        <f t="shared" ref="E59:M59" si="17">D59-$C$60</f>
        <v>99.6</v>
      </c>
      <c r="F59" s="461">
        <f t="shared" si="17"/>
        <v>99.399999999999991</v>
      </c>
      <c r="G59" s="461">
        <f t="shared" si="17"/>
        <v>99.199999999999989</v>
      </c>
      <c r="H59" s="461">
        <f t="shared" si="17"/>
        <v>98.999999999999986</v>
      </c>
      <c r="I59" s="461">
        <f t="shared" si="17"/>
        <v>98.799999999999983</v>
      </c>
      <c r="J59" s="461">
        <f t="shared" si="17"/>
        <v>98.59999999999998</v>
      </c>
      <c r="K59" s="461">
        <f t="shared" si="17"/>
        <v>98.399999999999977</v>
      </c>
      <c r="L59" s="461">
        <f t="shared" si="17"/>
        <v>98.199999999999974</v>
      </c>
      <c r="M59" s="461">
        <f t="shared" si="17"/>
        <v>97.999999999999972</v>
      </c>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v>0.2</v>
      </c>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0（含）-2</v>
      </c>
      <c r="D67" s="496" t="str">
        <f t="shared" ref="D67:L67" si="18">D68&amp;"（含）"&amp;"-"&amp;E68</f>
        <v>2（含）-4</v>
      </c>
      <c r="E67" s="496" t="str">
        <f t="shared" si="18"/>
        <v>4（含）-6</v>
      </c>
      <c r="F67" s="496" t="str">
        <f t="shared" si="18"/>
        <v>6（含）-8</v>
      </c>
      <c r="G67" s="496" t="str">
        <f t="shared" si="18"/>
        <v>8（含）-10</v>
      </c>
      <c r="H67" s="496" t="str">
        <f t="shared" si="18"/>
        <v>10（含）-12</v>
      </c>
      <c r="I67" s="496" t="str">
        <f t="shared" si="18"/>
        <v>12（含）-</v>
      </c>
      <c r="J67" s="496" t="str">
        <f t="shared" si="18"/>
        <v>（含）-</v>
      </c>
      <c r="K67" s="496" t="str">
        <f t="shared" si="18"/>
        <v>（含）-</v>
      </c>
      <c r="L67" s="496" t="str">
        <f t="shared" si="18"/>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2</v>
      </c>
      <c r="E68" s="498">
        <v>4</v>
      </c>
      <c r="F68" s="498">
        <v>6</v>
      </c>
      <c r="G68" s="498">
        <v>8</v>
      </c>
      <c r="H68" s="498">
        <v>10</v>
      </c>
      <c r="I68" s="498">
        <v>12</v>
      </c>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9">C69-$K11</f>
        <v>99.5</v>
      </c>
      <c r="E69" s="493">
        <f t="shared" si="19"/>
        <v>99</v>
      </c>
      <c r="F69" s="493">
        <f t="shared" si="19"/>
        <v>98.5</v>
      </c>
      <c r="G69" s="493">
        <f t="shared" si="19"/>
        <v>98</v>
      </c>
      <c r="H69" s="493">
        <f t="shared" si="19"/>
        <v>97.5</v>
      </c>
      <c r="I69" s="493">
        <f t="shared" si="19"/>
        <v>97</v>
      </c>
      <c r="J69" s="493">
        <f t="shared" si="19"/>
        <v>96.5</v>
      </c>
      <c r="K69" s="493">
        <f t="shared" si="19"/>
        <v>96</v>
      </c>
      <c r="L69" s="493">
        <f t="shared" si="19"/>
        <v>95.5</v>
      </c>
      <c r="M69" s="494">
        <f t="shared" si="19"/>
        <v>95</v>
      </c>
      <c r="N69" s="2752"/>
      <c r="O69" s="2752"/>
      <c r="P69" s="2742"/>
      <c r="Q69" s="2737"/>
      <c r="R69" s="2723"/>
      <c r="S69" s="2723"/>
      <c r="T69" s="2723"/>
      <c r="U69" s="2723"/>
      <c r="V69" s="2723"/>
      <c r="W69" s="2723"/>
      <c r="X69" s="2723"/>
      <c r="Y69" s="2723"/>
      <c r="Z69" s="2723"/>
      <c r="AA69" s="2723"/>
      <c r="AB69" s="2723"/>
      <c r="AC69" s="2723"/>
    </row>
    <row r="70" spans="1:29" s="422" customFormat="1" ht="16.5" thickTop="1" thickBot="1">
      <c r="A70" s="502"/>
      <c r="B70" s="487" t="str">
        <f>B12</f>
        <v>地下车库占比</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6.5" thickTop="1" thickBot="1">
      <c r="A71" s="502"/>
      <c r="B71" s="492"/>
      <c r="C71" s="509"/>
      <c r="D71" s="503" t="s">
        <v>4433</v>
      </c>
      <c r="E71" s="503" t="s">
        <v>4434</v>
      </c>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t="str">
        <f>B13</f>
        <v>地下车库占比</v>
      </c>
      <c r="C72" s="3547" t="s">
        <v>4432</v>
      </c>
      <c r="D72" s="503" t="s">
        <v>4429</v>
      </c>
      <c r="E72" s="503" t="s">
        <v>4427</v>
      </c>
      <c r="F72" s="503" t="s">
        <v>4431</v>
      </c>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v>110</v>
      </c>
      <c r="E73" s="485">
        <v>100</v>
      </c>
      <c r="F73" s="485">
        <v>90</v>
      </c>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0</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90</v>
      </c>
      <c r="E77" s="493">
        <f>D77-$K15</f>
        <v>80</v>
      </c>
      <c r="F77" s="493">
        <f>E77-$K15</f>
        <v>70</v>
      </c>
      <c r="G77" s="493">
        <f>F77-$K15</f>
        <v>60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95</v>
      </c>
      <c r="E79" s="493">
        <f>D79-$K17</f>
        <v>90</v>
      </c>
      <c r="F79" s="493">
        <f>E79-$K17</f>
        <v>85</v>
      </c>
      <c r="G79" s="493">
        <f>F79-$K17</f>
        <v>80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95</v>
      </c>
      <c r="E81" s="493">
        <f>D81-$K19</f>
        <v>90</v>
      </c>
      <c r="F81" s="493">
        <f>E81-$K19</f>
        <v>85</v>
      </c>
      <c r="G81" s="493">
        <f>F81-$K19</f>
        <v>80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97</v>
      </c>
      <c r="E83" s="493">
        <f t="shared" ref="E83:G83" si="20">D83-$K21</f>
        <v>94</v>
      </c>
      <c r="F83" s="493">
        <f t="shared" si="20"/>
        <v>91</v>
      </c>
      <c r="G83" s="493">
        <f t="shared" si="20"/>
        <v>88</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97</v>
      </c>
      <c r="E85" s="493">
        <f>D85-$K23</f>
        <v>94</v>
      </c>
      <c r="F85" s="493">
        <f>E85-$K23</f>
        <v>91</v>
      </c>
      <c r="G85" s="493">
        <f>F85-$K23</f>
        <v>88</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100</v>
      </c>
      <c r="E87" s="493">
        <f t="shared" si="21"/>
        <v>100</v>
      </c>
      <c r="F87" s="493">
        <f t="shared" si="21"/>
        <v>100</v>
      </c>
      <c r="G87" s="493">
        <f t="shared" si="21"/>
        <v>100</v>
      </c>
      <c r="H87" s="493">
        <f t="shared" si="21"/>
        <v>100</v>
      </c>
      <c r="I87" s="493">
        <f t="shared" si="21"/>
        <v>100</v>
      </c>
      <c r="J87" s="493">
        <f t="shared" si="21"/>
        <v>100</v>
      </c>
      <c r="K87" s="493">
        <f t="shared" si="21"/>
        <v>100</v>
      </c>
      <c r="L87" s="493">
        <f t="shared" si="21"/>
        <v>100</v>
      </c>
      <c r="M87" s="493">
        <f t="shared" si="21"/>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549" t="s">
        <v>4438</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95</v>
      </c>
      <c r="E101" s="493">
        <f t="shared" si="23"/>
        <v>90</v>
      </c>
      <c r="F101" s="493">
        <f t="shared" si="23"/>
        <v>85</v>
      </c>
      <c r="G101" s="493">
        <f t="shared" si="23"/>
        <v>80</v>
      </c>
      <c r="H101" s="493">
        <f t="shared" si="23"/>
        <v>75</v>
      </c>
      <c r="I101" s="493">
        <f t="shared" si="23"/>
        <v>70</v>
      </c>
      <c r="J101" s="493">
        <f t="shared" si="23"/>
        <v>65</v>
      </c>
      <c r="K101" s="493">
        <f t="shared" si="23"/>
        <v>60</v>
      </c>
      <c r="L101" s="493">
        <f t="shared" si="23"/>
        <v>55</v>
      </c>
      <c r="M101" s="494">
        <f t="shared" si="23"/>
        <v>50</v>
      </c>
      <c r="N101" s="2752"/>
      <c r="O101" s="2752"/>
      <c r="P101" s="2742"/>
      <c r="Q101" s="2737"/>
      <c r="R101" s="2723"/>
      <c r="S101" s="2723"/>
      <c r="T101" s="2723"/>
      <c r="U101" s="2723"/>
      <c r="V101" s="2723"/>
      <c r="W101" s="2723"/>
      <c r="X101" s="2723"/>
      <c r="Y101" s="2723"/>
      <c r="Z101" s="2723"/>
      <c r="AA101" s="2723"/>
      <c r="AB101" s="2723"/>
      <c r="AC101" s="2723"/>
    </row>
    <row r="102" spans="1:29" ht="29.25" thickTop="1">
      <c r="A102" s="483"/>
      <c r="B102" s="487" t="s">
        <v>1737</v>
      </c>
      <c r="C102" s="527" t="str">
        <f>C103&amp;"(含)"&amp;"-"&amp;D103</f>
        <v>0(含)-75000</v>
      </c>
      <c r="D102" s="527" t="str">
        <f t="shared" ref="D102:L102" si="24">D103&amp;"(含)"&amp;"-"&amp;E103</f>
        <v>75000(含)-150000</v>
      </c>
      <c r="E102" s="527" t="str">
        <f t="shared" si="24"/>
        <v>150000(含)-225000</v>
      </c>
      <c r="F102" s="527" t="str">
        <f t="shared" si="24"/>
        <v>225000(含)-300000</v>
      </c>
      <c r="G102" s="527" t="str">
        <f t="shared" si="24"/>
        <v>300000(含)-375000</v>
      </c>
      <c r="H102" s="527" t="str">
        <f t="shared" si="24"/>
        <v>375000(含)-</v>
      </c>
      <c r="I102" s="527" t="str">
        <f t="shared" si="24"/>
        <v>(含)-</v>
      </c>
      <c r="J102" s="527" t="str">
        <f t="shared" si="24"/>
        <v>(含)-</v>
      </c>
      <c r="K102" s="527" t="str">
        <f t="shared" si="24"/>
        <v>(含)-</v>
      </c>
      <c r="L102" s="527" t="str">
        <f t="shared" si="24"/>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75000</v>
      </c>
      <c r="E103" s="544">
        <v>150000</v>
      </c>
      <c r="F103" s="544">
        <v>225000</v>
      </c>
      <c r="G103" s="544">
        <v>300000</v>
      </c>
      <c r="H103" s="544">
        <v>375000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99</v>
      </c>
      <c r="D104" s="485">
        <v>100</v>
      </c>
      <c r="E104" s="485">
        <f>D104+1</f>
        <v>101</v>
      </c>
      <c r="F104" s="485">
        <f t="shared" ref="F104:H104" si="25">E104+1</f>
        <v>102</v>
      </c>
      <c r="G104" s="485">
        <f t="shared" si="25"/>
        <v>103</v>
      </c>
      <c r="H104" s="485">
        <f t="shared" si="25"/>
        <v>104</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547" t="s">
        <v>4451</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97</v>
      </c>
      <c r="E106" s="493">
        <f t="shared" si="26"/>
        <v>94</v>
      </c>
      <c r="F106" s="493">
        <f t="shared" si="26"/>
        <v>91</v>
      </c>
      <c r="G106" s="493">
        <f t="shared" si="26"/>
        <v>88</v>
      </c>
      <c r="H106" s="493">
        <f t="shared" si="26"/>
        <v>85</v>
      </c>
      <c r="I106" s="493">
        <f t="shared" si="26"/>
        <v>82</v>
      </c>
      <c r="J106" s="493">
        <f t="shared" si="26"/>
        <v>79</v>
      </c>
      <c r="K106" s="493">
        <f t="shared" si="26"/>
        <v>76</v>
      </c>
      <c r="L106" s="493">
        <f t="shared" si="26"/>
        <v>73</v>
      </c>
      <c r="M106" s="494">
        <f t="shared" si="26"/>
        <v>70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547" t="s">
        <v>4453</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97</v>
      </c>
      <c r="E108" s="493">
        <f t="shared" si="27"/>
        <v>94</v>
      </c>
      <c r="F108" s="493">
        <f t="shared" si="27"/>
        <v>91</v>
      </c>
      <c r="G108" s="493">
        <f t="shared" si="27"/>
        <v>88</v>
      </c>
      <c r="H108" s="493">
        <f t="shared" si="27"/>
        <v>85</v>
      </c>
      <c r="I108" s="493">
        <f t="shared" si="27"/>
        <v>82</v>
      </c>
      <c r="J108" s="493">
        <f t="shared" si="27"/>
        <v>79</v>
      </c>
      <c r="K108" s="493">
        <f t="shared" si="27"/>
        <v>76</v>
      </c>
      <c r="L108" s="493">
        <f t="shared" si="27"/>
        <v>73</v>
      </c>
      <c r="M108" s="494">
        <f t="shared" si="27"/>
        <v>70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8">D111+$K36</f>
        <v>100</v>
      </c>
      <c r="F111" s="493">
        <f t="shared" si="28"/>
        <v>100</v>
      </c>
      <c r="G111" s="493">
        <f t="shared" si="28"/>
        <v>100</v>
      </c>
      <c r="H111" s="493">
        <f t="shared" si="28"/>
        <v>100</v>
      </c>
      <c r="I111" s="493">
        <f t="shared" si="28"/>
        <v>100</v>
      </c>
      <c r="J111" s="493">
        <f t="shared" si="28"/>
        <v>100</v>
      </c>
      <c r="K111" s="493">
        <f t="shared" si="28"/>
        <v>100</v>
      </c>
      <c r="L111" s="493">
        <f t="shared" si="28"/>
        <v>100</v>
      </c>
      <c r="M111" s="493">
        <f t="shared" si="28"/>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547" t="s">
        <v>4439</v>
      </c>
      <c r="D122" s="3547" t="s">
        <v>4440</v>
      </c>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disablePrompts="1"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31"/>
      <c r="F1" s="1877"/>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79"/>
      <c r="D2" s="1115"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57452.09</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804" t="s">
        <v>1770</v>
      </c>
      <c r="D4" s="3805"/>
      <c r="E4" s="3806" t="s">
        <v>1771</v>
      </c>
      <c r="F4" s="3807"/>
      <c r="G4" s="3804" t="s">
        <v>1772</v>
      </c>
      <c r="H4" s="3805"/>
      <c r="I4" s="3804" t="s">
        <v>1773</v>
      </c>
      <c r="J4" s="3805"/>
      <c r="K4" s="559" t="s">
        <v>1774</v>
      </c>
      <c r="L4" s="2713"/>
      <c r="M4" s="2714"/>
      <c r="N4" s="2714"/>
      <c r="O4" s="2714"/>
      <c r="P4" s="3838" t="s">
        <v>1775</v>
      </c>
      <c r="Q4" s="3839"/>
      <c r="R4" s="3842" t="s">
        <v>1771</v>
      </c>
      <c r="S4" s="3843"/>
      <c r="T4" s="3842" t="s">
        <v>1772</v>
      </c>
      <c r="U4" s="3843"/>
      <c r="V4" s="3844" t="s">
        <v>1773</v>
      </c>
      <c r="W4" s="3844"/>
      <c r="X4" s="1956"/>
      <c r="Y4" s="3842" t="s">
        <v>1775</v>
      </c>
      <c r="Z4" s="3843"/>
      <c r="AA4" s="3846" t="s">
        <v>1771</v>
      </c>
      <c r="AB4" s="3846" t="s">
        <v>1772</v>
      </c>
      <c r="AC4" s="3835" t="s">
        <v>1773</v>
      </c>
    </row>
    <row r="5" spans="1:29" ht="15">
      <c r="A5" s="358"/>
      <c r="B5" s="359"/>
      <c r="C5" s="3823" t="s">
        <v>1673</v>
      </c>
      <c r="D5" s="3824"/>
      <c r="E5" s="3830" t="s">
        <v>1674</v>
      </c>
      <c r="F5" s="3831"/>
      <c r="G5" s="3823" t="s">
        <v>1675</v>
      </c>
      <c r="H5" s="3824"/>
      <c r="I5" s="3823" t="s">
        <v>1676</v>
      </c>
      <c r="J5" s="3824"/>
      <c r="K5" s="559"/>
      <c r="L5" s="2713"/>
      <c r="M5" s="2714"/>
      <c r="N5" s="2714"/>
      <c r="O5" s="2714"/>
      <c r="P5" s="3840"/>
      <c r="Q5" s="3811"/>
      <c r="R5" s="3816"/>
      <c r="S5" s="3817"/>
      <c r="T5" s="3816"/>
      <c r="U5" s="3817"/>
      <c r="V5" s="3820"/>
      <c r="W5" s="3820"/>
      <c r="X5" s="1355"/>
      <c r="Y5" s="3816"/>
      <c r="Z5" s="3817"/>
      <c r="AA5" s="3802"/>
      <c r="AB5" s="3802"/>
      <c r="AC5" s="3836"/>
    </row>
    <row r="6" spans="1:29" ht="15.75" thickBot="1">
      <c r="A6" s="360"/>
      <c r="B6" s="361"/>
      <c r="C6" s="3821" t="s">
        <v>1677</v>
      </c>
      <c r="D6" s="3822"/>
      <c r="E6" s="3828" t="s">
        <v>1677</v>
      </c>
      <c r="F6" s="3829"/>
      <c r="G6" s="3821" t="s">
        <v>1677</v>
      </c>
      <c r="H6" s="3822"/>
      <c r="I6" s="3821" t="s">
        <v>1677</v>
      </c>
      <c r="J6" s="3822"/>
      <c r="K6" s="559" t="s">
        <v>1678</v>
      </c>
      <c r="L6" s="2713"/>
      <c r="M6" s="2714"/>
      <c r="N6" s="2714"/>
      <c r="O6" s="2714"/>
      <c r="P6" s="3841"/>
      <c r="Q6" s="3813"/>
      <c r="R6" s="3816"/>
      <c r="S6" s="3817"/>
      <c r="T6" s="3818"/>
      <c r="U6" s="3819"/>
      <c r="V6" s="3820"/>
      <c r="W6" s="3820"/>
      <c r="X6" s="1355"/>
      <c r="Y6" s="3818"/>
      <c r="Z6" s="3819"/>
      <c r="AA6" s="3803"/>
      <c r="AB6" s="3803"/>
      <c r="AC6" s="3837"/>
    </row>
    <row r="7" spans="1:29" s="108" customFormat="1" ht="15.75" thickBot="1">
      <c r="A7" s="362" t="s">
        <v>1679</v>
      </c>
      <c r="B7" s="363"/>
      <c r="C7" s="364">
        <f>'数据-取费表'!B2</f>
        <v>45040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45" t="s">
        <v>1680</v>
      </c>
      <c r="Q7" s="3827"/>
      <c r="R7" s="701" t="s">
        <v>14</v>
      </c>
      <c r="S7" s="702">
        <f t="shared" ref="S7:S15" si="0">F7</f>
        <v>0</v>
      </c>
      <c r="T7" s="701" t="s">
        <v>14</v>
      </c>
      <c r="U7" s="702">
        <f t="shared" ref="U7:U15" si="1">H7</f>
        <v>0</v>
      </c>
      <c r="V7" s="701" t="s">
        <v>14</v>
      </c>
      <c r="W7" s="702">
        <f t="shared" ref="W7:W15" si="2">J7</f>
        <v>0</v>
      </c>
      <c r="X7" s="703"/>
      <c r="Y7" s="3825" t="s">
        <v>1680</v>
      </c>
      <c r="Z7" s="3826"/>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45" t="s">
        <v>1683</v>
      </c>
      <c r="Q8" s="3826"/>
      <c r="R8" s="701" t="s">
        <v>14</v>
      </c>
      <c r="S8" s="702">
        <f t="shared" si="0"/>
        <v>100</v>
      </c>
      <c r="T8" s="701" t="s">
        <v>14</v>
      </c>
      <c r="U8" s="702">
        <f t="shared" si="1"/>
        <v>100</v>
      </c>
      <c r="V8" s="701" t="s">
        <v>14</v>
      </c>
      <c r="W8" s="702">
        <f t="shared" si="2"/>
        <v>100</v>
      </c>
      <c r="X8" s="703"/>
      <c r="Y8" s="3825" t="s">
        <v>1683</v>
      </c>
      <c r="Z8" s="3826"/>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800"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800"/>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800"/>
      <c r="Q11" s="1343" t="str">
        <f t="shared" si="6"/>
        <v>容积率</v>
      </c>
      <c r="R11" s="701" t="s">
        <v>14</v>
      </c>
      <c r="S11" s="702">
        <f t="shared" si="0"/>
        <v>100</v>
      </c>
      <c r="T11" s="701" t="s">
        <v>14</v>
      </c>
      <c r="U11" s="702">
        <f t="shared" si="1"/>
        <v>100</v>
      </c>
      <c r="V11" s="701" t="s">
        <v>14</v>
      </c>
      <c r="W11" s="702">
        <f t="shared" si="2"/>
        <v>100</v>
      </c>
      <c r="X11" s="703"/>
      <c r="Y11" s="3645"/>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800"/>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800"/>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800"/>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98" t="s">
        <v>1691</v>
      </c>
      <c r="Q15" s="1352" t="str">
        <f t="shared" si="6"/>
        <v>办公集聚程度</v>
      </c>
      <c r="R15" s="705" t="s">
        <v>14</v>
      </c>
      <c r="S15" s="706">
        <f t="shared" si="0"/>
        <v>100</v>
      </c>
      <c r="T15" s="705" t="s">
        <v>14</v>
      </c>
      <c r="U15" s="706">
        <f t="shared" si="1"/>
        <v>100</v>
      </c>
      <c r="V15" s="705" t="s">
        <v>14</v>
      </c>
      <c r="W15" s="706">
        <f t="shared" si="2"/>
        <v>100</v>
      </c>
      <c r="X15" s="1355"/>
      <c r="Y15" s="3791" t="s">
        <v>1691</v>
      </c>
      <c r="Z15" s="1356" t="str">
        <f t="shared" si="7"/>
        <v>办公集聚程度</v>
      </c>
      <c r="AA15" s="1353">
        <f t="shared" si="3"/>
        <v>1</v>
      </c>
      <c r="AB15" s="1353">
        <f t="shared" si="4"/>
        <v>1</v>
      </c>
      <c r="AC15" s="1960">
        <f t="shared" si="5"/>
        <v>1</v>
      </c>
    </row>
    <row r="16" spans="1:29" ht="15">
      <c r="A16" s="379"/>
      <c r="B16" s="578"/>
      <c r="C16" s="1902"/>
      <c r="D16" s="399"/>
      <c r="E16" s="398"/>
      <c r="F16" s="399"/>
      <c r="G16" s="1902"/>
      <c r="H16" s="401"/>
      <c r="I16" s="398"/>
      <c r="J16" s="399"/>
      <c r="K16" s="564"/>
      <c r="L16" s="2720"/>
      <c r="M16" s="2714"/>
      <c r="N16" s="2714"/>
      <c r="O16" s="2714"/>
      <c r="P16" s="3799"/>
      <c r="Q16" s="1352"/>
      <c r="R16" s="705"/>
      <c r="S16" s="706"/>
      <c r="T16" s="705"/>
      <c r="U16" s="706"/>
      <c r="V16" s="705"/>
      <c r="W16" s="706"/>
      <c r="X16" s="1355"/>
      <c r="Y16" s="3792"/>
      <c r="Z16" s="1356"/>
      <c r="AA16" s="1353">
        <v>1</v>
      </c>
      <c r="AB16" s="1353">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99"/>
      <c r="Q17" s="1352" t="str">
        <f>B17</f>
        <v>交通便捷度</v>
      </c>
      <c r="R17" s="705" t="s">
        <v>14</v>
      </c>
      <c r="S17" s="706">
        <f>F17</f>
        <v>100</v>
      </c>
      <c r="T17" s="705" t="s">
        <v>14</v>
      </c>
      <c r="U17" s="706">
        <f>H17</f>
        <v>100</v>
      </c>
      <c r="V17" s="705" t="s">
        <v>14</v>
      </c>
      <c r="W17" s="706">
        <f>J17</f>
        <v>100</v>
      </c>
      <c r="X17" s="1355"/>
      <c r="Y17" s="3792"/>
      <c r="Z17" s="1356" t="str">
        <f>Q17</f>
        <v>交通便捷度</v>
      </c>
      <c r="AA17" s="1353">
        <f t="shared" si="3"/>
        <v>1</v>
      </c>
      <c r="AB17" s="1353">
        <f t="shared" si="4"/>
        <v>1</v>
      </c>
      <c r="AC17" s="1960">
        <f t="shared" si="5"/>
        <v>1</v>
      </c>
    </row>
    <row r="18" spans="1:29" ht="15">
      <c r="A18" s="379"/>
      <c r="B18" s="580"/>
      <c r="C18" s="1962"/>
      <c r="D18" s="401"/>
      <c r="E18" s="1900"/>
      <c r="F18" s="401"/>
      <c r="G18" s="1901"/>
      <c r="H18" s="399"/>
      <c r="I18" s="1901"/>
      <c r="J18" s="399"/>
      <c r="K18" s="564"/>
      <c r="L18" s="2720"/>
      <c r="M18" s="2714"/>
      <c r="N18" s="2714"/>
      <c r="O18" s="2714"/>
      <c r="P18" s="3799"/>
      <c r="Q18" s="1352"/>
      <c r="R18" s="705"/>
      <c r="S18" s="706"/>
      <c r="T18" s="705"/>
      <c r="U18" s="706"/>
      <c r="V18" s="705"/>
      <c r="W18" s="706"/>
      <c r="X18" s="1355"/>
      <c r="Y18" s="3792"/>
      <c r="Z18" s="1356"/>
      <c r="AA18" s="1353">
        <v>1</v>
      </c>
      <c r="AB18" s="1353">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99"/>
      <c r="Q19" s="1352" t="str">
        <f>B19</f>
        <v>公共配套设施</v>
      </c>
      <c r="R19" s="705" t="s">
        <v>14</v>
      </c>
      <c r="S19" s="706">
        <f>F19</f>
        <v>100</v>
      </c>
      <c r="T19" s="705" t="s">
        <v>14</v>
      </c>
      <c r="U19" s="706">
        <f>H19</f>
        <v>100</v>
      </c>
      <c r="V19" s="705" t="s">
        <v>14</v>
      </c>
      <c r="W19" s="706">
        <f>J19</f>
        <v>100</v>
      </c>
      <c r="X19" s="1355"/>
      <c r="Y19" s="3792"/>
      <c r="Z19" s="1356" t="str">
        <f>Q19</f>
        <v>公共配套设施</v>
      </c>
      <c r="AA19" s="1353">
        <f t="shared" si="3"/>
        <v>1</v>
      </c>
      <c r="AB19" s="1353">
        <f t="shared" si="4"/>
        <v>1</v>
      </c>
      <c r="AC19" s="1960">
        <f t="shared" si="5"/>
        <v>1</v>
      </c>
    </row>
    <row r="20" spans="1:29" ht="15">
      <c r="A20" s="379"/>
      <c r="B20" s="580"/>
      <c r="C20" s="1902"/>
      <c r="D20" s="399"/>
      <c r="E20" s="1895"/>
      <c r="F20" s="399"/>
      <c r="G20" s="1896"/>
      <c r="H20" s="399"/>
      <c r="I20" s="1896"/>
      <c r="J20" s="399"/>
      <c r="K20" s="564"/>
      <c r="L20" s="2720"/>
      <c r="M20" s="2714"/>
      <c r="N20" s="2714"/>
      <c r="O20" s="2714"/>
      <c r="P20" s="3799"/>
      <c r="Q20" s="1352"/>
      <c r="R20" s="705"/>
      <c r="S20" s="706"/>
      <c r="T20" s="705"/>
      <c r="U20" s="706"/>
      <c r="V20" s="705"/>
      <c r="W20" s="706"/>
      <c r="X20" s="1355"/>
      <c r="Y20" s="3792"/>
      <c r="Z20" s="1356"/>
      <c r="AA20" s="1353">
        <v>1</v>
      </c>
      <c r="AB20" s="1353">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99"/>
      <c r="Q21" s="1352" t="str">
        <f>B21</f>
        <v>基础设施水平</v>
      </c>
      <c r="R21" s="705" t="s">
        <v>14</v>
      </c>
      <c r="S21" s="706">
        <f>F21</f>
        <v>100</v>
      </c>
      <c r="T21" s="705" t="s">
        <v>14</v>
      </c>
      <c r="U21" s="706">
        <f>H21</f>
        <v>100</v>
      </c>
      <c r="V21" s="705" t="s">
        <v>14</v>
      </c>
      <c r="W21" s="706">
        <f>J21</f>
        <v>100</v>
      </c>
      <c r="X21" s="1355"/>
      <c r="Y21" s="3792"/>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2"/>
      <c r="H22" s="399"/>
      <c r="I22" s="1902"/>
      <c r="J22" s="399"/>
      <c r="K22" s="1130"/>
      <c r="L22" s="2720"/>
      <c r="M22" s="2714"/>
      <c r="N22" s="2714"/>
      <c r="O22" s="2714"/>
      <c r="P22" s="3799"/>
      <c r="Q22" s="1352"/>
      <c r="R22" s="705"/>
      <c r="S22" s="706"/>
      <c r="T22" s="705"/>
      <c r="U22" s="706"/>
      <c r="V22" s="705"/>
      <c r="W22" s="706"/>
      <c r="X22" s="1355"/>
      <c r="Y22" s="3792"/>
      <c r="Z22" s="1356"/>
      <c r="AA22" s="1353">
        <v>1</v>
      </c>
      <c r="AB22" s="1353">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99"/>
      <c r="Q23" s="1352" t="str">
        <f>B23</f>
        <v>环境质量</v>
      </c>
      <c r="R23" s="705" t="s">
        <v>14</v>
      </c>
      <c r="S23" s="706">
        <f>F23</f>
        <v>100</v>
      </c>
      <c r="T23" s="705" t="s">
        <v>14</v>
      </c>
      <c r="U23" s="706">
        <f>H23</f>
        <v>100</v>
      </c>
      <c r="V23" s="705" t="s">
        <v>14</v>
      </c>
      <c r="W23" s="706">
        <f>J23</f>
        <v>100</v>
      </c>
      <c r="X23" s="1355"/>
      <c r="Y23" s="3792"/>
      <c r="Z23" s="1356" t="str">
        <f>Q23</f>
        <v>环境质量</v>
      </c>
      <c r="AA23" s="1353">
        <f t="shared" si="3"/>
        <v>1</v>
      </c>
      <c r="AB23" s="1353">
        <f t="shared" si="4"/>
        <v>1</v>
      </c>
      <c r="AC23" s="1960">
        <f t="shared" si="5"/>
        <v>1</v>
      </c>
    </row>
    <row r="24" spans="1:29" ht="15">
      <c r="A24" s="379"/>
      <c r="B24" s="581"/>
      <c r="C24" s="1902"/>
      <c r="D24" s="399"/>
      <c r="E24" s="1895"/>
      <c r="F24" s="399"/>
      <c r="G24" s="1896"/>
      <c r="H24" s="399"/>
      <c r="I24" s="1896"/>
      <c r="J24" s="399"/>
      <c r="K24" s="564"/>
      <c r="L24" s="2720"/>
      <c r="M24" s="2714"/>
      <c r="N24" s="2714"/>
      <c r="O24" s="2714"/>
      <c r="P24" s="3799"/>
      <c r="Q24" s="1352"/>
      <c r="R24" s="705"/>
      <c r="S24" s="706"/>
      <c r="T24" s="705"/>
      <c r="U24" s="706"/>
      <c r="V24" s="705"/>
      <c r="W24" s="706"/>
      <c r="X24" s="1355"/>
      <c r="Y24" s="3792"/>
      <c r="Z24" s="1356"/>
      <c r="AA24" s="1353">
        <v>1</v>
      </c>
      <c r="AB24" s="1353">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99"/>
      <c r="Q25" s="1352" t="str">
        <f>B25</f>
        <v>毗邻道路的类型与等级</v>
      </c>
      <c r="R25" s="705" t="s">
        <v>14</v>
      </c>
      <c r="S25" s="706">
        <f>F25</f>
        <v>100</v>
      </c>
      <c r="T25" s="705" t="s">
        <v>14</v>
      </c>
      <c r="U25" s="706">
        <f>H25</f>
        <v>100</v>
      </c>
      <c r="V25" s="705" t="s">
        <v>14</v>
      </c>
      <c r="W25" s="706">
        <f>J25</f>
        <v>100</v>
      </c>
      <c r="X25" s="1355"/>
      <c r="Y25" s="3792"/>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20"/>
      <c r="M26" s="2714"/>
      <c r="N26" s="2714"/>
      <c r="O26" s="2714"/>
      <c r="P26" s="3799"/>
      <c r="Q26" s="1352"/>
      <c r="R26" s="705"/>
      <c r="S26" s="706"/>
      <c r="T26" s="705"/>
      <c r="U26" s="706"/>
      <c r="V26" s="705"/>
      <c r="W26" s="706"/>
      <c r="X26" s="1355"/>
      <c r="Y26" s="3792"/>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99"/>
      <c r="Q27" s="1352" t="str">
        <f t="shared" ref="Q27:Q47" si="11">B27</f>
        <v>楼层</v>
      </c>
      <c r="R27" s="705" t="s">
        <v>14</v>
      </c>
      <c r="S27" s="706">
        <f>F27</f>
        <v>100</v>
      </c>
      <c r="T27" s="705" t="s">
        <v>14</v>
      </c>
      <c r="U27" s="706">
        <f>H27</f>
        <v>100</v>
      </c>
      <c r="V27" s="705" t="s">
        <v>14</v>
      </c>
      <c r="W27" s="706">
        <f>J27</f>
        <v>100</v>
      </c>
      <c r="X27" s="1355"/>
      <c r="Y27" s="3792"/>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99"/>
      <c r="Q28" s="1343" t="str">
        <f t="shared" si="11"/>
        <v>朝向</v>
      </c>
      <c r="R28" s="701" t="s">
        <v>14</v>
      </c>
      <c r="S28" s="702">
        <f>F28</f>
        <v>100</v>
      </c>
      <c r="T28" s="701" t="s">
        <v>14</v>
      </c>
      <c r="U28" s="702">
        <f>H28</f>
        <v>100</v>
      </c>
      <c r="V28" s="701" t="s">
        <v>14</v>
      </c>
      <c r="W28" s="702">
        <f>J28</f>
        <v>100</v>
      </c>
      <c r="X28" s="703"/>
      <c r="Y28" s="3792"/>
      <c r="Z28" s="52" t="str">
        <f>Q28</f>
        <v>朝向</v>
      </c>
      <c r="AA28" s="1353">
        <f>D28/F28</f>
        <v>1</v>
      </c>
      <c r="AB28" s="1353">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99"/>
      <c r="Q29" s="1352">
        <f t="shared" si="11"/>
        <v>111</v>
      </c>
      <c r="R29" s="705" t="s">
        <v>14</v>
      </c>
      <c r="S29" s="706">
        <f t="shared" ref="S29:S47" si="12">F29</f>
        <v>100</v>
      </c>
      <c r="T29" s="705" t="s">
        <v>14</v>
      </c>
      <c r="U29" s="706">
        <f t="shared" ref="U29:U47" si="13">H29</f>
        <v>100</v>
      </c>
      <c r="V29" s="705" t="s">
        <v>14</v>
      </c>
      <c r="W29" s="706">
        <f t="shared" ref="W29:W47" si="14">J29</f>
        <v>100</v>
      </c>
      <c r="X29" s="1355"/>
      <c r="Y29" s="3792"/>
      <c r="Z29" s="1356">
        <f t="shared" ref="Z29:Z47" si="15">Q29</f>
        <v>111</v>
      </c>
      <c r="AA29" s="1353">
        <f t="shared" si="3"/>
        <v>1</v>
      </c>
      <c r="AB29" s="1353">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99"/>
      <c r="Q30" s="1352">
        <f t="shared" si="11"/>
        <v>111</v>
      </c>
      <c r="R30" s="705" t="s">
        <v>14</v>
      </c>
      <c r="S30" s="706">
        <f t="shared" si="12"/>
        <v>100</v>
      </c>
      <c r="T30" s="705" t="s">
        <v>14</v>
      </c>
      <c r="U30" s="706">
        <f t="shared" si="13"/>
        <v>100</v>
      </c>
      <c r="V30" s="705" t="s">
        <v>14</v>
      </c>
      <c r="W30" s="706">
        <f t="shared" si="14"/>
        <v>100</v>
      </c>
      <c r="X30" s="1355"/>
      <c r="Y30" s="3792"/>
      <c r="Z30" s="1356">
        <f t="shared" si="15"/>
        <v>111</v>
      </c>
      <c r="AA30" s="1353">
        <f t="shared" si="3"/>
        <v>1</v>
      </c>
      <c r="AB30" s="1353">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99"/>
      <c r="Q31" s="1352">
        <f t="shared" si="11"/>
        <v>111</v>
      </c>
      <c r="R31" s="705" t="s">
        <v>14</v>
      </c>
      <c r="S31" s="706">
        <f t="shared" si="12"/>
        <v>100</v>
      </c>
      <c r="T31" s="705" t="s">
        <v>14</v>
      </c>
      <c r="U31" s="706">
        <f t="shared" si="13"/>
        <v>100</v>
      </c>
      <c r="V31" s="705" t="s">
        <v>14</v>
      </c>
      <c r="W31" s="706">
        <f t="shared" si="14"/>
        <v>100</v>
      </c>
      <c r="X31" s="1355"/>
      <c r="Y31" s="3792"/>
      <c r="Z31" s="1356">
        <f t="shared" si="15"/>
        <v>111</v>
      </c>
      <c r="AA31" s="1353">
        <f t="shared" si="3"/>
        <v>1</v>
      </c>
      <c r="AB31" s="1353">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99"/>
      <c r="Q32" s="1352">
        <f t="shared" si="11"/>
        <v>111</v>
      </c>
      <c r="R32" s="705" t="s">
        <v>14</v>
      </c>
      <c r="S32" s="706">
        <f t="shared" si="12"/>
        <v>100</v>
      </c>
      <c r="T32" s="705" t="s">
        <v>14</v>
      </c>
      <c r="U32" s="706">
        <f t="shared" si="13"/>
        <v>100</v>
      </c>
      <c r="V32" s="705" t="s">
        <v>14</v>
      </c>
      <c r="W32" s="706">
        <f t="shared" si="14"/>
        <v>100</v>
      </c>
      <c r="X32" s="1355"/>
      <c r="Y32" s="3792"/>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93" t="s">
        <v>1696</v>
      </c>
      <c r="Q33" s="1352" t="str">
        <f t="shared" si="11"/>
        <v>建筑类型</v>
      </c>
      <c r="R33" s="705" t="s">
        <v>14</v>
      </c>
      <c r="S33" s="706">
        <f t="shared" si="12"/>
        <v>100</v>
      </c>
      <c r="T33" s="705" t="s">
        <v>14</v>
      </c>
      <c r="U33" s="706">
        <f t="shared" si="13"/>
        <v>100</v>
      </c>
      <c r="V33" s="705" t="s">
        <v>14</v>
      </c>
      <c r="W33" s="706">
        <f t="shared" si="14"/>
        <v>100</v>
      </c>
      <c r="X33" s="1355"/>
      <c r="Y33" s="3796"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94"/>
      <c r="Q34" s="707" t="str">
        <f t="shared" si="11"/>
        <v>项目建筑规模</v>
      </c>
      <c r="R34" s="708" t="s">
        <v>14</v>
      </c>
      <c r="S34" s="709" t="e">
        <f t="shared" si="12"/>
        <v>#N/A</v>
      </c>
      <c r="T34" s="708" t="s">
        <v>14</v>
      </c>
      <c r="U34" s="709" t="e">
        <f t="shared" si="13"/>
        <v>#N/A</v>
      </c>
      <c r="V34" s="708" t="s">
        <v>14</v>
      </c>
      <c r="W34" s="709" t="e">
        <f t="shared" si="14"/>
        <v>#N/A</v>
      </c>
      <c r="X34" s="710"/>
      <c r="Y34" s="3796"/>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94"/>
      <c r="Q35" s="1352" t="str">
        <f t="shared" si="11"/>
        <v>建筑结构</v>
      </c>
      <c r="R35" s="705" t="s">
        <v>14</v>
      </c>
      <c r="S35" s="706">
        <f t="shared" si="12"/>
        <v>100</v>
      </c>
      <c r="T35" s="705" t="s">
        <v>14</v>
      </c>
      <c r="U35" s="706">
        <f t="shared" si="13"/>
        <v>100</v>
      </c>
      <c r="V35" s="705" t="s">
        <v>14</v>
      </c>
      <c r="W35" s="706">
        <f t="shared" si="14"/>
        <v>100</v>
      </c>
      <c r="X35" s="1355"/>
      <c r="Y35" s="3796"/>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94"/>
      <c r="Q36" s="1352" t="str">
        <f t="shared" si="11"/>
        <v>公共部分装修</v>
      </c>
      <c r="R36" s="705" t="s">
        <v>14</v>
      </c>
      <c r="S36" s="706">
        <f t="shared" si="12"/>
        <v>100</v>
      </c>
      <c r="T36" s="705" t="s">
        <v>14</v>
      </c>
      <c r="U36" s="706">
        <f t="shared" si="13"/>
        <v>100</v>
      </c>
      <c r="V36" s="705" t="s">
        <v>14</v>
      </c>
      <c r="W36" s="706">
        <f t="shared" si="14"/>
        <v>100</v>
      </c>
      <c r="X36" s="1355"/>
      <c r="Y36" s="3796"/>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94"/>
      <c r="Q37" s="1352" t="str">
        <f t="shared" si="11"/>
        <v>成新度</v>
      </c>
      <c r="R37" s="705" t="s">
        <v>14</v>
      </c>
      <c r="S37" s="706" t="e">
        <f t="shared" si="12"/>
        <v>#N/A</v>
      </c>
      <c r="T37" s="705" t="s">
        <v>14</v>
      </c>
      <c r="U37" s="706" t="e">
        <f t="shared" si="13"/>
        <v>#N/A</v>
      </c>
      <c r="V37" s="705" t="s">
        <v>14</v>
      </c>
      <c r="W37" s="706" t="e">
        <f t="shared" si="14"/>
        <v>#N/A</v>
      </c>
      <c r="X37" s="1355"/>
      <c r="Y37" s="3796"/>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94"/>
      <c r="Q38" s="1343" t="str">
        <f t="shared" si="11"/>
        <v>写字楼等级</v>
      </c>
      <c r="R38" s="701" t="s">
        <v>14</v>
      </c>
      <c r="S38" s="702">
        <f t="shared" si="12"/>
        <v>100</v>
      </c>
      <c r="T38" s="701" t="s">
        <v>14</v>
      </c>
      <c r="U38" s="702">
        <f t="shared" si="13"/>
        <v>100</v>
      </c>
      <c r="V38" s="701" t="s">
        <v>14</v>
      </c>
      <c r="W38" s="702">
        <f t="shared" si="14"/>
        <v>100</v>
      </c>
      <c r="X38" s="703"/>
      <c r="Y38" s="3796"/>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94" t="s">
        <v>1696</v>
      </c>
      <c r="Q39" s="1352" t="str">
        <f t="shared" si="11"/>
        <v>物业管理</v>
      </c>
      <c r="R39" s="705" t="s">
        <v>14</v>
      </c>
      <c r="S39" s="706">
        <f t="shared" si="12"/>
        <v>100</v>
      </c>
      <c r="T39" s="705" t="s">
        <v>14</v>
      </c>
      <c r="U39" s="706">
        <f t="shared" si="13"/>
        <v>100</v>
      </c>
      <c r="V39" s="705" t="s">
        <v>14</v>
      </c>
      <c r="W39" s="706">
        <f t="shared" si="14"/>
        <v>100</v>
      </c>
      <c r="X39" s="1355"/>
      <c r="Y39" s="3796"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94"/>
      <c r="Q40" s="1352" t="str">
        <f t="shared" si="11"/>
        <v>市政基础设施</v>
      </c>
      <c r="R40" s="705" t="s">
        <v>14</v>
      </c>
      <c r="S40" s="706">
        <f t="shared" si="12"/>
        <v>100</v>
      </c>
      <c r="T40" s="705" t="s">
        <v>14</v>
      </c>
      <c r="U40" s="706">
        <f t="shared" si="13"/>
        <v>100</v>
      </c>
      <c r="V40" s="705" t="s">
        <v>14</v>
      </c>
      <c r="W40" s="706">
        <f t="shared" si="14"/>
        <v>100</v>
      </c>
      <c r="X40" s="1355"/>
      <c r="Y40" s="3796"/>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94"/>
      <c r="Q41" s="1352" t="str">
        <f t="shared" si="11"/>
        <v>层高</v>
      </c>
      <c r="R41" s="705" t="s">
        <v>14</v>
      </c>
      <c r="S41" s="706">
        <f t="shared" si="12"/>
        <v>100</v>
      </c>
      <c r="T41" s="705" t="s">
        <v>14</v>
      </c>
      <c r="U41" s="706">
        <f t="shared" si="13"/>
        <v>100</v>
      </c>
      <c r="V41" s="705" t="s">
        <v>14</v>
      </c>
      <c r="W41" s="706">
        <f t="shared" si="14"/>
        <v>100</v>
      </c>
      <c r="X41" s="1355"/>
      <c r="Y41" s="3796"/>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94"/>
      <c r="Q42" s="707" t="str">
        <f t="shared" si="11"/>
        <v>单套建筑面积</v>
      </c>
      <c r="R42" s="708" t="s">
        <v>14</v>
      </c>
      <c r="S42" s="709">
        <f t="shared" si="12"/>
        <v>100</v>
      </c>
      <c r="T42" s="708" t="s">
        <v>14</v>
      </c>
      <c r="U42" s="709">
        <f t="shared" si="13"/>
        <v>100</v>
      </c>
      <c r="V42" s="708" t="s">
        <v>14</v>
      </c>
      <c r="W42" s="709">
        <f t="shared" si="14"/>
        <v>100</v>
      </c>
      <c r="X42" s="710"/>
      <c r="Y42" s="3796"/>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94"/>
      <c r="Q43" s="1352" t="str">
        <f t="shared" si="11"/>
        <v>内部装修</v>
      </c>
      <c r="R43" s="705" t="s">
        <v>14</v>
      </c>
      <c r="S43" s="706">
        <f t="shared" si="12"/>
        <v>100</v>
      </c>
      <c r="T43" s="705" t="s">
        <v>14</v>
      </c>
      <c r="U43" s="706">
        <f t="shared" si="13"/>
        <v>100</v>
      </c>
      <c r="V43" s="705" t="s">
        <v>14</v>
      </c>
      <c r="W43" s="706">
        <f t="shared" si="14"/>
        <v>100</v>
      </c>
      <c r="X43" s="1355"/>
      <c r="Y43" s="3796"/>
      <c r="Z43" s="1356" t="str">
        <f t="shared" si="15"/>
        <v>内部装修</v>
      </c>
      <c r="AA43" s="1353">
        <f t="shared" si="3"/>
        <v>1</v>
      </c>
      <c r="AB43" s="1353">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94"/>
      <c r="Q44" s="1352" t="str">
        <f t="shared" si="11"/>
        <v>内部装修维护情况</v>
      </c>
      <c r="R44" s="705" t="s">
        <v>14</v>
      </c>
      <c r="S44" s="706">
        <f t="shared" si="12"/>
        <v>100</v>
      </c>
      <c r="T44" s="705" t="s">
        <v>14</v>
      </c>
      <c r="U44" s="706">
        <f t="shared" si="13"/>
        <v>100</v>
      </c>
      <c r="V44" s="705" t="s">
        <v>14</v>
      </c>
      <c r="W44" s="706">
        <f t="shared" si="14"/>
        <v>100</v>
      </c>
      <c r="X44" s="1355"/>
      <c r="Y44" s="3796"/>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94"/>
      <c r="Q45" s="1343">
        <f t="shared" si="11"/>
        <v>111</v>
      </c>
      <c r="R45" s="701" t="s">
        <v>14</v>
      </c>
      <c r="S45" s="702">
        <f t="shared" si="12"/>
        <v>100</v>
      </c>
      <c r="T45" s="701" t="s">
        <v>14</v>
      </c>
      <c r="U45" s="702">
        <f t="shared" si="13"/>
        <v>100</v>
      </c>
      <c r="V45" s="701" t="s">
        <v>14</v>
      </c>
      <c r="W45" s="702">
        <f t="shared" si="14"/>
        <v>100</v>
      </c>
      <c r="X45" s="703"/>
      <c r="Y45" s="3796"/>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94"/>
      <c r="Q46" s="1352">
        <f t="shared" si="11"/>
        <v>111</v>
      </c>
      <c r="R46" s="705" t="s">
        <v>14</v>
      </c>
      <c r="S46" s="706">
        <f t="shared" si="12"/>
        <v>100</v>
      </c>
      <c r="T46" s="705" t="s">
        <v>14</v>
      </c>
      <c r="U46" s="706">
        <f t="shared" si="13"/>
        <v>100</v>
      </c>
      <c r="V46" s="705" t="s">
        <v>14</v>
      </c>
      <c r="W46" s="706">
        <f t="shared" si="14"/>
        <v>100</v>
      </c>
      <c r="X46" s="1355"/>
      <c r="Y46" s="3796"/>
      <c r="Z46" s="1356">
        <f t="shared" si="15"/>
        <v>111</v>
      </c>
      <c r="AA46" s="1353">
        <f t="shared" si="3"/>
        <v>1</v>
      </c>
      <c r="AB46" s="1353">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95"/>
      <c r="Q47" s="1352">
        <f t="shared" si="11"/>
        <v>111</v>
      </c>
      <c r="R47" s="705" t="s">
        <v>14</v>
      </c>
      <c r="S47" s="706">
        <f t="shared" si="12"/>
        <v>100</v>
      </c>
      <c r="T47" s="705" t="s">
        <v>14</v>
      </c>
      <c r="U47" s="706">
        <f t="shared" si="13"/>
        <v>100</v>
      </c>
      <c r="V47" s="705" t="s">
        <v>14</v>
      </c>
      <c r="W47" s="706">
        <f t="shared" si="14"/>
        <v>100</v>
      </c>
      <c r="X47" s="1355"/>
      <c r="Y47" s="3797"/>
      <c r="Z47" s="1356">
        <f t="shared" si="15"/>
        <v>111</v>
      </c>
      <c r="AA47" s="1353">
        <f t="shared" si="3"/>
        <v>1</v>
      </c>
      <c r="AB47" s="1353">
        <f t="shared" si="4"/>
        <v>1</v>
      </c>
      <c r="AC47" s="1960">
        <f t="shared" si="5"/>
        <v>1</v>
      </c>
    </row>
    <row r="48" spans="1:29" ht="15">
      <c r="A48" s="430" t="s">
        <v>1708</v>
      </c>
      <c r="B48" s="431"/>
      <c r="C48" s="1154" t="s">
        <v>0</v>
      </c>
      <c r="D48" s="1155"/>
      <c r="E48" s="1156"/>
      <c r="F48" s="1157"/>
      <c r="G48" s="1158"/>
      <c r="H48" s="1159"/>
      <c r="I48" s="1156"/>
      <c r="J48" s="436"/>
      <c r="K48" s="714"/>
      <c r="L48" s="2722"/>
      <c r="M48" s="2714"/>
      <c r="N48" s="2714"/>
      <c r="O48" s="2714"/>
      <c r="P48" s="3800" t="str">
        <f>A48</f>
        <v>成交单价（元/平方米）</v>
      </c>
      <c r="Q48" s="3789"/>
      <c r="R48" s="3790">
        <f>E48</f>
        <v>0</v>
      </c>
      <c r="S48" s="3790"/>
      <c r="T48" s="3790">
        <f>G48</f>
        <v>0</v>
      </c>
      <c r="U48" s="3790"/>
      <c r="V48" s="3790">
        <f>I48</f>
        <v>0</v>
      </c>
      <c r="W48" s="3790"/>
      <c r="X48" s="397"/>
      <c r="Y48" s="712"/>
      <c r="Z48" s="397"/>
      <c r="AA48" s="397"/>
      <c r="AB48" s="397"/>
      <c r="AC48" s="578"/>
    </row>
    <row r="49" spans="1:29" ht="15.7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800" t="str">
        <f>A49</f>
        <v>比较价值（元/平方米）</v>
      </c>
      <c r="Q49" s="3789"/>
      <c r="R49" s="3790" t="e">
        <f>IF(F1="售价",ROUND(PRODUCT(R48,AA7:AA47),0),ROUND(PRODUCT(R48,AA7:AA47),1))</f>
        <v>#DIV/0!</v>
      </c>
      <c r="S49" s="3790"/>
      <c r="T49" s="3790" t="e">
        <f>IF(F1="售价",ROUND(PRODUCT(T48,AB7:AB47),0),ROUND(PRODUCT(T48,AB7:AB47),1))</f>
        <v>#DIV/0!</v>
      </c>
      <c r="U49" s="3790"/>
      <c r="V49" s="3790" t="e">
        <f>IF(F1="售价",ROUND(PRODUCT(V48,AC7:AC47),0),ROUND(PRODUCT(V48,AC7:AC47),1))</f>
        <v>#DIV/0!</v>
      </c>
      <c r="W49" s="379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832" t="str">
        <f>A50</f>
        <v>估价对象XX用房的比较价值（楼面单价，元/平方米）</v>
      </c>
      <c r="Q50" s="3833"/>
      <c r="R50" s="3834" t="e">
        <f>IF(F1="售价",ROUND(IF(D49="简单平均",AVERAGE(R49:V49),R49*F49+T49*H49+V49*J49),0),ROUND(IF(D49="简单平均",AVERAGE(R49:V49),R49*F49+T49*H49+V49*J49),1))</f>
        <v>#DIV/0!</v>
      </c>
      <c r="S50" s="3834"/>
      <c r="T50" s="3834"/>
      <c r="U50" s="3834"/>
      <c r="V50" s="3834"/>
      <c r="W50" s="3834"/>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估价对象为房地产，为所有。根据《国有土地使用证》[]，估价对象（分摊）出让国有建设用地使用权面积为10178.42平方米，建筑面积为57452.09平方米。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估价对象为房地产,属开发建设的，该项目尚在开发建设中。根据《国有土地使用证》[]，估价对象（分摊）出让国有建设用地使用权面积为10178.42平方米，规划建筑面积为57452.09平方米。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31"/>
      <c r="F1" s="1877"/>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57452.09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04" t="s">
        <v>1770</v>
      </c>
      <c r="D4" s="3805"/>
      <c r="E4" s="3806" t="s">
        <v>1771</v>
      </c>
      <c r="F4" s="3807"/>
      <c r="G4" s="3804" t="s">
        <v>1772</v>
      </c>
      <c r="H4" s="3805"/>
      <c r="I4" s="3804" t="s">
        <v>1773</v>
      </c>
      <c r="J4" s="3805"/>
      <c r="K4" s="559" t="s">
        <v>1774</v>
      </c>
      <c r="L4" s="913"/>
      <c r="M4" s="914"/>
      <c r="N4" s="914"/>
      <c r="O4" s="914"/>
      <c r="P4" s="3808" t="s">
        <v>1775</v>
      </c>
      <c r="Q4" s="3809"/>
      <c r="R4" s="3814" t="s">
        <v>1771</v>
      </c>
      <c r="S4" s="3815"/>
      <c r="T4" s="3814" t="s">
        <v>1772</v>
      </c>
      <c r="U4" s="3815"/>
      <c r="V4" s="3820" t="s">
        <v>1773</v>
      </c>
      <c r="W4" s="3820"/>
      <c r="X4" s="1355"/>
      <c r="Y4" s="3814" t="s">
        <v>1775</v>
      </c>
      <c r="Z4" s="3815"/>
      <c r="AA4" s="3801" t="s">
        <v>1771</v>
      </c>
      <c r="AB4" s="3802" t="s">
        <v>1772</v>
      </c>
      <c r="AC4" s="3801" t="s">
        <v>1773</v>
      </c>
    </row>
    <row r="5" spans="1:29" ht="15">
      <c r="A5" s="358"/>
      <c r="B5" s="359"/>
      <c r="C5" s="3823" t="s">
        <v>1673</v>
      </c>
      <c r="D5" s="3824"/>
      <c r="E5" s="3830" t="s">
        <v>1674</v>
      </c>
      <c r="F5" s="3831"/>
      <c r="G5" s="3823" t="s">
        <v>1675</v>
      </c>
      <c r="H5" s="3824"/>
      <c r="I5" s="3823" t="s">
        <v>1676</v>
      </c>
      <c r="J5" s="3824"/>
      <c r="K5" s="559"/>
      <c r="L5" s="913"/>
      <c r="M5" s="914"/>
      <c r="N5" s="914"/>
      <c r="O5" s="914"/>
      <c r="P5" s="3810"/>
      <c r="Q5" s="3811"/>
      <c r="R5" s="3816"/>
      <c r="S5" s="3817"/>
      <c r="T5" s="3816"/>
      <c r="U5" s="3817"/>
      <c r="V5" s="3820"/>
      <c r="W5" s="3820"/>
      <c r="X5" s="1355"/>
      <c r="Y5" s="3816"/>
      <c r="Z5" s="3817"/>
      <c r="AA5" s="3802"/>
      <c r="AB5" s="3802"/>
      <c r="AC5" s="3802"/>
    </row>
    <row r="6" spans="1:29" ht="15.75" thickBot="1">
      <c r="A6" s="360"/>
      <c r="B6" s="361"/>
      <c r="C6" s="3821" t="s">
        <v>1677</v>
      </c>
      <c r="D6" s="3822"/>
      <c r="E6" s="3828" t="s">
        <v>1677</v>
      </c>
      <c r="F6" s="3829"/>
      <c r="G6" s="3821" t="s">
        <v>1677</v>
      </c>
      <c r="H6" s="3822"/>
      <c r="I6" s="3821" t="s">
        <v>1677</v>
      </c>
      <c r="J6" s="3822"/>
      <c r="K6" s="559" t="s">
        <v>1678</v>
      </c>
      <c r="L6" s="913"/>
      <c r="M6" s="914"/>
      <c r="N6" s="914"/>
      <c r="O6" s="914"/>
      <c r="P6" s="3812"/>
      <c r="Q6" s="3813"/>
      <c r="R6" s="3816"/>
      <c r="S6" s="3817"/>
      <c r="T6" s="3818"/>
      <c r="U6" s="3819"/>
      <c r="V6" s="3820"/>
      <c r="W6" s="3820"/>
      <c r="X6" s="1355"/>
      <c r="Y6" s="3818"/>
      <c r="Z6" s="3819"/>
      <c r="AA6" s="3803"/>
      <c r="AB6" s="3803"/>
      <c r="AC6" s="3803"/>
    </row>
    <row r="7" spans="1:29" s="108" customFormat="1" ht="15.75" thickBot="1">
      <c r="A7" s="362" t="s">
        <v>1679</v>
      </c>
      <c r="B7" s="363"/>
      <c r="C7" s="364">
        <f>'数据-取费表'!B2</f>
        <v>45040</v>
      </c>
      <c r="D7" s="365">
        <v>100</v>
      </c>
      <c r="E7" s="366"/>
      <c r="F7" s="367">
        <f>SUMIF(52:52,YEAR(E7)&amp;"-"&amp;MONTH(E7),53:53)</f>
        <v>0</v>
      </c>
      <c r="G7" s="366"/>
      <c r="H7" s="365">
        <f>SUMIF(52:52,YEAR(G7)&amp;"-"&amp;MONTH(G7),53:53)</f>
        <v>0</v>
      </c>
      <c r="I7" s="366"/>
      <c r="J7" s="365">
        <f>SUMIF(52:52,YEAR(I7)&amp;"-"&amp;MONTH(I7),53:53)</f>
        <v>0</v>
      </c>
      <c r="K7" s="560"/>
      <c r="L7" s="915"/>
      <c r="M7" s="916"/>
      <c r="N7" s="916"/>
      <c r="O7" s="916"/>
      <c r="P7" s="3825" t="s">
        <v>1680</v>
      </c>
      <c r="Q7" s="3827"/>
      <c r="R7" s="701" t="s">
        <v>14</v>
      </c>
      <c r="S7" s="702">
        <f t="shared" ref="S7:S15" si="0">F7</f>
        <v>0</v>
      </c>
      <c r="T7" s="701" t="s">
        <v>14</v>
      </c>
      <c r="U7" s="702">
        <f t="shared" ref="U7:U15" si="1">H7</f>
        <v>0</v>
      </c>
      <c r="V7" s="701" t="s">
        <v>14</v>
      </c>
      <c r="W7" s="702">
        <f t="shared" ref="W7:W15" si="2">J7</f>
        <v>0</v>
      </c>
      <c r="X7" s="703"/>
      <c r="Y7" s="3825" t="s">
        <v>1680</v>
      </c>
      <c r="Z7" s="382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25" t="s">
        <v>1683</v>
      </c>
      <c r="Q8" s="3826"/>
      <c r="R8" s="701" t="s">
        <v>14</v>
      </c>
      <c r="S8" s="702">
        <f t="shared" si="0"/>
        <v>100</v>
      </c>
      <c r="T8" s="701" t="s">
        <v>14</v>
      </c>
      <c r="U8" s="702">
        <f t="shared" si="1"/>
        <v>100</v>
      </c>
      <c r="V8" s="701" t="s">
        <v>14</v>
      </c>
      <c r="W8" s="702">
        <f t="shared" si="2"/>
        <v>100</v>
      </c>
      <c r="X8" s="703"/>
      <c r="Y8" s="3825" t="s">
        <v>1683</v>
      </c>
      <c r="Z8" s="382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89"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89"/>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89"/>
      <c r="Q11" s="1343" t="str">
        <f t="shared" si="6"/>
        <v>容积率</v>
      </c>
      <c r="R11" s="701" t="s">
        <v>14</v>
      </c>
      <c r="S11" s="702">
        <f t="shared" si="0"/>
        <v>100</v>
      </c>
      <c r="T11" s="701" t="s">
        <v>14</v>
      </c>
      <c r="U11" s="702">
        <f t="shared" si="1"/>
        <v>100</v>
      </c>
      <c r="V11" s="701" t="s">
        <v>14</v>
      </c>
      <c r="W11" s="702">
        <f t="shared" si="2"/>
        <v>100</v>
      </c>
      <c r="X11" s="703"/>
      <c r="Y11" s="3645"/>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89"/>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89"/>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89"/>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91" t="s">
        <v>1691</v>
      </c>
      <c r="Q15" s="1352" t="str">
        <f t="shared" si="6"/>
        <v>产业集聚程度</v>
      </c>
      <c r="R15" s="705" t="s">
        <v>14</v>
      </c>
      <c r="S15" s="706">
        <f t="shared" si="0"/>
        <v>100</v>
      </c>
      <c r="T15" s="705" t="s">
        <v>14</v>
      </c>
      <c r="U15" s="706">
        <f t="shared" si="1"/>
        <v>100</v>
      </c>
      <c r="V15" s="705" t="s">
        <v>14</v>
      </c>
      <c r="W15" s="706">
        <f t="shared" si="2"/>
        <v>100</v>
      </c>
      <c r="X15" s="1355"/>
      <c r="Y15" s="379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92"/>
      <c r="Q16" s="1352"/>
      <c r="R16" s="705"/>
      <c r="S16" s="706"/>
      <c r="T16" s="705"/>
      <c r="U16" s="706"/>
      <c r="V16" s="705"/>
      <c r="W16" s="706"/>
      <c r="X16" s="1355"/>
      <c r="Y16" s="3792"/>
      <c r="Z16" s="1356"/>
      <c r="AA16" s="1353">
        <v>1</v>
      </c>
      <c r="AB16" s="1353">
        <v>1</v>
      </c>
      <c r="AC16" s="1353">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92"/>
      <c r="Q17" s="1352" t="str">
        <f>B17</f>
        <v>交通便捷度</v>
      </c>
      <c r="R17" s="705" t="s">
        <v>14</v>
      </c>
      <c r="S17" s="706">
        <f>F17</f>
        <v>100</v>
      </c>
      <c r="T17" s="705" t="s">
        <v>14</v>
      </c>
      <c r="U17" s="706">
        <f>H17</f>
        <v>100</v>
      </c>
      <c r="V17" s="705" t="s">
        <v>14</v>
      </c>
      <c r="W17" s="706">
        <f>J17</f>
        <v>100</v>
      </c>
      <c r="X17" s="1355"/>
      <c r="Y17" s="3792"/>
      <c r="Z17" s="1356" t="str">
        <f>Q17</f>
        <v>交通便捷度</v>
      </c>
      <c r="AA17" s="1353">
        <f t="shared" si="3"/>
        <v>1</v>
      </c>
      <c r="AB17" s="1353">
        <f t="shared" si="4"/>
        <v>1</v>
      </c>
      <c r="AC17" s="1353">
        <f t="shared" si="5"/>
        <v>1</v>
      </c>
    </row>
    <row r="18" spans="1:29" ht="15">
      <c r="A18" s="379"/>
      <c r="B18" s="407"/>
      <c r="C18" s="1899"/>
      <c r="D18" s="401"/>
      <c r="E18" s="1901"/>
      <c r="F18" s="404"/>
      <c r="G18" s="1900"/>
      <c r="H18" s="399"/>
      <c r="I18" s="1901"/>
      <c r="J18" s="399"/>
      <c r="K18" s="564"/>
      <c r="L18" s="923"/>
      <c r="M18" s="914"/>
      <c r="N18" s="914"/>
      <c r="O18" s="922"/>
      <c r="P18" s="3792"/>
      <c r="Q18" s="1352"/>
      <c r="R18" s="705"/>
      <c r="S18" s="706"/>
      <c r="T18" s="705"/>
      <c r="U18" s="706"/>
      <c r="V18" s="705"/>
      <c r="W18" s="706"/>
      <c r="X18" s="1355"/>
      <c r="Y18" s="3792"/>
      <c r="Z18" s="1356"/>
      <c r="AA18" s="1353">
        <v>1</v>
      </c>
      <c r="AB18" s="1353">
        <v>1</v>
      </c>
      <c r="AC18" s="1353">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92"/>
      <c r="Q19" s="1352" t="str">
        <f>B19</f>
        <v>公共配套设施</v>
      </c>
      <c r="R19" s="705" t="s">
        <v>14</v>
      </c>
      <c r="S19" s="706">
        <f>F19</f>
        <v>100</v>
      </c>
      <c r="T19" s="705" t="s">
        <v>14</v>
      </c>
      <c r="U19" s="706">
        <f>H19</f>
        <v>100</v>
      </c>
      <c r="V19" s="705" t="s">
        <v>14</v>
      </c>
      <c r="W19" s="706">
        <f>J19</f>
        <v>100</v>
      </c>
      <c r="X19" s="1355"/>
      <c r="Y19" s="3792"/>
      <c r="Z19" s="1356" t="str">
        <f>Q19</f>
        <v>公共配套设施</v>
      </c>
      <c r="AA19" s="1353">
        <f t="shared" si="3"/>
        <v>1</v>
      </c>
      <c r="AB19" s="1353">
        <f t="shared" si="4"/>
        <v>1</v>
      </c>
      <c r="AC19" s="1353">
        <f t="shared" si="5"/>
        <v>1</v>
      </c>
    </row>
    <row r="20" spans="1:29" ht="15">
      <c r="A20" s="379"/>
      <c r="B20" s="407"/>
      <c r="C20" s="398"/>
      <c r="D20" s="399"/>
      <c r="E20" s="1896"/>
      <c r="F20" s="400"/>
      <c r="G20" s="1895"/>
      <c r="H20" s="399"/>
      <c r="I20" s="1896"/>
      <c r="J20" s="399"/>
      <c r="K20" s="564"/>
      <c r="L20" s="923"/>
      <c r="M20" s="914"/>
      <c r="N20" s="914"/>
      <c r="O20" s="922"/>
      <c r="P20" s="3792"/>
      <c r="Q20" s="1352"/>
      <c r="R20" s="705"/>
      <c r="S20" s="706"/>
      <c r="T20" s="705"/>
      <c r="U20" s="706"/>
      <c r="V20" s="705"/>
      <c r="W20" s="706"/>
      <c r="X20" s="1355"/>
      <c r="Y20" s="3792"/>
      <c r="Z20" s="1356"/>
      <c r="AA20" s="1353">
        <v>1</v>
      </c>
      <c r="AB20" s="1353">
        <v>1</v>
      </c>
      <c r="AC20" s="1353">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92"/>
      <c r="Q21" s="1352" t="str">
        <f>B21</f>
        <v>基础设施水平</v>
      </c>
      <c r="R21" s="705" t="s">
        <v>14</v>
      </c>
      <c r="S21" s="706">
        <f>F21</f>
        <v>100</v>
      </c>
      <c r="T21" s="705" t="s">
        <v>14</v>
      </c>
      <c r="U21" s="706">
        <f>H21</f>
        <v>100</v>
      </c>
      <c r="V21" s="705" t="s">
        <v>14</v>
      </c>
      <c r="W21" s="706">
        <f>J21</f>
        <v>100</v>
      </c>
      <c r="X21" s="1355"/>
      <c r="Y21" s="3792"/>
      <c r="Z21" s="1356" t="str">
        <f>Q21</f>
        <v>基础设施水平</v>
      </c>
      <c r="AA21" s="1353">
        <f t="shared" ref="AA21" si="8">D21/F21</f>
        <v>1</v>
      </c>
      <c r="AB21" s="1353">
        <f t="shared" ref="AB21" si="9">D21/H21</f>
        <v>1</v>
      </c>
      <c r="AC21" s="1353">
        <f t="shared" ref="AC21" si="10">D21/J21</f>
        <v>1</v>
      </c>
    </row>
    <row r="22" spans="1:29" ht="15">
      <c r="A22" s="379"/>
      <c r="B22" s="1131"/>
      <c r="C22" s="1899"/>
      <c r="D22" s="399"/>
      <c r="E22" s="398"/>
      <c r="F22" s="400"/>
      <c r="G22" s="398"/>
      <c r="H22" s="399"/>
      <c r="I22" s="398"/>
      <c r="J22" s="399"/>
      <c r="K22" s="1130"/>
      <c r="L22" s="923"/>
      <c r="M22" s="914"/>
      <c r="N22" s="914"/>
      <c r="O22" s="922"/>
      <c r="P22" s="3792"/>
      <c r="Q22" s="1352"/>
      <c r="R22" s="705"/>
      <c r="S22" s="706"/>
      <c r="T22" s="705"/>
      <c r="U22" s="706"/>
      <c r="V22" s="705"/>
      <c r="W22" s="706"/>
      <c r="X22" s="1355"/>
      <c r="Y22" s="3792"/>
      <c r="Z22" s="1356"/>
      <c r="AA22" s="1353">
        <v>1</v>
      </c>
      <c r="AB22" s="1353">
        <v>1</v>
      </c>
      <c r="AC22" s="1353">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92"/>
      <c r="Q23" s="1352" t="str">
        <f>B23</f>
        <v>环境质量</v>
      </c>
      <c r="R23" s="705" t="s">
        <v>14</v>
      </c>
      <c r="S23" s="706">
        <f>F23</f>
        <v>100</v>
      </c>
      <c r="T23" s="705" t="s">
        <v>14</v>
      </c>
      <c r="U23" s="706">
        <f>H23</f>
        <v>100</v>
      </c>
      <c r="V23" s="705" t="s">
        <v>14</v>
      </c>
      <c r="W23" s="706">
        <f>J23</f>
        <v>100</v>
      </c>
      <c r="X23" s="1355"/>
      <c r="Y23" s="3792"/>
      <c r="Z23" s="1356" t="str">
        <f>Q23</f>
        <v>环境质量</v>
      </c>
      <c r="AA23" s="1353">
        <f t="shared" si="3"/>
        <v>1</v>
      </c>
      <c r="AB23" s="1353">
        <f t="shared" si="4"/>
        <v>1</v>
      </c>
      <c r="AC23" s="1353">
        <f t="shared" si="5"/>
        <v>1</v>
      </c>
    </row>
    <row r="24" spans="1:29" ht="15">
      <c r="A24" s="379"/>
      <c r="B24" s="1131"/>
      <c r="C24" s="398"/>
      <c r="D24" s="399"/>
      <c r="E24" s="1896"/>
      <c r="F24" s="400"/>
      <c r="G24" s="1895"/>
      <c r="H24" s="399"/>
      <c r="I24" s="1896"/>
      <c r="J24" s="399"/>
      <c r="K24" s="564"/>
      <c r="L24" s="923"/>
      <c r="M24" s="914"/>
      <c r="N24" s="914"/>
      <c r="O24" s="922"/>
      <c r="P24" s="3792"/>
      <c r="Q24" s="1352"/>
      <c r="R24" s="705"/>
      <c r="S24" s="706"/>
      <c r="T24" s="705"/>
      <c r="U24" s="706"/>
      <c r="V24" s="705"/>
      <c r="W24" s="706"/>
      <c r="X24" s="1355"/>
      <c r="Y24" s="379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92"/>
      <c r="Q25" s="1352">
        <f>B25</f>
        <v>111</v>
      </c>
      <c r="R25" s="705" t="s">
        <v>14</v>
      </c>
      <c r="S25" s="706">
        <f>F25</f>
        <v>100</v>
      </c>
      <c r="T25" s="705" t="s">
        <v>14</v>
      </c>
      <c r="U25" s="706">
        <f>H25</f>
        <v>100</v>
      </c>
      <c r="V25" s="705" t="s">
        <v>14</v>
      </c>
      <c r="W25" s="706">
        <f>J25</f>
        <v>100</v>
      </c>
      <c r="X25" s="1355"/>
      <c r="Y25" s="379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92"/>
      <c r="Q26" s="1352">
        <f t="shared" ref="Q26:Q40" si="11">B26</f>
        <v>111</v>
      </c>
      <c r="R26" s="705" t="s">
        <v>14</v>
      </c>
      <c r="S26" s="706">
        <f>F26</f>
        <v>100</v>
      </c>
      <c r="T26" s="705" t="s">
        <v>14</v>
      </c>
      <c r="U26" s="706">
        <f>H26</f>
        <v>100</v>
      </c>
      <c r="V26" s="705" t="s">
        <v>14</v>
      </c>
      <c r="W26" s="706">
        <f>J26</f>
        <v>100</v>
      </c>
      <c r="X26" s="1355"/>
      <c r="Y26" s="379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92"/>
      <c r="Q27" s="1343">
        <f t="shared" si="11"/>
        <v>111</v>
      </c>
      <c r="R27" s="701" t="s">
        <v>14</v>
      </c>
      <c r="S27" s="702">
        <f>F27</f>
        <v>100</v>
      </c>
      <c r="T27" s="701" t="s">
        <v>14</v>
      </c>
      <c r="U27" s="702">
        <f>H27</f>
        <v>100</v>
      </c>
      <c r="V27" s="701" t="s">
        <v>14</v>
      </c>
      <c r="W27" s="702">
        <f>J27</f>
        <v>100</v>
      </c>
      <c r="X27" s="703"/>
      <c r="Y27" s="379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92"/>
      <c r="Q28" s="1352">
        <f t="shared" si="11"/>
        <v>111</v>
      </c>
      <c r="R28" s="705" t="s">
        <v>14</v>
      </c>
      <c r="S28" s="706">
        <f t="shared" ref="S28:S40" si="12">F28</f>
        <v>100</v>
      </c>
      <c r="T28" s="705" t="s">
        <v>14</v>
      </c>
      <c r="U28" s="706">
        <f t="shared" ref="U28:U40" si="13">H28</f>
        <v>100</v>
      </c>
      <c r="V28" s="705" t="s">
        <v>14</v>
      </c>
      <c r="W28" s="706">
        <f t="shared" ref="W28:W40" si="14">J28</f>
        <v>100</v>
      </c>
      <c r="X28" s="1355"/>
      <c r="Y28" s="3792"/>
      <c r="Z28" s="1356">
        <f t="shared" ref="Z28:Z40" si="15">Q28</f>
        <v>111</v>
      </c>
      <c r="AA28" s="1353">
        <f t="shared" si="3"/>
        <v>1</v>
      </c>
      <c r="AB28" s="1353">
        <f t="shared" si="4"/>
        <v>1</v>
      </c>
      <c r="AC28" s="1353">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47" t="s">
        <v>1696</v>
      </c>
      <c r="Q29" s="1352" t="str">
        <f t="shared" si="11"/>
        <v>建筑类型</v>
      </c>
      <c r="R29" s="705" t="s">
        <v>14</v>
      </c>
      <c r="S29" s="706">
        <f t="shared" si="12"/>
        <v>100</v>
      </c>
      <c r="T29" s="705" t="s">
        <v>14</v>
      </c>
      <c r="U29" s="706">
        <f t="shared" si="13"/>
        <v>100</v>
      </c>
      <c r="V29" s="705" t="s">
        <v>14</v>
      </c>
      <c r="W29" s="706">
        <f t="shared" si="14"/>
        <v>100</v>
      </c>
      <c r="X29" s="1355"/>
      <c r="Y29" s="379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96"/>
      <c r="Q30" s="707" t="str">
        <f t="shared" si="11"/>
        <v>项目建筑规模</v>
      </c>
      <c r="R30" s="708" t="s">
        <v>14</v>
      </c>
      <c r="S30" s="709" t="e">
        <f t="shared" si="12"/>
        <v>#N/A</v>
      </c>
      <c r="T30" s="708" t="s">
        <v>14</v>
      </c>
      <c r="U30" s="709" t="e">
        <f t="shared" si="13"/>
        <v>#N/A</v>
      </c>
      <c r="V30" s="708" t="s">
        <v>14</v>
      </c>
      <c r="W30" s="709" t="e">
        <f t="shared" si="14"/>
        <v>#N/A</v>
      </c>
      <c r="X30" s="710"/>
      <c r="Y30" s="379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96"/>
      <c r="Q31" s="1352" t="str">
        <f t="shared" si="11"/>
        <v>建筑结构</v>
      </c>
      <c r="R31" s="705" t="s">
        <v>14</v>
      </c>
      <c r="S31" s="706">
        <f t="shared" si="12"/>
        <v>100</v>
      </c>
      <c r="T31" s="705" t="s">
        <v>14</v>
      </c>
      <c r="U31" s="706">
        <f t="shared" si="13"/>
        <v>100</v>
      </c>
      <c r="V31" s="705" t="s">
        <v>14</v>
      </c>
      <c r="W31" s="706">
        <f t="shared" si="14"/>
        <v>100</v>
      </c>
      <c r="X31" s="1355"/>
      <c r="Y31" s="379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96"/>
      <c r="Q32" s="1352" t="str">
        <f t="shared" si="11"/>
        <v>公共部分装修</v>
      </c>
      <c r="R32" s="705" t="s">
        <v>14</v>
      </c>
      <c r="S32" s="706">
        <f t="shared" si="12"/>
        <v>100</v>
      </c>
      <c r="T32" s="705" t="s">
        <v>14</v>
      </c>
      <c r="U32" s="706">
        <f t="shared" si="13"/>
        <v>100</v>
      </c>
      <c r="V32" s="705" t="s">
        <v>14</v>
      </c>
      <c r="W32" s="706">
        <f t="shared" si="14"/>
        <v>100</v>
      </c>
      <c r="X32" s="1355"/>
      <c r="Y32" s="379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96"/>
      <c r="Q33" s="1352" t="str">
        <f t="shared" si="11"/>
        <v>成新度</v>
      </c>
      <c r="R33" s="705" t="s">
        <v>14</v>
      </c>
      <c r="S33" s="706" t="e">
        <f t="shared" si="12"/>
        <v>#N/A</v>
      </c>
      <c r="T33" s="705" t="s">
        <v>14</v>
      </c>
      <c r="U33" s="706" t="e">
        <f t="shared" si="13"/>
        <v>#N/A</v>
      </c>
      <c r="V33" s="705" t="s">
        <v>14</v>
      </c>
      <c r="W33" s="706" t="e">
        <f t="shared" si="14"/>
        <v>#N/A</v>
      </c>
      <c r="X33" s="1355"/>
      <c r="Y33" s="379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96"/>
      <c r="Q34" s="1343" t="str">
        <f t="shared" si="11"/>
        <v>物业管理</v>
      </c>
      <c r="R34" s="701" t="s">
        <v>14</v>
      </c>
      <c r="S34" s="702">
        <f t="shared" si="12"/>
        <v>100</v>
      </c>
      <c r="T34" s="701" t="s">
        <v>14</v>
      </c>
      <c r="U34" s="702">
        <f t="shared" si="13"/>
        <v>100</v>
      </c>
      <c r="V34" s="701" t="s">
        <v>14</v>
      </c>
      <c r="W34" s="702">
        <f t="shared" si="14"/>
        <v>100</v>
      </c>
      <c r="X34" s="703"/>
      <c r="Y34" s="379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96" t="s">
        <v>1696</v>
      </c>
      <c r="Q35" s="1352" t="str">
        <f t="shared" si="11"/>
        <v>市政基础设施</v>
      </c>
      <c r="R35" s="705" t="s">
        <v>14</v>
      </c>
      <c r="S35" s="706">
        <f t="shared" si="12"/>
        <v>100</v>
      </c>
      <c r="T35" s="705" t="s">
        <v>14</v>
      </c>
      <c r="U35" s="706">
        <f t="shared" si="13"/>
        <v>100</v>
      </c>
      <c r="V35" s="705" t="s">
        <v>14</v>
      </c>
      <c r="W35" s="706">
        <f t="shared" si="14"/>
        <v>100</v>
      </c>
      <c r="X35" s="1355"/>
      <c r="Y35" s="379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96"/>
      <c r="Q36" s="1352" t="str">
        <f t="shared" si="11"/>
        <v>内部装修</v>
      </c>
      <c r="R36" s="705" t="s">
        <v>14</v>
      </c>
      <c r="S36" s="706">
        <f t="shared" si="12"/>
        <v>100</v>
      </c>
      <c r="T36" s="705" t="s">
        <v>14</v>
      </c>
      <c r="U36" s="706">
        <f t="shared" si="13"/>
        <v>100</v>
      </c>
      <c r="V36" s="705" t="s">
        <v>14</v>
      </c>
      <c r="W36" s="706">
        <f t="shared" si="14"/>
        <v>100</v>
      </c>
      <c r="X36" s="1355"/>
      <c r="Y36" s="379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96"/>
      <c r="Q37" s="1352" t="str">
        <f t="shared" si="11"/>
        <v>内部装修状况</v>
      </c>
      <c r="R37" s="705" t="s">
        <v>14</v>
      </c>
      <c r="S37" s="706">
        <f t="shared" si="12"/>
        <v>100</v>
      </c>
      <c r="T37" s="705" t="s">
        <v>14</v>
      </c>
      <c r="U37" s="706">
        <f t="shared" si="13"/>
        <v>100</v>
      </c>
      <c r="V37" s="705" t="s">
        <v>14</v>
      </c>
      <c r="W37" s="706">
        <f t="shared" si="14"/>
        <v>100</v>
      </c>
      <c r="X37" s="1355"/>
      <c r="Y37" s="379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96"/>
      <c r="Q38" s="707">
        <f t="shared" si="11"/>
        <v>111</v>
      </c>
      <c r="R38" s="708" t="s">
        <v>14</v>
      </c>
      <c r="S38" s="709">
        <f t="shared" si="12"/>
        <v>100</v>
      </c>
      <c r="T38" s="708" t="s">
        <v>14</v>
      </c>
      <c r="U38" s="709">
        <f t="shared" si="13"/>
        <v>100</v>
      </c>
      <c r="V38" s="708" t="s">
        <v>14</v>
      </c>
      <c r="W38" s="709">
        <f t="shared" si="14"/>
        <v>100</v>
      </c>
      <c r="X38" s="710"/>
      <c r="Y38" s="379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96"/>
      <c r="Q39" s="1352">
        <f t="shared" si="11"/>
        <v>111</v>
      </c>
      <c r="R39" s="705" t="s">
        <v>14</v>
      </c>
      <c r="S39" s="706">
        <f t="shared" si="12"/>
        <v>100</v>
      </c>
      <c r="T39" s="705" t="s">
        <v>14</v>
      </c>
      <c r="U39" s="706">
        <f t="shared" si="13"/>
        <v>100</v>
      </c>
      <c r="V39" s="705" t="s">
        <v>14</v>
      </c>
      <c r="W39" s="706">
        <f t="shared" si="14"/>
        <v>100</v>
      </c>
      <c r="X39" s="1355"/>
      <c r="Y39" s="3796"/>
      <c r="Z39" s="1356">
        <f t="shared" si="15"/>
        <v>111</v>
      </c>
      <c r="AA39" s="1353">
        <f t="shared" si="3"/>
        <v>1</v>
      </c>
      <c r="AB39" s="1353">
        <f t="shared" si="4"/>
        <v>1</v>
      </c>
      <c r="AC39" s="1353">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97"/>
      <c r="Q40" s="1352">
        <f t="shared" si="11"/>
        <v>111</v>
      </c>
      <c r="R40" s="705" t="s">
        <v>14</v>
      </c>
      <c r="S40" s="706">
        <f t="shared" si="12"/>
        <v>100</v>
      </c>
      <c r="T40" s="705" t="s">
        <v>14</v>
      </c>
      <c r="U40" s="706">
        <f t="shared" si="13"/>
        <v>100</v>
      </c>
      <c r="V40" s="705" t="s">
        <v>14</v>
      </c>
      <c r="W40" s="706">
        <f t="shared" si="14"/>
        <v>100</v>
      </c>
      <c r="X40" s="1355"/>
      <c r="Y40" s="379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89" t="str">
        <f>A41</f>
        <v>成交单价（元/平方米）</v>
      </c>
      <c r="Q41" s="3789"/>
      <c r="R41" s="3790">
        <f>E41</f>
        <v>0</v>
      </c>
      <c r="S41" s="3790"/>
      <c r="T41" s="3790">
        <f>G41</f>
        <v>0</v>
      </c>
      <c r="U41" s="3790"/>
      <c r="V41" s="3790">
        <f>I41</f>
        <v>0</v>
      </c>
      <c r="W41" s="3790"/>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89" t="str">
        <f>A42</f>
        <v>比较价值（元/平方米）</v>
      </c>
      <c r="Q42" s="3789"/>
      <c r="R42" s="3790" t="e">
        <f>IF(F1="售价",ROUND(PRODUCT(R41,AA7:AA40),0),ROUND(PRODUCT(R41,AA7:AA40),1))</f>
        <v>#DIV/0!</v>
      </c>
      <c r="S42" s="3790"/>
      <c r="T42" s="3790" t="e">
        <f>IF(F1="售价",ROUND(PRODUCT(T41,AB7:AB40),0),ROUND(PRODUCT(T41,AB7:AB40),1))</f>
        <v>#DIV/0!</v>
      </c>
      <c r="U42" s="3790"/>
      <c r="V42" s="3790" t="e">
        <f>IF(F1="售价",ROUND(PRODUCT(V41,AC7:AC40),0),ROUND(PRODUCT(V41,AC7:AC40),1))</f>
        <v>#DIV/0!</v>
      </c>
      <c r="W42" s="379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86" t="str">
        <f>A43</f>
        <v>估价对象XX用房的比较价值（楼面单价，元/平方米）</v>
      </c>
      <c r="Q43" s="3787"/>
      <c r="R43" s="3788" t="e">
        <f>IF(F1="售价",ROUND(IF(D42="简单平均",AVERAGE(R42:V42),R42*F42+T42*H42+V42*J42),0),ROUND(IF(D42="简单平均",AVERAGE(R42:V42),R42*F42+T42*H42+V42*J42),1))</f>
        <v>#DIV/0!</v>
      </c>
      <c r="S43" s="3788"/>
      <c r="T43" s="3788"/>
      <c r="U43" s="3788"/>
      <c r="V43" s="3788"/>
      <c r="W43" s="378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7"/>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804" t="s">
        <v>1770</v>
      </c>
      <c r="D4" s="3805"/>
      <c r="E4" s="3806" t="s">
        <v>1771</v>
      </c>
      <c r="F4" s="3807"/>
      <c r="G4" s="3804" t="s">
        <v>1772</v>
      </c>
      <c r="H4" s="3805"/>
      <c r="I4" s="3804" t="s">
        <v>1773</v>
      </c>
      <c r="J4" s="3805"/>
      <c r="K4" s="559" t="s">
        <v>1774</v>
      </c>
      <c r="L4" s="2713"/>
      <c r="M4" s="2714"/>
      <c r="N4" s="2714"/>
      <c r="O4" s="2714"/>
      <c r="P4" s="3808" t="s">
        <v>1775</v>
      </c>
      <c r="Q4" s="3809"/>
      <c r="R4" s="3814" t="s">
        <v>1771</v>
      </c>
      <c r="S4" s="3815"/>
      <c r="T4" s="3814" t="s">
        <v>1772</v>
      </c>
      <c r="U4" s="3815"/>
      <c r="V4" s="3820" t="s">
        <v>1773</v>
      </c>
      <c r="W4" s="3820"/>
      <c r="X4" s="1355"/>
      <c r="Y4" s="3814" t="s">
        <v>1775</v>
      </c>
      <c r="Z4" s="3815"/>
      <c r="AA4" s="3801" t="s">
        <v>1771</v>
      </c>
      <c r="AB4" s="3802" t="s">
        <v>1772</v>
      </c>
      <c r="AC4" s="3801" t="s">
        <v>1773</v>
      </c>
    </row>
    <row r="5" spans="1:29" ht="15">
      <c r="A5" s="358"/>
      <c r="B5" s="359"/>
      <c r="C5" s="3823" t="s">
        <v>1673</v>
      </c>
      <c r="D5" s="3824"/>
      <c r="E5" s="3830" t="s">
        <v>1674</v>
      </c>
      <c r="F5" s="3831"/>
      <c r="G5" s="3823" t="s">
        <v>1675</v>
      </c>
      <c r="H5" s="3824"/>
      <c r="I5" s="3823" t="s">
        <v>1676</v>
      </c>
      <c r="J5" s="3824"/>
      <c r="K5" s="559"/>
      <c r="L5" s="2713"/>
      <c r="M5" s="2714"/>
      <c r="N5" s="2714"/>
      <c r="O5" s="2714"/>
      <c r="P5" s="3810"/>
      <c r="Q5" s="3811"/>
      <c r="R5" s="3816"/>
      <c r="S5" s="3817"/>
      <c r="T5" s="3816"/>
      <c r="U5" s="3817"/>
      <c r="V5" s="3820"/>
      <c r="W5" s="3820"/>
      <c r="X5" s="1355"/>
      <c r="Y5" s="3816"/>
      <c r="Z5" s="3817"/>
      <c r="AA5" s="3802"/>
      <c r="AB5" s="3802"/>
      <c r="AC5" s="3802"/>
    </row>
    <row r="6" spans="1:29" ht="15.75" thickBot="1">
      <c r="A6" s="360"/>
      <c r="B6" s="361"/>
      <c r="C6" s="3821" t="s">
        <v>1677</v>
      </c>
      <c r="D6" s="3822"/>
      <c r="E6" s="3828" t="s">
        <v>1677</v>
      </c>
      <c r="F6" s="3829"/>
      <c r="G6" s="3821" t="s">
        <v>1677</v>
      </c>
      <c r="H6" s="3822"/>
      <c r="I6" s="3821" t="s">
        <v>1677</v>
      </c>
      <c r="J6" s="3822"/>
      <c r="K6" s="559" t="s">
        <v>1678</v>
      </c>
      <c r="L6" s="2713"/>
      <c r="M6" s="2714"/>
      <c r="N6" s="2714"/>
      <c r="O6" s="2714"/>
      <c r="P6" s="3812"/>
      <c r="Q6" s="3813"/>
      <c r="R6" s="3816"/>
      <c r="S6" s="3817"/>
      <c r="T6" s="3818"/>
      <c r="U6" s="3819"/>
      <c r="V6" s="3820"/>
      <c r="W6" s="3820"/>
      <c r="X6" s="1355"/>
      <c r="Y6" s="3818"/>
      <c r="Z6" s="3819"/>
      <c r="AA6" s="3803"/>
      <c r="AB6" s="3803"/>
      <c r="AC6" s="3803"/>
    </row>
    <row r="7" spans="1:29" s="108" customFormat="1" ht="15.75" thickBot="1">
      <c r="A7" s="362" t="s">
        <v>1679</v>
      </c>
      <c r="B7" s="363"/>
      <c r="C7" s="364">
        <f>'数据-取费表'!B2</f>
        <v>45040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25" t="s">
        <v>1680</v>
      </c>
      <c r="Q7" s="3827"/>
      <c r="R7" s="701" t="s">
        <v>14</v>
      </c>
      <c r="S7" s="702">
        <f t="shared" ref="S7:S14" si="0">F7</f>
        <v>0</v>
      </c>
      <c r="T7" s="701" t="s">
        <v>14</v>
      </c>
      <c r="U7" s="702">
        <f t="shared" ref="U7:U14" si="1">H7</f>
        <v>0</v>
      </c>
      <c r="V7" s="701" t="s">
        <v>14</v>
      </c>
      <c r="W7" s="702">
        <f t="shared" ref="W7:W14" si="2">J7</f>
        <v>0</v>
      </c>
      <c r="X7" s="703"/>
      <c r="Y7" s="3825" t="s">
        <v>1680</v>
      </c>
      <c r="Z7" s="382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25" t="s">
        <v>1683</v>
      </c>
      <c r="Q8" s="3826"/>
      <c r="R8" s="701" t="s">
        <v>14</v>
      </c>
      <c r="S8" s="702">
        <f t="shared" si="0"/>
        <v>100</v>
      </c>
      <c r="T8" s="701" t="s">
        <v>14</v>
      </c>
      <c r="U8" s="702">
        <f t="shared" si="1"/>
        <v>100</v>
      </c>
      <c r="V8" s="701" t="s">
        <v>14</v>
      </c>
      <c r="W8" s="702">
        <f t="shared" si="2"/>
        <v>100</v>
      </c>
      <c r="X8" s="703"/>
      <c r="Y8" s="3825" t="s">
        <v>1683</v>
      </c>
      <c r="Z8" s="382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89" t="s">
        <v>1686</v>
      </c>
      <c r="Q9" s="1343" t="str">
        <f t="shared" ref="Q9:Q14" si="6">B9</f>
        <v>用途</v>
      </c>
      <c r="R9" s="701" t="s">
        <v>14</v>
      </c>
      <c r="S9" s="702">
        <f t="shared" si="0"/>
        <v>100</v>
      </c>
      <c r="T9" s="701" t="s">
        <v>14</v>
      </c>
      <c r="U9" s="702">
        <f t="shared" si="1"/>
        <v>100</v>
      </c>
      <c r="V9" s="701" t="s">
        <v>14</v>
      </c>
      <c r="W9" s="702">
        <f t="shared" si="2"/>
        <v>100</v>
      </c>
      <c r="X9" s="703"/>
      <c r="Y9" s="3645"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89"/>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89"/>
      <c r="Q11" s="1343">
        <f t="shared" si="6"/>
        <v>111</v>
      </c>
      <c r="R11" s="701" t="s">
        <v>14</v>
      </c>
      <c r="S11" s="702">
        <f t="shared" si="0"/>
        <v>100</v>
      </c>
      <c r="T11" s="701" t="s">
        <v>14</v>
      </c>
      <c r="U11" s="702">
        <f t="shared" si="1"/>
        <v>100</v>
      </c>
      <c r="V11" s="701" t="s">
        <v>14</v>
      </c>
      <c r="W11" s="702">
        <f t="shared" si="2"/>
        <v>100</v>
      </c>
      <c r="X11" s="703"/>
      <c r="Y11" s="36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89"/>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89"/>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91" t="s">
        <v>1691</v>
      </c>
      <c r="Q14" s="1352" t="str">
        <f t="shared" si="6"/>
        <v>交通便捷度</v>
      </c>
      <c r="R14" s="705" t="s">
        <v>14</v>
      </c>
      <c r="S14" s="706">
        <f t="shared" si="0"/>
        <v>100</v>
      </c>
      <c r="T14" s="705" t="s">
        <v>14</v>
      </c>
      <c r="U14" s="706">
        <f t="shared" si="1"/>
        <v>100</v>
      </c>
      <c r="V14" s="705" t="s">
        <v>14</v>
      </c>
      <c r="W14" s="706">
        <f t="shared" si="2"/>
        <v>100</v>
      </c>
      <c r="X14" s="1355"/>
      <c r="Y14" s="379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92"/>
      <c r="Q15" s="1352"/>
      <c r="R15" s="705"/>
      <c r="S15" s="706"/>
      <c r="T15" s="705"/>
      <c r="U15" s="706"/>
      <c r="V15" s="705"/>
      <c r="W15" s="706"/>
      <c r="X15" s="1355"/>
      <c r="Y15" s="3792"/>
      <c r="Z15" s="1356"/>
      <c r="AA15" s="1353">
        <v>1</v>
      </c>
      <c r="AB15" s="1353">
        <v>1</v>
      </c>
      <c r="AC15" s="1353">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92"/>
      <c r="Q16" s="1352" t="str">
        <f>B16</f>
        <v>公共配套设施</v>
      </c>
      <c r="R16" s="705" t="s">
        <v>14</v>
      </c>
      <c r="S16" s="706">
        <f>F16</f>
        <v>100</v>
      </c>
      <c r="T16" s="705" t="s">
        <v>14</v>
      </c>
      <c r="U16" s="706">
        <f>H16</f>
        <v>100</v>
      </c>
      <c r="V16" s="705" t="s">
        <v>14</v>
      </c>
      <c r="W16" s="706">
        <f>J16</f>
        <v>100</v>
      </c>
      <c r="X16" s="1355"/>
      <c r="Y16" s="3792"/>
      <c r="Z16" s="1356" t="str">
        <f>Q16</f>
        <v>公共配套设施</v>
      </c>
      <c r="AA16" s="1353">
        <f t="shared" si="3"/>
        <v>1</v>
      </c>
      <c r="AB16" s="1353">
        <f t="shared" si="4"/>
        <v>1</v>
      </c>
      <c r="AC16" s="1353">
        <f t="shared" si="5"/>
        <v>1</v>
      </c>
    </row>
    <row r="17" spans="1:29" ht="15">
      <c r="A17" s="358"/>
      <c r="B17" s="580"/>
      <c r="C17" s="1899"/>
      <c r="D17" s="399"/>
      <c r="E17" s="398"/>
      <c r="F17" s="400"/>
      <c r="G17" s="398"/>
      <c r="H17" s="399"/>
      <c r="I17" s="398"/>
      <c r="J17" s="399"/>
      <c r="K17" s="564"/>
      <c r="L17" s="2720"/>
      <c r="M17" s="2714"/>
      <c r="N17" s="2714"/>
      <c r="O17" s="2714"/>
      <c r="P17" s="3792"/>
      <c r="Q17" s="1352"/>
      <c r="R17" s="705"/>
      <c r="S17" s="706"/>
      <c r="T17" s="705"/>
      <c r="U17" s="706"/>
      <c r="V17" s="705"/>
      <c r="W17" s="706"/>
      <c r="X17" s="1355"/>
      <c r="Y17" s="3792"/>
      <c r="Z17" s="1356"/>
      <c r="AA17" s="1353">
        <v>1</v>
      </c>
      <c r="AB17" s="1353">
        <v>1</v>
      </c>
      <c r="AC17" s="1353">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92"/>
      <c r="Q18" s="1352" t="str">
        <f>B18</f>
        <v>基础设施水平</v>
      </c>
      <c r="R18" s="705" t="s">
        <v>14</v>
      </c>
      <c r="S18" s="706">
        <f>F18</f>
        <v>100</v>
      </c>
      <c r="T18" s="705" t="s">
        <v>14</v>
      </c>
      <c r="U18" s="706">
        <f>H18</f>
        <v>100</v>
      </c>
      <c r="V18" s="705" t="s">
        <v>14</v>
      </c>
      <c r="W18" s="706">
        <f>J18</f>
        <v>100</v>
      </c>
      <c r="X18" s="1355"/>
      <c r="Y18" s="3792"/>
      <c r="Z18" s="1356" t="str">
        <f>Q18</f>
        <v>基础设施水平</v>
      </c>
      <c r="AA18" s="1353">
        <f t="shared" ref="AA18" si="8">D18/F18</f>
        <v>1</v>
      </c>
      <c r="AB18" s="1353">
        <f t="shared" ref="AB18" si="9">D18/H18</f>
        <v>1</v>
      </c>
      <c r="AC18" s="1353">
        <f t="shared" ref="AC18" si="10">D18/J18</f>
        <v>1</v>
      </c>
    </row>
    <row r="19" spans="1:29" ht="15">
      <c r="A19" s="358"/>
      <c r="B19" s="581"/>
      <c r="C19" s="1899"/>
      <c r="D19" s="401"/>
      <c r="E19" s="1899"/>
      <c r="F19" s="404"/>
      <c r="G19" s="1899"/>
      <c r="H19" s="399"/>
      <c r="I19" s="398"/>
      <c r="J19" s="399"/>
      <c r="K19" s="1130"/>
      <c r="L19" s="2720"/>
      <c r="M19" s="2714"/>
      <c r="N19" s="2714"/>
      <c r="O19" s="2714"/>
      <c r="P19" s="3792"/>
      <c r="Q19" s="1352"/>
      <c r="R19" s="705"/>
      <c r="S19" s="706"/>
      <c r="T19" s="705"/>
      <c r="U19" s="706"/>
      <c r="V19" s="705"/>
      <c r="W19" s="706"/>
      <c r="X19" s="1355"/>
      <c r="Y19" s="3792"/>
      <c r="Z19" s="1356"/>
      <c r="AA19" s="1353">
        <v>1</v>
      </c>
      <c r="AB19" s="1353">
        <v>1</v>
      </c>
      <c r="AC19" s="1353">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92"/>
      <c r="Q20" s="1352" t="str">
        <f>B20</f>
        <v>自然及人文环境</v>
      </c>
      <c r="R20" s="705" t="s">
        <v>14</v>
      </c>
      <c r="S20" s="706">
        <f>F20</f>
        <v>100</v>
      </c>
      <c r="T20" s="705" t="s">
        <v>14</v>
      </c>
      <c r="U20" s="706">
        <f>H20</f>
        <v>100</v>
      </c>
      <c r="V20" s="705" t="s">
        <v>14</v>
      </c>
      <c r="W20" s="706">
        <f>J20</f>
        <v>100</v>
      </c>
      <c r="X20" s="1355"/>
      <c r="Y20" s="379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92"/>
      <c r="Q21" s="1352"/>
      <c r="R21" s="705"/>
      <c r="S21" s="706"/>
      <c r="T21" s="705"/>
      <c r="U21" s="706"/>
      <c r="V21" s="705"/>
      <c r="W21" s="706"/>
      <c r="X21" s="1355"/>
      <c r="Y21" s="379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92"/>
      <c r="Q22" s="1352" t="str">
        <f>B22</f>
        <v>楼层</v>
      </c>
      <c r="R22" s="705" t="s">
        <v>14</v>
      </c>
      <c r="S22" s="706">
        <f>F22</f>
        <v>100</v>
      </c>
      <c r="T22" s="705" t="s">
        <v>14</v>
      </c>
      <c r="U22" s="706">
        <f>H22</f>
        <v>100</v>
      </c>
      <c r="V22" s="705" t="s">
        <v>14</v>
      </c>
      <c r="W22" s="706">
        <f>J22</f>
        <v>100</v>
      </c>
      <c r="X22" s="1355"/>
      <c r="Y22" s="379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92"/>
      <c r="Q23" s="1352">
        <f>B23</f>
        <v>111</v>
      </c>
      <c r="R23" s="705" t="s">
        <v>14</v>
      </c>
      <c r="S23" s="706">
        <f>F23</f>
        <v>100</v>
      </c>
      <c r="T23" s="705" t="s">
        <v>14</v>
      </c>
      <c r="U23" s="706">
        <f>H23</f>
        <v>100</v>
      </c>
      <c r="V23" s="705" t="s">
        <v>14</v>
      </c>
      <c r="W23" s="706">
        <f>J23</f>
        <v>100</v>
      </c>
      <c r="X23" s="1355"/>
      <c r="Y23" s="379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92"/>
      <c r="Q24" s="1352">
        <f t="shared" ref="Q24:Q36" si="11">B24</f>
        <v>111</v>
      </c>
      <c r="R24" s="705" t="s">
        <v>14</v>
      </c>
      <c r="S24" s="706">
        <f>F24</f>
        <v>100</v>
      </c>
      <c r="T24" s="705" t="s">
        <v>14</v>
      </c>
      <c r="U24" s="706">
        <f>H24</f>
        <v>100</v>
      </c>
      <c r="V24" s="705" t="s">
        <v>14</v>
      </c>
      <c r="W24" s="706">
        <f>J24</f>
        <v>100</v>
      </c>
      <c r="X24" s="1355"/>
      <c r="Y24" s="379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92"/>
      <c r="Q25" s="1343">
        <f t="shared" si="11"/>
        <v>111</v>
      </c>
      <c r="R25" s="701" t="s">
        <v>14</v>
      </c>
      <c r="S25" s="702">
        <f>F25</f>
        <v>100</v>
      </c>
      <c r="T25" s="701" t="s">
        <v>14</v>
      </c>
      <c r="U25" s="702">
        <f>H25</f>
        <v>100</v>
      </c>
      <c r="V25" s="701" t="s">
        <v>14</v>
      </c>
      <c r="W25" s="702">
        <f>J25</f>
        <v>100</v>
      </c>
      <c r="X25" s="703"/>
      <c r="Y25" s="3792"/>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4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9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96"/>
      <c r="Q27" s="707" t="str">
        <f t="shared" si="11"/>
        <v>项目停车位配比</v>
      </c>
      <c r="R27" s="708" t="s">
        <v>14</v>
      </c>
      <c r="S27" s="709">
        <f t="shared" si="12"/>
        <v>100</v>
      </c>
      <c r="T27" s="708" t="s">
        <v>14</v>
      </c>
      <c r="U27" s="709">
        <f t="shared" si="13"/>
        <v>100</v>
      </c>
      <c r="V27" s="708" t="s">
        <v>14</v>
      </c>
      <c r="W27" s="709">
        <f t="shared" si="14"/>
        <v>100</v>
      </c>
      <c r="X27" s="710"/>
      <c r="Y27" s="379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96"/>
      <c r="Q28" s="1352" t="str">
        <f t="shared" si="11"/>
        <v>公共部分装修</v>
      </c>
      <c r="R28" s="705" t="s">
        <v>14</v>
      </c>
      <c r="S28" s="706">
        <f t="shared" si="12"/>
        <v>100</v>
      </c>
      <c r="T28" s="705" t="s">
        <v>14</v>
      </c>
      <c r="U28" s="706">
        <f t="shared" si="13"/>
        <v>100</v>
      </c>
      <c r="V28" s="705" t="s">
        <v>14</v>
      </c>
      <c r="W28" s="706">
        <f t="shared" si="14"/>
        <v>100</v>
      </c>
      <c r="X28" s="1355"/>
      <c r="Y28" s="379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96"/>
      <c r="Q29" s="1352" t="str">
        <f t="shared" si="11"/>
        <v>成新率</v>
      </c>
      <c r="R29" s="705" t="s">
        <v>14</v>
      </c>
      <c r="S29" s="706" t="e">
        <f t="shared" si="12"/>
        <v>#N/A</v>
      </c>
      <c r="T29" s="705" t="s">
        <v>14</v>
      </c>
      <c r="U29" s="706" t="e">
        <f t="shared" si="13"/>
        <v>#N/A</v>
      </c>
      <c r="V29" s="705" t="s">
        <v>14</v>
      </c>
      <c r="W29" s="706" t="e">
        <f t="shared" si="14"/>
        <v>#N/A</v>
      </c>
      <c r="X29" s="1355"/>
      <c r="Y29" s="379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96"/>
      <c r="Q30" s="1352" t="str">
        <f t="shared" si="11"/>
        <v>物业等级</v>
      </c>
      <c r="R30" s="705" t="s">
        <v>14</v>
      </c>
      <c r="S30" s="706">
        <f t="shared" si="12"/>
        <v>100</v>
      </c>
      <c r="T30" s="705" t="s">
        <v>14</v>
      </c>
      <c r="U30" s="706">
        <f t="shared" si="13"/>
        <v>100</v>
      </c>
      <c r="V30" s="705" t="s">
        <v>14</v>
      </c>
      <c r="W30" s="706">
        <f t="shared" si="14"/>
        <v>100</v>
      </c>
      <c r="X30" s="1355"/>
      <c r="Y30" s="379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96"/>
      <c r="Q31" s="1343" t="str">
        <f t="shared" si="11"/>
        <v>停车位面积</v>
      </c>
      <c r="R31" s="701" t="s">
        <v>14</v>
      </c>
      <c r="S31" s="702" t="e">
        <f t="shared" si="12"/>
        <v>#N/A</v>
      </c>
      <c r="T31" s="701" t="s">
        <v>14</v>
      </c>
      <c r="U31" s="702" t="e">
        <f t="shared" si="13"/>
        <v>#N/A</v>
      </c>
      <c r="V31" s="701" t="s">
        <v>14</v>
      </c>
      <c r="W31" s="702" t="e">
        <f t="shared" si="14"/>
        <v>#N/A</v>
      </c>
      <c r="X31" s="703"/>
      <c r="Y31" s="379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96" t="s">
        <v>1696</v>
      </c>
      <c r="Q32" s="1352" t="str">
        <f t="shared" si="11"/>
        <v>车位类型</v>
      </c>
      <c r="R32" s="705" t="s">
        <v>14</v>
      </c>
      <c r="S32" s="706">
        <f t="shared" si="12"/>
        <v>100</v>
      </c>
      <c r="T32" s="705" t="s">
        <v>14</v>
      </c>
      <c r="U32" s="706">
        <f t="shared" si="13"/>
        <v>100</v>
      </c>
      <c r="V32" s="705" t="s">
        <v>14</v>
      </c>
      <c r="W32" s="706">
        <f t="shared" si="14"/>
        <v>100</v>
      </c>
      <c r="X32" s="1355"/>
      <c r="Y32" s="379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96"/>
      <c r="Q33" s="1352" t="str">
        <f t="shared" si="11"/>
        <v>是否直接入户</v>
      </c>
      <c r="R33" s="705" t="s">
        <v>14</v>
      </c>
      <c r="S33" s="706">
        <f t="shared" si="12"/>
        <v>100</v>
      </c>
      <c r="T33" s="705" t="s">
        <v>14</v>
      </c>
      <c r="U33" s="706">
        <f t="shared" si="13"/>
        <v>100</v>
      </c>
      <c r="V33" s="705" t="s">
        <v>14</v>
      </c>
      <c r="W33" s="706">
        <f t="shared" si="14"/>
        <v>100</v>
      </c>
      <c r="X33" s="1355"/>
      <c r="Y33" s="379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96"/>
      <c r="Q34" s="1352">
        <f t="shared" si="11"/>
        <v>111</v>
      </c>
      <c r="R34" s="705" t="s">
        <v>14</v>
      </c>
      <c r="S34" s="706">
        <f t="shared" si="12"/>
        <v>100</v>
      </c>
      <c r="T34" s="705" t="s">
        <v>14</v>
      </c>
      <c r="U34" s="706">
        <f t="shared" si="13"/>
        <v>100</v>
      </c>
      <c r="V34" s="705" t="s">
        <v>14</v>
      </c>
      <c r="W34" s="706">
        <f t="shared" si="14"/>
        <v>100</v>
      </c>
      <c r="X34" s="1355"/>
      <c r="Y34" s="379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96"/>
      <c r="Q35" s="707">
        <f t="shared" si="11"/>
        <v>111</v>
      </c>
      <c r="R35" s="708" t="s">
        <v>14</v>
      </c>
      <c r="S35" s="709">
        <f t="shared" si="12"/>
        <v>100</v>
      </c>
      <c r="T35" s="708" t="s">
        <v>14</v>
      </c>
      <c r="U35" s="709">
        <f t="shared" si="13"/>
        <v>100</v>
      </c>
      <c r="V35" s="708" t="s">
        <v>14</v>
      </c>
      <c r="W35" s="709">
        <f t="shared" si="14"/>
        <v>100</v>
      </c>
      <c r="X35" s="710"/>
      <c r="Y35" s="379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96"/>
      <c r="Q36" s="1352">
        <f t="shared" si="11"/>
        <v>111</v>
      </c>
      <c r="R36" s="705" t="s">
        <v>14</v>
      </c>
      <c r="S36" s="706">
        <f t="shared" si="12"/>
        <v>100</v>
      </c>
      <c r="T36" s="705" t="s">
        <v>14</v>
      </c>
      <c r="U36" s="706">
        <f t="shared" si="13"/>
        <v>100</v>
      </c>
      <c r="V36" s="705" t="s">
        <v>14</v>
      </c>
      <c r="W36" s="706">
        <f t="shared" si="14"/>
        <v>100</v>
      </c>
      <c r="X36" s="1355"/>
      <c r="Y36" s="3796"/>
      <c r="Z36" s="1356">
        <f t="shared" si="15"/>
        <v>111</v>
      </c>
      <c r="AA36" s="1353">
        <f t="shared" si="3"/>
        <v>1</v>
      </c>
      <c r="AB36" s="1353">
        <f t="shared" si="4"/>
        <v>1</v>
      </c>
      <c r="AC36" s="1353">
        <f t="shared" si="5"/>
        <v>1</v>
      </c>
    </row>
    <row r="37" spans="1:29" ht="15">
      <c r="A37" s="430" t="s">
        <v>1844</v>
      </c>
      <c r="B37" s="1971" t="s">
        <v>3358</v>
      </c>
      <c r="C37" s="1154" t="s">
        <v>0</v>
      </c>
      <c r="D37" s="1155"/>
      <c r="E37" s="1156"/>
      <c r="F37" s="1157"/>
      <c r="G37" s="1158"/>
      <c r="H37" s="1159"/>
      <c r="I37" s="1156"/>
      <c r="J37" s="1159"/>
      <c r="K37" s="568"/>
      <c r="L37" s="2722"/>
      <c r="M37" s="2723"/>
      <c r="N37" s="2714"/>
      <c r="O37" s="2723"/>
      <c r="P37" s="3789" t="str">
        <f>A37</f>
        <v>成交单价</v>
      </c>
      <c r="Q37" s="3789"/>
      <c r="R37" s="3790">
        <f>E37</f>
        <v>0</v>
      </c>
      <c r="S37" s="3790"/>
      <c r="T37" s="3790">
        <f>G37</f>
        <v>0</v>
      </c>
      <c r="U37" s="3790"/>
      <c r="V37" s="3790">
        <f>I37</f>
        <v>0</v>
      </c>
      <c r="W37" s="3790"/>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789" t="str">
        <f>A38</f>
        <v>比较价值（元/平方米）</v>
      </c>
      <c r="Q38" s="3789"/>
      <c r="R38" s="3790" t="e">
        <f>IF(F1="售价",ROUND(PRODUCT(R37,AA7:AA36),0),ROUND(PRODUCT(R37,AA7:AA36),1))</f>
        <v>#DIV/0!</v>
      </c>
      <c r="S38" s="3790"/>
      <c r="T38" s="3790" t="e">
        <f>IF(F1="售价",ROUND(PRODUCT(T37,AB7:AB36),0),ROUND(PRODUCT(T37,AB7:AB36),1))</f>
        <v>#DIV/0!</v>
      </c>
      <c r="U38" s="3790"/>
      <c r="V38" s="3790" t="e">
        <f>IF(F1="售价",ROUND(PRODUCT(V37,AC7:AC36),0),ROUND(PRODUCT(V37,AC7:AC36),1))</f>
        <v>#DIV/0!</v>
      </c>
      <c r="W38" s="379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86" t="str">
        <f>A39</f>
        <v>估价对象XX用房的比较价值（楼面单价，元/平方米）</v>
      </c>
      <c r="Q39" s="3787"/>
      <c r="R39" s="3848" t="e">
        <f>IF(F1="售价",ROUND(IF(D38="简单平均",AVERAGE(R38:W38),R38*F38+T38*H38+V38*J38),0),ROUND(IF(D38="简单平均",AVERAGE(R38:V38),R38*F38+T38*H38+V38*J38),1))</f>
        <v>#DIV/0!</v>
      </c>
      <c r="S39" s="3848"/>
      <c r="T39" s="3848"/>
      <c r="U39" s="3848"/>
      <c r="V39" s="3848"/>
      <c r="W39" s="3848"/>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7"/>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804" t="s">
        <v>1770</v>
      </c>
      <c r="D4" s="3805"/>
      <c r="E4" s="3806" t="s">
        <v>1771</v>
      </c>
      <c r="F4" s="3807"/>
      <c r="G4" s="3804" t="s">
        <v>1772</v>
      </c>
      <c r="H4" s="3805"/>
      <c r="I4" s="3804" t="s">
        <v>1773</v>
      </c>
      <c r="J4" s="3805"/>
      <c r="K4" s="559" t="s">
        <v>1774</v>
      </c>
      <c r="L4" s="2713"/>
      <c r="M4" s="2714"/>
      <c r="N4" s="2714"/>
      <c r="O4" s="2714"/>
      <c r="P4" s="3808" t="s">
        <v>1775</v>
      </c>
      <c r="Q4" s="3809"/>
      <c r="R4" s="3814" t="s">
        <v>1771</v>
      </c>
      <c r="S4" s="3815"/>
      <c r="T4" s="3814" t="s">
        <v>1772</v>
      </c>
      <c r="U4" s="3815"/>
      <c r="V4" s="3820" t="s">
        <v>1773</v>
      </c>
      <c r="W4" s="3820"/>
      <c r="X4" s="1355"/>
      <c r="Y4" s="3814" t="s">
        <v>1775</v>
      </c>
      <c r="Z4" s="3815"/>
      <c r="AA4" s="3801" t="s">
        <v>1771</v>
      </c>
      <c r="AB4" s="3802" t="s">
        <v>1772</v>
      </c>
      <c r="AC4" s="3801" t="s">
        <v>1773</v>
      </c>
    </row>
    <row r="5" spans="1:29" ht="15">
      <c r="A5" s="358"/>
      <c r="B5" s="359"/>
      <c r="C5" s="3823" t="s">
        <v>1673</v>
      </c>
      <c r="D5" s="3824"/>
      <c r="E5" s="3830" t="s">
        <v>1674</v>
      </c>
      <c r="F5" s="3831"/>
      <c r="G5" s="3823" t="s">
        <v>1675</v>
      </c>
      <c r="H5" s="3824"/>
      <c r="I5" s="3823" t="s">
        <v>1676</v>
      </c>
      <c r="J5" s="3824"/>
      <c r="K5" s="559"/>
      <c r="L5" s="2713"/>
      <c r="M5" s="2714"/>
      <c r="N5" s="2714"/>
      <c r="O5" s="2714"/>
      <c r="P5" s="3810"/>
      <c r="Q5" s="3811"/>
      <c r="R5" s="3816"/>
      <c r="S5" s="3817"/>
      <c r="T5" s="3816"/>
      <c r="U5" s="3817"/>
      <c r="V5" s="3820"/>
      <c r="W5" s="3820"/>
      <c r="X5" s="1355"/>
      <c r="Y5" s="3816"/>
      <c r="Z5" s="3817"/>
      <c r="AA5" s="3802"/>
      <c r="AB5" s="3802"/>
      <c r="AC5" s="3802"/>
    </row>
    <row r="6" spans="1:29" ht="15.75" thickBot="1">
      <c r="A6" s="360"/>
      <c r="B6" s="361"/>
      <c r="C6" s="3821" t="s">
        <v>1677</v>
      </c>
      <c r="D6" s="3822"/>
      <c r="E6" s="3828" t="s">
        <v>1677</v>
      </c>
      <c r="F6" s="3829"/>
      <c r="G6" s="3821" t="s">
        <v>1677</v>
      </c>
      <c r="H6" s="3822"/>
      <c r="I6" s="3821" t="s">
        <v>1677</v>
      </c>
      <c r="J6" s="3822"/>
      <c r="K6" s="559" t="s">
        <v>1678</v>
      </c>
      <c r="L6" s="2713"/>
      <c r="M6" s="2714"/>
      <c r="N6" s="2714"/>
      <c r="O6" s="2714"/>
      <c r="P6" s="3812"/>
      <c r="Q6" s="3813"/>
      <c r="R6" s="3816"/>
      <c r="S6" s="3817"/>
      <c r="T6" s="3818"/>
      <c r="U6" s="3819"/>
      <c r="V6" s="3820"/>
      <c r="W6" s="3820"/>
      <c r="X6" s="1355"/>
      <c r="Y6" s="3818"/>
      <c r="Z6" s="3819"/>
      <c r="AA6" s="3803"/>
      <c r="AB6" s="3803"/>
      <c r="AC6" s="3803"/>
    </row>
    <row r="7" spans="1:29" s="108" customFormat="1" ht="15.75" thickBot="1">
      <c r="A7" s="362" t="s">
        <v>1679</v>
      </c>
      <c r="B7" s="363"/>
      <c r="C7" s="364">
        <f>'数据-取费表'!B2</f>
        <v>45040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825" t="s">
        <v>1680</v>
      </c>
      <c r="Q7" s="3827"/>
      <c r="R7" s="701" t="s">
        <v>14</v>
      </c>
      <c r="S7" s="702">
        <f t="shared" ref="S7:S14" si="0">F7</f>
        <v>0</v>
      </c>
      <c r="T7" s="701" t="s">
        <v>14</v>
      </c>
      <c r="U7" s="702">
        <f t="shared" ref="U7:U14" si="1">H7</f>
        <v>0</v>
      </c>
      <c r="V7" s="701" t="s">
        <v>14</v>
      </c>
      <c r="W7" s="702">
        <f t="shared" ref="W7:W14" si="2">J7</f>
        <v>0</v>
      </c>
      <c r="X7" s="703"/>
      <c r="Y7" s="3825" t="s">
        <v>1680</v>
      </c>
      <c r="Z7" s="382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25" t="s">
        <v>1683</v>
      </c>
      <c r="Q8" s="3826"/>
      <c r="R8" s="701" t="s">
        <v>14</v>
      </c>
      <c r="S8" s="702">
        <f t="shared" si="0"/>
        <v>100</v>
      </c>
      <c r="T8" s="701" t="s">
        <v>14</v>
      </c>
      <c r="U8" s="702">
        <f t="shared" si="1"/>
        <v>100</v>
      </c>
      <c r="V8" s="701" t="s">
        <v>14</v>
      </c>
      <c r="W8" s="702">
        <f t="shared" si="2"/>
        <v>100</v>
      </c>
      <c r="X8" s="703"/>
      <c r="Y8" s="3825" t="s">
        <v>1683</v>
      </c>
      <c r="Z8" s="382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89" t="s">
        <v>1686</v>
      </c>
      <c r="Q9" s="1343" t="str">
        <f t="shared" ref="Q9:Q14" si="6">B9</f>
        <v>用途</v>
      </c>
      <c r="R9" s="701" t="s">
        <v>14</v>
      </c>
      <c r="S9" s="702">
        <f t="shared" si="0"/>
        <v>100</v>
      </c>
      <c r="T9" s="701" t="s">
        <v>14</v>
      </c>
      <c r="U9" s="702">
        <f t="shared" si="1"/>
        <v>100</v>
      </c>
      <c r="V9" s="701" t="s">
        <v>14</v>
      </c>
      <c r="W9" s="702">
        <f t="shared" si="2"/>
        <v>100</v>
      </c>
      <c r="X9" s="703"/>
      <c r="Y9" s="3645"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89"/>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89"/>
      <c r="Q11" s="1343">
        <f t="shared" si="6"/>
        <v>111</v>
      </c>
      <c r="R11" s="701" t="s">
        <v>14</v>
      </c>
      <c r="S11" s="702">
        <f t="shared" si="0"/>
        <v>100</v>
      </c>
      <c r="T11" s="701" t="s">
        <v>14</v>
      </c>
      <c r="U11" s="702">
        <f t="shared" si="1"/>
        <v>100</v>
      </c>
      <c r="V11" s="701" t="s">
        <v>14</v>
      </c>
      <c r="W11" s="702">
        <f t="shared" si="2"/>
        <v>100</v>
      </c>
      <c r="X11" s="703"/>
      <c r="Y11" s="3645"/>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89"/>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89"/>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91" t="s">
        <v>1691</v>
      </c>
      <c r="Q14" s="1352" t="str">
        <f t="shared" si="6"/>
        <v>交通便捷度</v>
      </c>
      <c r="R14" s="705" t="s">
        <v>14</v>
      </c>
      <c r="S14" s="706">
        <f t="shared" si="0"/>
        <v>100</v>
      </c>
      <c r="T14" s="705" t="s">
        <v>14</v>
      </c>
      <c r="U14" s="706">
        <f t="shared" si="1"/>
        <v>100</v>
      </c>
      <c r="V14" s="705" t="s">
        <v>14</v>
      </c>
      <c r="W14" s="706">
        <f t="shared" si="2"/>
        <v>100</v>
      </c>
      <c r="X14" s="1355"/>
      <c r="Y14" s="379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92"/>
      <c r="Q15" s="1352"/>
      <c r="R15" s="705"/>
      <c r="S15" s="706"/>
      <c r="T15" s="705"/>
      <c r="U15" s="706"/>
      <c r="V15" s="705"/>
      <c r="W15" s="706"/>
      <c r="X15" s="1355"/>
      <c r="Y15" s="3792"/>
      <c r="Z15" s="1356"/>
      <c r="AA15" s="1353">
        <v>1</v>
      </c>
      <c r="AB15" s="1353">
        <v>1</v>
      </c>
      <c r="AC15" s="1353">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92"/>
      <c r="Q16" s="1352" t="str">
        <f>B16</f>
        <v>公共配套设施</v>
      </c>
      <c r="R16" s="705" t="s">
        <v>14</v>
      </c>
      <c r="S16" s="706">
        <f>F16</f>
        <v>100</v>
      </c>
      <c r="T16" s="705" t="s">
        <v>14</v>
      </c>
      <c r="U16" s="706">
        <f>H16</f>
        <v>100</v>
      </c>
      <c r="V16" s="705" t="s">
        <v>14</v>
      </c>
      <c r="W16" s="706">
        <f>J16</f>
        <v>100</v>
      </c>
      <c r="X16" s="1355"/>
      <c r="Y16" s="3792"/>
      <c r="Z16" s="1356" t="str">
        <f>Q16</f>
        <v>公共配套设施</v>
      </c>
      <c r="AA16" s="1353">
        <f t="shared" si="3"/>
        <v>1</v>
      </c>
      <c r="AB16" s="1353">
        <f t="shared" si="4"/>
        <v>1</v>
      </c>
      <c r="AC16" s="1353">
        <f t="shared" si="5"/>
        <v>1</v>
      </c>
    </row>
    <row r="17" spans="1:29" ht="15">
      <c r="A17" s="379"/>
      <c r="B17" s="407"/>
      <c r="C17" s="1899"/>
      <c r="D17" s="399"/>
      <c r="E17" s="398"/>
      <c r="F17" s="400"/>
      <c r="G17" s="398"/>
      <c r="H17" s="399"/>
      <c r="I17" s="398"/>
      <c r="J17" s="399"/>
      <c r="K17" s="564"/>
      <c r="L17" s="2720"/>
      <c r="M17" s="2714"/>
      <c r="N17" s="2714"/>
      <c r="O17" s="2772"/>
      <c r="P17" s="3792"/>
      <c r="Q17" s="1352"/>
      <c r="R17" s="705"/>
      <c r="S17" s="706"/>
      <c r="T17" s="705"/>
      <c r="U17" s="706"/>
      <c r="V17" s="705"/>
      <c r="W17" s="706"/>
      <c r="X17" s="1355"/>
      <c r="Y17" s="3792"/>
      <c r="Z17" s="1356"/>
      <c r="AA17" s="1353">
        <v>1</v>
      </c>
      <c r="AB17" s="1353">
        <v>1</v>
      </c>
      <c r="AC17" s="1353">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92"/>
      <c r="Q18" s="1352" t="str">
        <f>B18</f>
        <v>基础设施水平</v>
      </c>
      <c r="R18" s="705" t="s">
        <v>14</v>
      </c>
      <c r="S18" s="706">
        <f>F18</f>
        <v>100</v>
      </c>
      <c r="T18" s="705" t="s">
        <v>14</v>
      </c>
      <c r="U18" s="706">
        <f>H18</f>
        <v>100</v>
      </c>
      <c r="V18" s="705" t="s">
        <v>14</v>
      </c>
      <c r="W18" s="706">
        <f>J18</f>
        <v>100</v>
      </c>
      <c r="X18" s="1355"/>
      <c r="Y18" s="3792"/>
      <c r="Z18" s="1356" t="str">
        <f>Q18</f>
        <v>基础设施水平</v>
      </c>
      <c r="AA18" s="1353">
        <f t="shared" ref="AA18" si="8">D18/F18</f>
        <v>1</v>
      </c>
      <c r="AB18" s="1353">
        <f t="shared" ref="AB18" si="9">D18/H18</f>
        <v>1</v>
      </c>
      <c r="AC18" s="1353">
        <f t="shared" ref="AC18" si="10">D18/J18</f>
        <v>1</v>
      </c>
    </row>
    <row r="19" spans="1:29" ht="15">
      <c r="A19" s="379"/>
      <c r="B19" s="1131"/>
      <c r="C19" s="1899"/>
      <c r="D19" s="401"/>
      <c r="E19" s="1899"/>
      <c r="F19" s="404"/>
      <c r="G19" s="1899"/>
      <c r="H19" s="399"/>
      <c r="I19" s="398"/>
      <c r="J19" s="399"/>
      <c r="K19" s="1130"/>
      <c r="L19" s="2720"/>
      <c r="M19" s="2714"/>
      <c r="N19" s="2714"/>
      <c r="O19" s="2772"/>
      <c r="P19" s="3792"/>
      <c r="Q19" s="1352"/>
      <c r="R19" s="705"/>
      <c r="S19" s="706"/>
      <c r="T19" s="705"/>
      <c r="U19" s="706"/>
      <c r="V19" s="705"/>
      <c r="W19" s="706"/>
      <c r="X19" s="1355"/>
      <c r="Y19" s="3792"/>
      <c r="Z19" s="1356"/>
      <c r="AA19" s="1353">
        <v>1</v>
      </c>
      <c r="AB19" s="1353">
        <v>1</v>
      </c>
      <c r="AC19" s="1353">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92"/>
      <c r="Q20" s="1352" t="str">
        <f>B20</f>
        <v>自然及人文环境</v>
      </c>
      <c r="R20" s="705" t="s">
        <v>14</v>
      </c>
      <c r="S20" s="706">
        <f>F20</f>
        <v>100</v>
      </c>
      <c r="T20" s="705" t="s">
        <v>14</v>
      </c>
      <c r="U20" s="706">
        <f>H20</f>
        <v>100</v>
      </c>
      <c r="V20" s="705" t="s">
        <v>14</v>
      </c>
      <c r="W20" s="706">
        <f>J20</f>
        <v>100</v>
      </c>
      <c r="X20" s="1355"/>
      <c r="Y20" s="379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92"/>
      <c r="Q21" s="1352"/>
      <c r="R21" s="705"/>
      <c r="S21" s="706"/>
      <c r="T21" s="705"/>
      <c r="U21" s="706"/>
      <c r="V21" s="705"/>
      <c r="W21" s="706"/>
      <c r="X21" s="1355"/>
      <c r="Y21" s="379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92"/>
      <c r="Q22" s="1352" t="str">
        <f>B22</f>
        <v>楼层</v>
      </c>
      <c r="R22" s="705" t="s">
        <v>14</v>
      </c>
      <c r="S22" s="706">
        <f>F22</f>
        <v>100</v>
      </c>
      <c r="T22" s="705" t="s">
        <v>14</v>
      </c>
      <c r="U22" s="706">
        <f>H22</f>
        <v>100</v>
      </c>
      <c r="V22" s="705" t="s">
        <v>14</v>
      </c>
      <c r="W22" s="706">
        <f>J22</f>
        <v>100</v>
      </c>
      <c r="X22" s="1355"/>
      <c r="Y22" s="3792"/>
      <c r="Z22" s="1356" t="str">
        <f>Q22</f>
        <v>楼层</v>
      </c>
      <c r="AA22" s="1353">
        <f t="shared" si="3"/>
        <v>1</v>
      </c>
      <c r="AB22" s="1353">
        <f t="shared" si="4"/>
        <v>1</v>
      </c>
      <c r="AC22" s="1353">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92"/>
      <c r="Q23" s="1352">
        <f>B23</f>
        <v>111</v>
      </c>
      <c r="R23" s="705" t="s">
        <v>14</v>
      </c>
      <c r="S23" s="706">
        <f>F23</f>
        <v>100</v>
      </c>
      <c r="T23" s="705" t="s">
        <v>14</v>
      </c>
      <c r="U23" s="706">
        <f>H23</f>
        <v>100</v>
      </c>
      <c r="V23" s="705" t="s">
        <v>14</v>
      </c>
      <c r="W23" s="706">
        <f>J23</f>
        <v>100</v>
      </c>
      <c r="X23" s="1355"/>
      <c r="Y23" s="3792"/>
      <c r="Z23" s="1356">
        <f>Q23</f>
        <v>111</v>
      </c>
      <c r="AA23" s="1353">
        <f t="shared" si="3"/>
        <v>1</v>
      </c>
      <c r="AB23" s="1353">
        <f t="shared" si="4"/>
        <v>1</v>
      </c>
      <c r="AC23" s="1353">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92"/>
      <c r="Q24" s="1352">
        <f t="shared" ref="Q24:Q34" si="11">B24</f>
        <v>111</v>
      </c>
      <c r="R24" s="705" t="s">
        <v>14</v>
      </c>
      <c r="S24" s="706">
        <f>F24</f>
        <v>100</v>
      </c>
      <c r="T24" s="705" t="s">
        <v>14</v>
      </c>
      <c r="U24" s="706">
        <f>H24</f>
        <v>100</v>
      </c>
      <c r="V24" s="705" t="s">
        <v>14</v>
      </c>
      <c r="W24" s="706">
        <f>J24</f>
        <v>100</v>
      </c>
      <c r="X24" s="1355"/>
      <c r="Y24" s="3792"/>
      <c r="Z24" s="1356">
        <f>Q24</f>
        <v>111</v>
      </c>
      <c r="AA24" s="1353">
        <f t="shared" si="3"/>
        <v>1</v>
      </c>
      <c r="AB24" s="1353">
        <f t="shared" si="4"/>
        <v>1</v>
      </c>
      <c r="AC24" s="1353">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92"/>
      <c r="Q25" s="1343">
        <f t="shared" si="11"/>
        <v>111</v>
      </c>
      <c r="R25" s="701" t="s">
        <v>14</v>
      </c>
      <c r="S25" s="702">
        <f>F25</f>
        <v>100</v>
      </c>
      <c r="T25" s="701" t="s">
        <v>14</v>
      </c>
      <c r="U25" s="702">
        <f>H25</f>
        <v>100</v>
      </c>
      <c r="V25" s="701" t="s">
        <v>14</v>
      </c>
      <c r="W25" s="702">
        <f>J25</f>
        <v>100</v>
      </c>
      <c r="X25" s="703"/>
      <c r="Y25" s="3792"/>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84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9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96"/>
      <c r="Q27" s="707" t="str">
        <f t="shared" si="11"/>
        <v>成新率</v>
      </c>
      <c r="R27" s="708" t="s">
        <v>14</v>
      </c>
      <c r="S27" s="709" t="e">
        <f t="shared" si="12"/>
        <v>#N/A</v>
      </c>
      <c r="T27" s="708" t="s">
        <v>14</v>
      </c>
      <c r="U27" s="709" t="e">
        <f t="shared" si="13"/>
        <v>#N/A</v>
      </c>
      <c r="V27" s="708" t="s">
        <v>14</v>
      </c>
      <c r="W27" s="709" t="e">
        <f t="shared" si="14"/>
        <v>#N/A</v>
      </c>
      <c r="X27" s="710"/>
      <c r="Y27" s="379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96"/>
      <c r="Q28" s="1352" t="str">
        <f t="shared" si="11"/>
        <v>物业等级</v>
      </c>
      <c r="R28" s="705" t="s">
        <v>14</v>
      </c>
      <c r="S28" s="706">
        <f t="shared" si="12"/>
        <v>100</v>
      </c>
      <c r="T28" s="705" t="s">
        <v>14</v>
      </c>
      <c r="U28" s="706">
        <f t="shared" si="13"/>
        <v>100</v>
      </c>
      <c r="V28" s="705" t="s">
        <v>14</v>
      </c>
      <c r="W28" s="706">
        <f t="shared" si="14"/>
        <v>100</v>
      </c>
      <c r="X28" s="1355"/>
      <c r="Y28" s="379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96"/>
      <c r="Q29" s="1352" t="str">
        <f t="shared" si="11"/>
        <v>有无电梯</v>
      </c>
      <c r="R29" s="705" t="s">
        <v>14</v>
      </c>
      <c r="S29" s="706">
        <f t="shared" si="12"/>
        <v>100</v>
      </c>
      <c r="T29" s="705" t="s">
        <v>14</v>
      </c>
      <c r="U29" s="706">
        <f t="shared" si="13"/>
        <v>100</v>
      </c>
      <c r="V29" s="705" t="s">
        <v>14</v>
      </c>
      <c r="W29" s="706">
        <f t="shared" si="14"/>
        <v>100</v>
      </c>
      <c r="X29" s="1355"/>
      <c r="Y29" s="379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96"/>
      <c r="Q30" s="1352" t="str">
        <f t="shared" si="11"/>
        <v>建筑面积</v>
      </c>
      <c r="R30" s="705" t="s">
        <v>14</v>
      </c>
      <c r="S30" s="706" t="e">
        <f t="shared" si="12"/>
        <v>#N/A</v>
      </c>
      <c r="T30" s="705" t="s">
        <v>14</v>
      </c>
      <c r="U30" s="706" t="e">
        <f t="shared" si="13"/>
        <v>#N/A</v>
      </c>
      <c r="V30" s="705" t="s">
        <v>14</v>
      </c>
      <c r="W30" s="706" t="e">
        <f t="shared" si="14"/>
        <v>#N/A</v>
      </c>
      <c r="X30" s="1355"/>
      <c r="Y30" s="379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96"/>
      <c r="Q31" s="1343" t="str">
        <f t="shared" si="11"/>
        <v>是否封闭</v>
      </c>
      <c r="R31" s="701" t="s">
        <v>14</v>
      </c>
      <c r="S31" s="702">
        <f t="shared" si="12"/>
        <v>100</v>
      </c>
      <c r="T31" s="701" t="s">
        <v>14</v>
      </c>
      <c r="U31" s="702">
        <f t="shared" si="13"/>
        <v>100</v>
      </c>
      <c r="V31" s="701" t="s">
        <v>14</v>
      </c>
      <c r="W31" s="702">
        <f t="shared" si="14"/>
        <v>100</v>
      </c>
      <c r="X31" s="703"/>
      <c r="Y31" s="3796"/>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96" t="s">
        <v>1696</v>
      </c>
      <c r="Q32" s="1352">
        <f t="shared" si="11"/>
        <v>111</v>
      </c>
      <c r="R32" s="705" t="s">
        <v>14</v>
      </c>
      <c r="S32" s="706">
        <f t="shared" si="12"/>
        <v>100</v>
      </c>
      <c r="T32" s="705" t="s">
        <v>14</v>
      </c>
      <c r="U32" s="706">
        <f t="shared" si="13"/>
        <v>100</v>
      </c>
      <c r="V32" s="705" t="s">
        <v>14</v>
      </c>
      <c r="W32" s="706">
        <f t="shared" si="14"/>
        <v>100</v>
      </c>
      <c r="X32" s="1355"/>
      <c r="Y32" s="3796" t="s">
        <v>1696</v>
      </c>
      <c r="Z32" s="1356">
        <f t="shared" si="15"/>
        <v>111</v>
      </c>
      <c r="AA32" s="1353">
        <f t="shared" si="3"/>
        <v>1</v>
      </c>
      <c r="AB32" s="1353">
        <f t="shared" si="4"/>
        <v>1</v>
      </c>
      <c r="AC32" s="1353">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96"/>
      <c r="Q33" s="1352">
        <f t="shared" si="11"/>
        <v>111</v>
      </c>
      <c r="R33" s="705" t="s">
        <v>14</v>
      </c>
      <c r="S33" s="706">
        <f t="shared" si="12"/>
        <v>100</v>
      </c>
      <c r="T33" s="705" t="s">
        <v>14</v>
      </c>
      <c r="U33" s="706">
        <f t="shared" si="13"/>
        <v>100</v>
      </c>
      <c r="V33" s="705" t="s">
        <v>14</v>
      </c>
      <c r="W33" s="706">
        <f t="shared" si="14"/>
        <v>100</v>
      </c>
      <c r="X33" s="1355"/>
      <c r="Y33" s="3796"/>
      <c r="Z33" s="1356">
        <f t="shared" si="15"/>
        <v>111</v>
      </c>
      <c r="AA33" s="1353">
        <f t="shared" si="3"/>
        <v>1</v>
      </c>
      <c r="AB33" s="1353">
        <f t="shared" si="4"/>
        <v>1</v>
      </c>
      <c r="AC33" s="1353">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96"/>
      <c r="Q34" s="1352">
        <f t="shared" si="11"/>
        <v>111</v>
      </c>
      <c r="R34" s="705" t="s">
        <v>14</v>
      </c>
      <c r="S34" s="706">
        <f t="shared" si="12"/>
        <v>100</v>
      </c>
      <c r="T34" s="705" t="s">
        <v>14</v>
      </c>
      <c r="U34" s="706">
        <f t="shared" si="13"/>
        <v>100</v>
      </c>
      <c r="V34" s="705" t="s">
        <v>14</v>
      </c>
      <c r="W34" s="706">
        <f t="shared" si="14"/>
        <v>100</v>
      </c>
      <c r="X34" s="1355"/>
      <c r="Y34" s="379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89" t="str">
        <f>A35</f>
        <v>成交单价（元/平方米）</v>
      </c>
      <c r="Q35" s="3789"/>
      <c r="R35" s="3790">
        <f>E35</f>
        <v>0</v>
      </c>
      <c r="S35" s="3790"/>
      <c r="T35" s="3790">
        <f>G35</f>
        <v>0</v>
      </c>
      <c r="U35" s="3790"/>
      <c r="V35" s="3790">
        <f>I35</f>
        <v>0</v>
      </c>
      <c r="W35" s="3790"/>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789" t="str">
        <f>A36</f>
        <v>比较价值（元/平方米）</v>
      </c>
      <c r="Q36" s="3789"/>
      <c r="R36" s="3790" t="e">
        <f>IF(F1="售价",ROUND(PRODUCT(R35,AA7:AA34),0),ROUND(PRODUCT(R35,AA7:AA34),1))</f>
        <v>#DIV/0!</v>
      </c>
      <c r="S36" s="3790"/>
      <c r="T36" s="3790" t="e">
        <f>IF(F1="售价",ROUND(PRODUCT(T35,AB7:AB34),0),ROUND(PRODUCT(T35,AB7:AB34),1))</f>
        <v>#DIV/0!</v>
      </c>
      <c r="U36" s="3790"/>
      <c r="V36" s="3790" t="e">
        <f>IF(F1="售价",ROUND(PRODUCT(V35,AC7:AC34),0),ROUND(PRODUCT(V35,AC7:AC34),1))</f>
        <v>#DIV/0!</v>
      </c>
      <c r="W36" s="379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86" t="str">
        <f>A37</f>
        <v>估价对象XX用房的比较价值（楼面单价，元/平方米）</v>
      </c>
      <c r="Q37" s="3787"/>
      <c r="R37" s="3848" t="e">
        <f>IF(F1="售价",ROUND(IF(D36="简单平均",AVERAGE(R36:W36),R36*F36+T36*H36+V36*J36),0),ROUND(IF(D36="简单平均",AVERAGE(R36:V36),R36*F36+T36*H36+V36*J36),1))</f>
        <v>#DIV/0!</v>
      </c>
      <c r="S37" s="3848"/>
      <c r="T37" s="3848"/>
      <c r="U37" s="3848"/>
      <c r="V37" s="3848"/>
      <c r="W37" s="3848"/>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804" t="s">
        <v>1770</v>
      </c>
      <c r="D4" s="3805"/>
      <c r="E4" s="3806" t="s">
        <v>1771</v>
      </c>
      <c r="F4" s="3807"/>
      <c r="G4" s="3804" t="s">
        <v>1772</v>
      </c>
      <c r="H4" s="3805"/>
      <c r="I4" s="3804" t="s">
        <v>1773</v>
      </c>
      <c r="J4" s="3805"/>
      <c r="K4" s="559" t="s">
        <v>1774</v>
      </c>
      <c r="L4" s="2713"/>
      <c r="M4" s="2714"/>
      <c r="N4" s="2714"/>
      <c r="O4" s="2714"/>
      <c r="P4" s="3808" t="s">
        <v>1775</v>
      </c>
      <c r="Q4" s="3809"/>
      <c r="R4" s="3814" t="s">
        <v>1771</v>
      </c>
      <c r="S4" s="3815"/>
      <c r="T4" s="3814" t="s">
        <v>1772</v>
      </c>
      <c r="U4" s="3815"/>
      <c r="V4" s="3820" t="s">
        <v>1773</v>
      </c>
      <c r="W4" s="3820"/>
      <c r="X4" s="1355"/>
      <c r="Y4" s="3814" t="s">
        <v>1775</v>
      </c>
      <c r="Z4" s="3815"/>
      <c r="AA4" s="3801" t="s">
        <v>1771</v>
      </c>
      <c r="AB4" s="3802" t="s">
        <v>1772</v>
      </c>
      <c r="AC4" s="3801" t="s">
        <v>1773</v>
      </c>
    </row>
    <row r="5" spans="1:30" ht="15">
      <c r="A5" s="358"/>
      <c r="B5" s="359"/>
      <c r="C5" s="3823" t="s">
        <v>1673</v>
      </c>
      <c r="D5" s="3824"/>
      <c r="E5" s="3830" t="s">
        <v>1674</v>
      </c>
      <c r="F5" s="3831"/>
      <c r="G5" s="3823" t="s">
        <v>1675</v>
      </c>
      <c r="H5" s="3824"/>
      <c r="I5" s="3823" t="s">
        <v>1676</v>
      </c>
      <c r="J5" s="3824"/>
      <c r="K5" s="559"/>
      <c r="L5" s="2713"/>
      <c r="M5" s="2714"/>
      <c r="N5" s="2714"/>
      <c r="O5" s="2714"/>
      <c r="P5" s="3810"/>
      <c r="Q5" s="3811"/>
      <c r="R5" s="3816"/>
      <c r="S5" s="3817"/>
      <c r="T5" s="3816"/>
      <c r="U5" s="3817"/>
      <c r="V5" s="3820"/>
      <c r="W5" s="3820"/>
      <c r="X5" s="1355"/>
      <c r="Y5" s="3816"/>
      <c r="Z5" s="3817"/>
      <c r="AA5" s="3802"/>
      <c r="AB5" s="3802"/>
      <c r="AC5" s="3802"/>
    </row>
    <row r="6" spans="1:30" ht="15.75" thickBot="1">
      <c r="A6" s="360"/>
      <c r="B6" s="361"/>
      <c r="C6" s="3821" t="s">
        <v>1677</v>
      </c>
      <c r="D6" s="3822"/>
      <c r="E6" s="3828" t="s">
        <v>1677</v>
      </c>
      <c r="F6" s="3829"/>
      <c r="G6" s="3821" t="s">
        <v>1677</v>
      </c>
      <c r="H6" s="3822"/>
      <c r="I6" s="3821" t="s">
        <v>1677</v>
      </c>
      <c r="J6" s="3822"/>
      <c r="K6" s="559" t="s">
        <v>1678</v>
      </c>
      <c r="L6" s="2713"/>
      <c r="M6" s="2714"/>
      <c r="N6" s="2714"/>
      <c r="O6" s="2714"/>
      <c r="P6" s="3812"/>
      <c r="Q6" s="3813"/>
      <c r="R6" s="3816"/>
      <c r="S6" s="3817"/>
      <c r="T6" s="3818"/>
      <c r="U6" s="3819"/>
      <c r="V6" s="3820"/>
      <c r="W6" s="3820"/>
      <c r="X6" s="1355"/>
      <c r="Y6" s="3818"/>
      <c r="Z6" s="3819"/>
      <c r="AA6" s="3803"/>
      <c r="AB6" s="3803"/>
      <c r="AC6" s="3803"/>
    </row>
    <row r="7" spans="1:30" s="108" customFormat="1" ht="15.75" thickBot="1">
      <c r="A7" s="362" t="s">
        <v>1679</v>
      </c>
      <c r="B7" s="363"/>
      <c r="C7" s="364">
        <f>'数据-取费表'!B2</f>
        <v>45040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825" t="s">
        <v>1680</v>
      </c>
      <c r="Q7" s="3827"/>
      <c r="R7" s="701" t="s">
        <v>14</v>
      </c>
      <c r="S7" s="702">
        <f t="shared" ref="S7:S15" si="0">F7</f>
        <v>0</v>
      </c>
      <c r="T7" s="701" t="s">
        <v>14</v>
      </c>
      <c r="U7" s="702">
        <f t="shared" ref="U7:U15" si="1">H7</f>
        <v>0</v>
      </c>
      <c r="V7" s="701" t="s">
        <v>14</v>
      </c>
      <c r="W7" s="702">
        <f t="shared" ref="W7:W15" si="2">J7</f>
        <v>0</v>
      </c>
      <c r="X7" s="703"/>
      <c r="Y7" s="3825" t="s">
        <v>1680</v>
      </c>
      <c r="Z7" s="382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25" t="s">
        <v>1683</v>
      </c>
      <c r="Q8" s="3826"/>
      <c r="R8" s="701" t="s">
        <v>14</v>
      </c>
      <c r="S8" s="702">
        <f t="shared" si="0"/>
        <v>0</v>
      </c>
      <c r="T8" s="701" t="s">
        <v>14</v>
      </c>
      <c r="U8" s="702">
        <f t="shared" si="1"/>
        <v>0</v>
      </c>
      <c r="V8" s="701" t="s">
        <v>14</v>
      </c>
      <c r="W8" s="702">
        <f t="shared" si="2"/>
        <v>0</v>
      </c>
      <c r="X8" s="703"/>
      <c r="Y8" s="3825" t="s">
        <v>1683</v>
      </c>
      <c r="Z8" s="3826"/>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89"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196</v>
      </c>
      <c r="G10" s="414"/>
      <c r="H10" s="127">
        <f>ROUND(100/'数据-取费表'!G16,0)</f>
        <v>196</v>
      </c>
      <c r="I10" s="414"/>
      <c r="J10" s="127">
        <f>ROUND(100/'数据-取费表'!G16,0)</f>
        <v>196</v>
      </c>
      <c r="K10" s="620"/>
      <c r="L10" s="2717"/>
      <c r="M10" s="2718"/>
      <c r="N10" s="2718"/>
      <c r="O10" s="2771"/>
      <c r="P10" s="3789"/>
      <c r="Q10" s="1343" t="str">
        <f t="shared" si="6"/>
        <v>土地使用年限（年）</v>
      </c>
      <c r="R10" s="701" t="s">
        <v>14</v>
      </c>
      <c r="S10" s="702">
        <f t="shared" si="0"/>
        <v>196</v>
      </c>
      <c r="T10" s="701" t="s">
        <v>14</v>
      </c>
      <c r="U10" s="702">
        <f t="shared" si="1"/>
        <v>196</v>
      </c>
      <c r="V10" s="701" t="s">
        <v>14</v>
      </c>
      <c r="W10" s="702">
        <f t="shared" si="2"/>
        <v>196</v>
      </c>
      <c r="X10" s="703"/>
      <c r="Y10" s="3645"/>
      <c r="Z10" s="52" t="str">
        <f t="shared" si="7"/>
        <v>土地使用年限（年）</v>
      </c>
      <c r="AA10" s="704">
        <f t="shared" si="3"/>
        <v>0.51020408163265307</v>
      </c>
      <c r="AB10" s="704">
        <f t="shared" si="4"/>
        <v>0.51020408163265307</v>
      </c>
      <c r="AC10" s="704">
        <f t="shared" si="5"/>
        <v>0.51020408163265307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89"/>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89"/>
      <c r="Q12" s="1343" t="str">
        <f t="shared" si="6"/>
        <v>配建</v>
      </c>
      <c r="R12" s="701" t="s">
        <v>14</v>
      </c>
      <c r="S12" s="702">
        <f t="shared" si="0"/>
        <v>100</v>
      </c>
      <c r="T12" s="701" t="s">
        <v>14</v>
      </c>
      <c r="U12" s="702">
        <f t="shared" si="1"/>
        <v>100</v>
      </c>
      <c r="V12" s="701" t="s">
        <v>14</v>
      </c>
      <c r="W12" s="702">
        <f t="shared" si="2"/>
        <v>100</v>
      </c>
      <c r="X12" s="703"/>
      <c r="Y12" s="3645"/>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89"/>
      <c r="Q13" s="1343">
        <f t="shared" si="6"/>
        <v>111</v>
      </c>
      <c r="R13" s="701" t="s">
        <v>14</v>
      </c>
      <c r="S13" s="702">
        <f t="shared" si="0"/>
        <v>100</v>
      </c>
      <c r="T13" s="701" t="s">
        <v>14</v>
      </c>
      <c r="U13" s="702">
        <f t="shared" si="1"/>
        <v>100</v>
      </c>
      <c r="V13" s="701" t="s">
        <v>14</v>
      </c>
      <c r="W13" s="702">
        <f t="shared" si="2"/>
        <v>100</v>
      </c>
      <c r="X13" s="703"/>
      <c r="Y13" s="3645"/>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89"/>
      <c r="Q14" s="1343">
        <f t="shared" si="6"/>
        <v>111</v>
      </c>
      <c r="R14" s="701" t="s">
        <v>14</v>
      </c>
      <c r="S14" s="702">
        <f t="shared" si="0"/>
        <v>100</v>
      </c>
      <c r="T14" s="701" t="s">
        <v>14</v>
      </c>
      <c r="U14" s="702">
        <f t="shared" si="1"/>
        <v>100</v>
      </c>
      <c r="V14" s="701" t="s">
        <v>14</v>
      </c>
      <c r="W14" s="702">
        <f t="shared" si="2"/>
        <v>100</v>
      </c>
      <c r="X14" s="703"/>
      <c r="Y14" s="3645"/>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91" t="s">
        <v>1691</v>
      </c>
      <c r="Q15" s="1352" t="str">
        <f t="shared" si="6"/>
        <v>居住社区成熟度</v>
      </c>
      <c r="R15" s="705" t="s">
        <v>14</v>
      </c>
      <c r="S15" s="706">
        <f t="shared" si="0"/>
        <v>100</v>
      </c>
      <c r="T15" s="705" t="s">
        <v>14</v>
      </c>
      <c r="U15" s="706">
        <f t="shared" si="1"/>
        <v>100</v>
      </c>
      <c r="V15" s="705" t="s">
        <v>14</v>
      </c>
      <c r="W15" s="706">
        <f t="shared" si="2"/>
        <v>100</v>
      </c>
      <c r="X15" s="1355"/>
      <c r="Y15" s="3791" t="s">
        <v>1691</v>
      </c>
      <c r="Z15" s="1356" t="str">
        <f t="shared" si="7"/>
        <v>居住社区成熟度</v>
      </c>
      <c r="AA15" s="1353">
        <f t="shared" si="3"/>
        <v>1</v>
      </c>
      <c r="AB15" s="1353">
        <f t="shared" si="4"/>
        <v>1</v>
      </c>
      <c r="AC15" s="1353">
        <f t="shared" si="5"/>
        <v>1</v>
      </c>
    </row>
    <row r="16" spans="1:30" ht="15">
      <c r="A16" s="379"/>
      <c r="B16" s="397"/>
      <c r="C16" s="398"/>
      <c r="D16" s="399"/>
      <c r="E16" s="1896"/>
      <c r="F16" s="399"/>
      <c r="G16" s="1896"/>
      <c r="H16" s="401"/>
      <c r="I16" s="1895"/>
      <c r="J16" s="399"/>
      <c r="K16" s="620"/>
      <c r="L16" s="2720"/>
      <c r="M16" s="2714"/>
      <c r="N16" s="2714"/>
      <c r="O16" s="2772"/>
      <c r="P16" s="3792"/>
      <c r="Q16" s="1352"/>
      <c r="R16" s="705"/>
      <c r="S16" s="706"/>
      <c r="T16" s="705"/>
      <c r="U16" s="706"/>
      <c r="V16" s="705"/>
      <c r="W16" s="706"/>
      <c r="X16" s="1355"/>
      <c r="Y16" s="3792"/>
      <c r="Z16" s="1356"/>
      <c r="AA16" s="1353">
        <v>1</v>
      </c>
      <c r="AB16" s="1353">
        <v>1</v>
      </c>
      <c r="AC16" s="1353">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92"/>
      <c r="Q17" s="1352" t="str">
        <f>B17</f>
        <v>商业繁华度</v>
      </c>
      <c r="R17" s="705" t="s">
        <v>14</v>
      </c>
      <c r="S17" s="706">
        <f>F17</f>
        <v>100</v>
      </c>
      <c r="T17" s="705" t="s">
        <v>14</v>
      </c>
      <c r="U17" s="706">
        <f>H17</f>
        <v>100</v>
      </c>
      <c r="V17" s="705" t="s">
        <v>14</v>
      </c>
      <c r="W17" s="706">
        <f>J17</f>
        <v>100</v>
      </c>
      <c r="X17" s="1355"/>
      <c r="Y17" s="3792"/>
      <c r="Z17" s="1356" t="str">
        <f>Q17</f>
        <v>商业繁华度</v>
      </c>
      <c r="AA17" s="1353">
        <f t="shared" si="3"/>
        <v>1</v>
      </c>
      <c r="AB17" s="1353">
        <f t="shared" si="4"/>
        <v>1</v>
      </c>
      <c r="AC17" s="1353">
        <f t="shared" si="5"/>
        <v>1</v>
      </c>
    </row>
    <row r="18" spans="1:29" ht="15">
      <c r="A18" s="379"/>
      <c r="B18" s="407"/>
      <c r="C18" s="1899"/>
      <c r="D18" s="401"/>
      <c r="E18" s="1901"/>
      <c r="F18" s="401"/>
      <c r="G18" s="1901"/>
      <c r="H18" s="399"/>
      <c r="I18" s="1900"/>
      <c r="J18" s="399"/>
      <c r="K18" s="620"/>
      <c r="L18" s="2720"/>
      <c r="M18" s="2714"/>
      <c r="N18" s="2714"/>
      <c r="O18" s="2772"/>
      <c r="P18" s="3792"/>
      <c r="Q18" s="1352"/>
      <c r="R18" s="705"/>
      <c r="S18" s="706"/>
      <c r="T18" s="705"/>
      <c r="U18" s="706"/>
      <c r="V18" s="705"/>
      <c r="W18" s="706"/>
      <c r="X18" s="1355"/>
      <c r="Y18" s="3792"/>
      <c r="Z18" s="1356"/>
      <c r="AA18" s="1353">
        <v>1</v>
      </c>
      <c r="AB18" s="1353">
        <v>1</v>
      </c>
      <c r="AC18" s="1353">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92"/>
      <c r="Q19" s="1352" t="str">
        <f>B19</f>
        <v>办公集聚程度</v>
      </c>
      <c r="R19" s="705" t="s">
        <v>14</v>
      </c>
      <c r="S19" s="706">
        <f>F19</f>
        <v>100</v>
      </c>
      <c r="T19" s="705" t="s">
        <v>14</v>
      </c>
      <c r="U19" s="706">
        <f>H19</f>
        <v>100</v>
      </c>
      <c r="V19" s="705" t="s">
        <v>14</v>
      </c>
      <c r="W19" s="706">
        <f>J19</f>
        <v>100</v>
      </c>
      <c r="X19" s="1355"/>
      <c r="Y19" s="3792"/>
      <c r="Z19" s="1356" t="str">
        <f>Q19</f>
        <v>办公集聚程度</v>
      </c>
      <c r="AA19" s="1353">
        <f t="shared" si="3"/>
        <v>1</v>
      </c>
      <c r="AB19" s="1353">
        <f t="shared" si="4"/>
        <v>1</v>
      </c>
      <c r="AC19" s="1353">
        <f t="shared" si="5"/>
        <v>1</v>
      </c>
    </row>
    <row r="20" spans="1:29" ht="15">
      <c r="A20" s="379"/>
      <c r="B20" s="407"/>
      <c r="C20" s="398"/>
      <c r="D20" s="399"/>
      <c r="E20" s="1896"/>
      <c r="F20" s="399"/>
      <c r="G20" s="1896"/>
      <c r="H20" s="399"/>
      <c r="I20" s="1895"/>
      <c r="J20" s="399"/>
      <c r="K20" s="620"/>
      <c r="L20" s="2720"/>
      <c r="M20" s="2714"/>
      <c r="N20" s="2714"/>
      <c r="O20" s="2772"/>
      <c r="P20" s="3792"/>
      <c r="Q20" s="1352"/>
      <c r="R20" s="705"/>
      <c r="S20" s="706"/>
      <c r="T20" s="705"/>
      <c r="U20" s="706"/>
      <c r="V20" s="705"/>
      <c r="W20" s="706"/>
      <c r="X20" s="1355"/>
      <c r="Y20" s="3792"/>
      <c r="Z20" s="1356"/>
      <c r="AA20" s="1353">
        <v>1</v>
      </c>
      <c r="AB20" s="1353">
        <v>1</v>
      </c>
      <c r="AC20" s="1353">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92"/>
      <c r="Q21" s="1352" t="str">
        <f>B21</f>
        <v>交通便捷度</v>
      </c>
      <c r="R21" s="705" t="s">
        <v>14</v>
      </c>
      <c r="S21" s="706">
        <f>F21</f>
        <v>100</v>
      </c>
      <c r="T21" s="705" t="s">
        <v>14</v>
      </c>
      <c r="U21" s="706">
        <f>H21</f>
        <v>100</v>
      </c>
      <c r="V21" s="705" t="s">
        <v>14</v>
      </c>
      <c r="W21" s="706">
        <f>J21</f>
        <v>100</v>
      </c>
      <c r="X21" s="1355"/>
      <c r="Y21" s="3792"/>
      <c r="Z21" s="1356" t="str">
        <f>Q21</f>
        <v>交通便捷度</v>
      </c>
      <c r="AA21" s="1353">
        <f t="shared" si="3"/>
        <v>1</v>
      </c>
      <c r="AB21" s="1353">
        <f t="shared" si="4"/>
        <v>1</v>
      </c>
      <c r="AC21" s="1353">
        <f t="shared" si="5"/>
        <v>1</v>
      </c>
    </row>
    <row r="22" spans="1:29" ht="15">
      <c r="A22" s="379"/>
      <c r="B22" s="1131"/>
      <c r="C22" s="398"/>
      <c r="D22" s="401"/>
      <c r="E22" s="1896"/>
      <c r="F22" s="399"/>
      <c r="G22" s="1896"/>
      <c r="H22" s="399"/>
      <c r="I22" s="1895"/>
      <c r="J22" s="399"/>
      <c r="K22" s="620"/>
      <c r="L22" s="2720"/>
      <c r="M22" s="2714"/>
      <c r="N22" s="2714"/>
      <c r="O22" s="2772"/>
      <c r="P22" s="3792"/>
      <c r="Q22" s="1352"/>
      <c r="R22" s="705"/>
      <c r="S22" s="706"/>
      <c r="T22" s="705"/>
      <c r="U22" s="706"/>
      <c r="V22" s="705"/>
      <c r="W22" s="706"/>
      <c r="X22" s="1355"/>
      <c r="Y22" s="379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92"/>
      <c r="Q23" s="1352" t="str">
        <f t="shared" ref="Q23:Q37" si="8">B23</f>
        <v>区域土地利用方向</v>
      </c>
      <c r="R23" s="705" t="s">
        <v>14</v>
      </c>
      <c r="S23" s="706">
        <f>F23</f>
        <v>100</v>
      </c>
      <c r="T23" s="705" t="s">
        <v>14</v>
      </c>
      <c r="U23" s="706">
        <f>H23</f>
        <v>100</v>
      </c>
      <c r="V23" s="705" t="s">
        <v>14</v>
      </c>
      <c r="W23" s="706">
        <f>J23</f>
        <v>100</v>
      </c>
      <c r="X23" s="1355"/>
      <c r="Y23" s="3792"/>
      <c r="Z23" s="1356" t="str">
        <f>Q23</f>
        <v>区域土地利用方向</v>
      </c>
      <c r="AA23" s="1353">
        <f t="shared" si="3"/>
        <v>1</v>
      </c>
      <c r="AB23" s="1353">
        <f t="shared" si="4"/>
        <v>1</v>
      </c>
      <c r="AC23" s="1353">
        <f t="shared" si="5"/>
        <v>1</v>
      </c>
    </row>
    <row r="24" spans="1:29" ht="15">
      <c r="A24" s="358"/>
      <c r="B24" s="407"/>
      <c r="C24" s="565"/>
      <c r="D24" s="399"/>
      <c r="E24" s="1896"/>
      <c r="F24" s="399"/>
      <c r="G24" s="1895"/>
      <c r="H24" s="399"/>
      <c r="I24" s="1895"/>
      <c r="J24" s="399"/>
      <c r="K24" s="740"/>
      <c r="L24" s="2720"/>
      <c r="M24" s="2714"/>
      <c r="N24" s="2714"/>
      <c r="O24" s="2772"/>
      <c r="P24" s="3792"/>
      <c r="Q24" s="1352"/>
      <c r="R24" s="705"/>
      <c r="S24" s="706"/>
      <c r="T24" s="705"/>
      <c r="U24" s="706"/>
      <c r="V24" s="705"/>
      <c r="W24" s="706"/>
      <c r="X24" s="1355"/>
      <c r="Y24" s="3792"/>
      <c r="Z24" s="1356"/>
      <c r="AA24" s="1353"/>
      <c r="AB24" s="1353"/>
      <c r="AC24" s="1353"/>
    </row>
    <row r="25" spans="1:29" ht="57">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92"/>
      <c r="Q25" s="1352" t="str">
        <f t="shared" si="8"/>
        <v>自然及人文环境状况</v>
      </c>
      <c r="R25" s="705" t="s">
        <v>14</v>
      </c>
      <c r="S25" s="706">
        <f>F25</f>
        <v>100</v>
      </c>
      <c r="T25" s="705" t="s">
        <v>14</v>
      </c>
      <c r="U25" s="706">
        <f>H25</f>
        <v>100</v>
      </c>
      <c r="V25" s="705" t="s">
        <v>14</v>
      </c>
      <c r="W25" s="706">
        <f>J25</f>
        <v>100</v>
      </c>
      <c r="X25" s="1355"/>
      <c r="Y25" s="3792"/>
      <c r="Z25" s="1356" t="str">
        <f>Q25</f>
        <v>自然及人文环境状况</v>
      </c>
      <c r="AA25" s="1353">
        <f t="shared" si="3"/>
        <v>1</v>
      </c>
      <c r="AB25" s="1353">
        <f t="shared" si="4"/>
        <v>1</v>
      </c>
      <c r="AC25" s="1353">
        <f t="shared" si="5"/>
        <v>1</v>
      </c>
    </row>
    <row r="26" spans="1:29" ht="15">
      <c r="A26" s="358"/>
      <c r="B26" s="407"/>
      <c r="C26" s="398"/>
      <c r="D26" s="399"/>
      <c r="E26" s="1902"/>
      <c r="F26" s="399"/>
      <c r="G26" s="1902"/>
      <c r="H26" s="399"/>
      <c r="I26" s="398"/>
      <c r="J26" s="399"/>
      <c r="K26" s="620"/>
      <c r="L26" s="2720"/>
      <c r="M26" s="2714"/>
      <c r="N26" s="2714"/>
      <c r="O26" s="2772"/>
      <c r="P26" s="3792"/>
      <c r="Q26" s="1352"/>
      <c r="R26" s="705"/>
      <c r="S26" s="706"/>
      <c r="T26" s="705"/>
      <c r="U26" s="706"/>
      <c r="V26" s="705"/>
      <c r="W26" s="706"/>
      <c r="X26" s="1355"/>
      <c r="Y26" s="3792"/>
      <c r="Z26" s="1356"/>
      <c r="AA26" s="1353">
        <v>1</v>
      </c>
      <c r="AB26" s="1353">
        <v>1</v>
      </c>
      <c r="AC26" s="1353">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92"/>
      <c r="Q27" s="1343" t="str">
        <f t="shared" si="8"/>
        <v>公共配套设施</v>
      </c>
      <c r="R27" s="701" t="s">
        <v>14</v>
      </c>
      <c r="S27" s="702">
        <f>F27</f>
        <v>100</v>
      </c>
      <c r="T27" s="701" t="s">
        <v>14</v>
      </c>
      <c r="U27" s="702">
        <f>H27</f>
        <v>100</v>
      </c>
      <c r="V27" s="701" t="s">
        <v>14</v>
      </c>
      <c r="W27" s="702">
        <f>J27</f>
        <v>100</v>
      </c>
      <c r="X27" s="703"/>
      <c r="Y27" s="3792"/>
      <c r="Z27" s="52" t="str">
        <f>Q27</f>
        <v>公共配套设施</v>
      </c>
      <c r="AA27" s="1353">
        <f>D27/F27</f>
        <v>1</v>
      </c>
      <c r="AB27" s="1353">
        <f>D27/H27</f>
        <v>1</v>
      </c>
      <c r="AC27" s="1353">
        <f>D27/J27</f>
        <v>1</v>
      </c>
    </row>
    <row r="28" spans="1:29" s="108" customFormat="1" ht="15">
      <c r="A28" s="597"/>
      <c r="B28" s="407"/>
      <c r="C28" s="1976"/>
      <c r="D28" s="399"/>
      <c r="E28" s="1902"/>
      <c r="F28" s="399"/>
      <c r="G28" s="1902"/>
      <c r="H28" s="399"/>
      <c r="I28" s="398"/>
      <c r="J28" s="399"/>
      <c r="K28" s="620"/>
      <c r="L28" s="2715"/>
      <c r="M28" s="2716"/>
      <c r="N28" s="2716"/>
      <c r="O28" s="2770"/>
      <c r="P28" s="3792"/>
      <c r="Q28" s="1343"/>
      <c r="R28" s="701"/>
      <c r="S28" s="702"/>
      <c r="T28" s="701"/>
      <c r="U28" s="702"/>
      <c r="V28" s="701"/>
      <c r="W28" s="702"/>
      <c r="X28" s="703"/>
      <c r="Y28" s="3792"/>
      <c r="Z28" s="52"/>
      <c r="AA28" s="1353">
        <v>1</v>
      </c>
      <c r="AB28" s="1353">
        <v>1</v>
      </c>
      <c r="AC28" s="1353">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92"/>
      <c r="Q29" s="1343" t="str">
        <f t="shared" ref="Q29" si="9">B29</f>
        <v>基础设施水平</v>
      </c>
      <c r="R29" s="701" t="s">
        <v>14</v>
      </c>
      <c r="S29" s="702">
        <f>F29</f>
        <v>100</v>
      </c>
      <c r="T29" s="701" t="s">
        <v>14</v>
      </c>
      <c r="U29" s="702">
        <f>H29</f>
        <v>100</v>
      </c>
      <c r="V29" s="701" t="s">
        <v>14</v>
      </c>
      <c r="W29" s="702">
        <f>J29</f>
        <v>100</v>
      </c>
      <c r="X29" s="703"/>
      <c r="Y29" s="3792"/>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792"/>
      <c r="Q30" s="1343"/>
      <c r="R30" s="701"/>
      <c r="S30" s="702"/>
      <c r="T30" s="701"/>
      <c r="U30" s="702"/>
      <c r="V30" s="701"/>
      <c r="W30" s="702"/>
      <c r="X30" s="703"/>
      <c r="Y30" s="379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9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9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92"/>
      <c r="Q32" s="1352" t="str">
        <f t="shared" si="8"/>
        <v>毗邻道路的类型与等级</v>
      </c>
      <c r="R32" s="705" t="s">
        <v>14</v>
      </c>
      <c r="S32" s="706">
        <f t="shared" si="10"/>
        <v>100</v>
      </c>
      <c r="T32" s="705" t="s">
        <v>14</v>
      </c>
      <c r="U32" s="706">
        <f t="shared" si="11"/>
        <v>100</v>
      </c>
      <c r="V32" s="705" t="s">
        <v>14</v>
      </c>
      <c r="W32" s="706">
        <f t="shared" si="12"/>
        <v>100</v>
      </c>
      <c r="X32" s="1355"/>
      <c r="Y32" s="3792"/>
      <c r="Z32" s="1356" t="str">
        <f t="shared" si="13"/>
        <v>毗邻道路的类型与等级</v>
      </c>
      <c r="AA32" s="1353">
        <f t="shared" si="3"/>
        <v>1</v>
      </c>
      <c r="AB32" s="1353">
        <f t="shared" si="4"/>
        <v>1</v>
      </c>
      <c r="AC32" s="1353">
        <f t="shared" si="5"/>
        <v>1</v>
      </c>
    </row>
    <row r="33" spans="1:29" ht="15">
      <c r="A33" s="379"/>
      <c r="B33" s="407"/>
      <c r="C33" s="398"/>
      <c r="D33" s="399"/>
      <c r="E33" s="1902"/>
      <c r="F33" s="399"/>
      <c r="G33" s="1902"/>
      <c r="H33" s="399"/>
      <c r="I33" s="398"/>
      <c r="J33" s="399"/>
      <c r="K33" s="562"/>
      <c r="L33" s="2720"/>
      <c r="M33" s="2714"/>
      <c r="N33" s="2714"/>
      <c r="O33" s="2772"/>
      <c r="P33" s="3792"/>
      <c r="Q33" s="1352"/>
      <c r="R33" s="705"/>
      <c r="S33" s="706"/>
      <c r="T33" s="705"/>
      <c r="U33" s="706"/>
      <c r="V33" s="705"/>
      <c r="W33" s="706"/>
      <c r="X33" s="1355"/>
      <c r="Y33" s="379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92"/>
      <c r="Q34" s="1352" t="str">
        <f t="shared" si="8"/>
        <v>土地级别</v>
      </c>
      <c r="R34" s="705" t="s">
        <v>14</v>
      </c>
      <c r="S34" s="706">
        <f t="shared" si="10"/>
        <v>100</v>
      </c>
      <c r="T34" s="705" t="s">
        <v>14</v>
      </c>
      <c r="U34" s="706">
        <f t="shared" si="11"/>
        <v>100</v>
      </c>
      <c r="V34" s="705" t="s">
        <v>14</v>
      </c>
      <c r="W34" s="706">
        <f t="shared" si="12"/>
        <v>100</v>
      </c>
      <c r="X34" s="1355"/>
      <c r="Y34" s="379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92"/>
      <c r="Q35" s="1352">
        <f t="shared" si="8"/>
        <v>111</v>
      </c>
      <c r="R35" s="705" t="s">
        <v>14</v>
      </c>
      <c r="S35" s="706">
        <f t="shared" si="10"/>
        <v>100</v>
      </c>
      <c r="T35" s="705" t="s">
        <v>14</v>
      </c>
      <c r="U35" s="706">
        <f t="shared" si="11"/>
        <v>100</v>
      </c>
      <c r="V35" s="705" t="s">
        <v>14</v>
      </c>
      <c r="W35" s="706">
        <f t="shared" si="12"/>
        <v>100</v>
      </c>
      <c r="X35" s="1355"/>
      <c r="Y35" s="379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47" t="s">
        <v>1696</v>
      </c>
      <c r="Q36" s="1352">
        <f t="shared" si="8"/>
        <v>111</v>
      </c>
      <c r="R36" s="705" t="s">
        <v>14</v>
      </c>
      <c r="S36" s="706">
        <f t="shared" si="10"/>
        <v>100</v>
      </c>
      <c r="T36" s="705" t="s">
        <v>14</v>
      </c>
      <c r="U36" s="706">
        <f t="shared" si="11"/>
        <v>100</v>
      </c>
      <c r="V36" s="705" t="s">
        <v>14</v>
      </c>
      <c r="W36" s="706">
        <f t="shared" si="12"/>
        <v>100</v>
      </c>
      <c r="X36" s="1355"/>
      <c r="Y36" s="379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96"/>
      <c r="Q37" s="1352">
        <f t="shared" si="8"/>
        <v>111</v>
      </c>
      <c r="R37" s="708" t="s">
        <v>14</v>
      </c>
      <c r="S37" s="709">
        <f t="shared" si="10"/>
        <v>100</v>
      </c>
      <c r="T37" s="708" t="s">
        <v>14</v>
      </c>
      <c r="U37" s="709">
        <f t="shared" si="11"/>
        <v>100</v>
      </c>
      <c r="V37" s="708" t="s">
        <v>14</v>
      </c>
      <c r="W37" s="709">
        <f t="shared" si="12"/>
        <v>100</v>
      </c>
      <c r="X37" s="710"/>
      <c r="Y37" s="379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96"/>
      <c r="Q38" s="1352" t="str">
        <f>B38</f>
        <v>宗地面积</v>
      </c>
      <c r="R38" s="705" t="s">
        <v>14</v>
      </c>
      <c r="S38" s="706" t="e">
        <f t="shared" si="10"/>
        <v>#N/A</v>
      </c>
      <c r="T38" s="705" t="s">
        <v>14</v>
      </c>
      <c r="U38" s="706" t="e">
        <f t="shared" si="11"/>
        <v>#N/A</v>
      </c>
      <c r="V38" s="705" t="s">
        <v>14</v>
      </c>
      <c r="W38" s="706" t="e">
        <f t="shared" si="12"/>
        <v>#N/A</v>
      </c>
      <c r="X38" s="1355"/>
      <c r="Y38" s="3796"/>
      <c r="Z38" s="1356" t="str">
        <f t="shared" si="13"/>
        <v>宗地面积</v>
      </c>
      <c r="AA38" s="1353" t="e">
        <f t="shared" si="3"/>
        <v>#N/A</v>
      </c>
      <c r="AB38" s="1353" t="e">
        <f t="shared" si="4"/>
        <v>#N/A</v>
      </c>
      <c r="AC38" s="1353"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96"/>
      <c r="Q39" s="1352" t="str">
        <f t="shared" ref="Q39:Q45" si="14">B39</f>
        <v>宗地形状</v>
      </c>
      <c r="R39" s="705" t="s">
        <v>14</v>
      </c>
      <c r="S39" s="706">
        <f t="shared" si="10"/>
        <v>100</v>
      </c>
      <c r="T39" s="705" t="s">
        <v>14</v>
      </c>
      <c r="U39" s="706">
        <f t="shared" si="11"/>
        <v>100</v>
      </c>
      <c r="V39" s="705" t="s">
        <v>14</v>
      </c>
      <c r="W39" s="706">
        <f t="shared" si="12"/>
        <v>100</v>
      </c>
      <c r="X39" s="1355"/>
      <c r="Y39" s="3796"/>
      <c r="Z39" s="1356" t="str">
        <f t="shared" si="13"/>
        <v>宗地形状</v>
      </c>
      <c r="AA39" s="1353">
        <f t="shared" si="3"/>
        <v>1</v>
      </c>
      <c r="AB39" s="1353">
        <f t="shared" si="4"/>
        <v>1</v>
      </c>
      <c r="AC39" s="1353">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96"/>
      <c r="Q40" s="1352" t="str">
        <f t="shared" si="14"/>
        <v>临街宽度及深度</v>
      </c>
      <c r="R40" s="705" t="s">
        <v>14</v>
      </c>
      <c r="S40" s="706">
        <f t="shared" si="10"/>
        <v>100</v>
      </c>
      <c r="T40" s="705" t="s">
        <v>14</v>
      </c>
      <c r="U40" s="706">
        <f t="shared" si="11"/>
        <v>100</v>
      </c>
      <c r="V40" s="705" t="s">
        <v>14</v>
      </c>
      <c r="W40" s="706">
        <f t="shared" si="12"/>
        <v>100</v>
      </c>
      <c r="X40" s="1355"/>
      <c r="Y40" s="3796"/>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96"/>
      <c r="Q41" s="1352" t="str">
        <f t="shared" si="14"/>
        <v>宗地开发程度</v>
      </c>
      <c r="R41" s="701" t="s">
        <v>14</v>
      </c>
      <c r="S41" s="702">
        <f t="shared" si="10"/>
        <v>100</v>
      </c>
      <c r="T41" s="701" t="s">
        <v>14</v>
      </c>
      <c r="U41" s="702">
        <f t="shared" si="11"/>
        <v>100</v>
      </c>
      <c r="V41" s="701" t="s">
        <v>14</v>
      </c>
      <c r="W41" s="702">
        <f t="shared" si="12"/>
        <v>100</v>
      </c>
      <c r="X41" s="703"/>
      <c r="Y41" s="3796"/>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96" t="s">
        <v>1696</v>
      </c>
      <c r="Q42" s="1352" t="str">
        <f t="shared" si="14"/>
        <v>工程地质条件</v>
      </c>
      <c r="R42" s="705" t="s">
        <v>14</v>
      </c>
      <c r="S42" s="706">
        <f t="shared" si="10"/>
        <v>100</v>
      </c>
      <c r="T42" s="705" t="s">
        <v>14</v>
      </c>
      <c r="U42" s="706">
        <f t="shared" si="11"/>
        <v>100</v>
      </c>
      <c r="V42" s="705" t="s">
        <v>14</v>
      </c>
      <c r="W42" s="706">
        <f t="shared" si="12"/>
        <v>100</v>
      </c>
      <c r="X42" s="1355"/>
      <c r="Y42" s="379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96"/>
      <c r="Q43" s="1352">
        <f t="shared" si="14"/>
        <v>111</v>
      </c>
      <c r="R43" s="705" t="s">
        <v>14</v>
      </c>
      <c r="S43" s="706">
        <f t="shared" si="10"/>
        <v>100</v>
      </c>
      <c r="T43" s="705" t="s">
        <v>14</v>
      </c>
      <c r="U43" s="706">
        <f t="shared" si="11"/>
        <v>100</v>
      </c>
      <c r="V43" s="705" t="s">
        <v>14</v>
      </c>
      <c r="W43" s="706">
        <f t="shared" si="12"/>
        <v>100</v>
      </c>
      <c r="X43" s="1355"/>
      <c r="Y43" s="379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96"/>
      <c r="Q44" s="1352">
        <f t="shared" si="14"/>
        <v>111</v>
      </c>
      <c r="R44" s="705" t="s">
        <v>14</v>
      </c>
      <c r="S44" s="706">
        <f t="shared" si="10"/>
        <v>100</v>
      </c>
      <c r="T44" s="705" t="s">
        <v>14</v>
      </c>
      <c r="U44" s="706">
        <f t="shared" si="11"/>
        <v>100</v>
      </c>
      <c r="V44" s="705" t="s">
        <v>14</v>
      </c>
      <c r="W44" s="706">
        <f t="shared" si="12"/>
        <v>100</v>
      </c>
      <c r="X44" s="1355"/>
      <c r="Y44" s="3796"/>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96"/>
      <c r="Q45" s="1352">
        <f t="shared" si="14"/>
        <v>111</v>
      </c>
      <c r="R45" s="708" t="s">
        <v>14</v>
      </c>
      <c r="S45" s="709">
        <f t="shared" si="10"/>
        <v>100</v>
      </c>
      <c r="T45" s="708" t="s">
        <v>14</v>
      </c>
      <c r="U45" s="709">
        <f t="shared" si="11"/>
        <v>100</v>
      </c>
      <c r="V45" s="708" t="s">
        <v>14</v>
      </c>
      <c r="W45" s="709">
        <f t="shared" si="12"/>
        <v>100</v>
      </c>
      <c r="X45" s="710"/>
      <c r="Y45" s="3796"/>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22"/>
      <c r="M46" s="2723"/>
      <c r="N46" s="2714"/>
      <c r="O46" s="2723"/>
      <c r="P46" s="3789" t="str">
        <f>A46</f>
        <v>成交单价</v>
      </c>
      <c r="Q46" s="3789"/>
      <c r="R46" s="3820">
        <f>E46</f>
        <v>0</v>
      </c>
      <c r="S46" s="3820"/>
      <c r="T46" s="3820">
        <f>G46</f>
        <v>0</v>
      </c>
      <c r="U46" s="3820"/>
      <c r="V46" s="3820">
        <f>I46</f>
        <v>0</v>
      </c>
      <c r="W46" s="3820"/>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789" t="str">
        <f>A47</f>
        <v>比较价值（元/平方米）</v>
      </c>
      <c r="Q47" s="3789"/>
      <c r="R47" s="3849" t="e">
        <f>ROUND(PRODUCT(R46,AA7:AA45),0)</f>
        <v>#DIV/0!</v>
      </c>
      <c r="S47" s="3849"/>
      <c r="T47" s="3849" t="e">
        <f>ROUND(PRODUCT(T46,AB7:AB45),0)</f>
        <v>#DIV/0!</v>
      </c>
      <c r="U47" s="3849"/>
      <c r="V47" s="3849" t="e">
        <f>ROUND(PRODUCT(V46,AC7:AC45),0)</f>
        <v>#DIV/0!</v>
      </c>
      <c r="W47" s="384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86" t="str">
        <f>A48</f>
        <v>估价对象XX用房的比较价值（楼面单价，元/平方米）</v>
      </c>
      <c r="Q48" s="3787"/>
      <c r="R48" s="3850" t="e">
        <f>ROUND(IF(D47="简单平均",AVERAGE(R47:W47),R47*F47+T47*H47+V47*J47),0)</f>
        <v>#DIV/0!</v>
      </c>
      <c r="S48" s="3850"/>
      <c r="T48" s="3850"/>
      <c r="U48" s="3850"/>
      <c r="V48" s="3850"/>
      <c r="W48" s="3850"/>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804" t="s">
        <v>1887</v>
      </c>
      <c r="H55" s="385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45840.45</v>
      </c>
      <c r="F56" s="886" t="e">
        <f t="shared" ref="F56:F64" si="15">ROUND(B56*E56/10000,0)</f>
        <v>#DIV/0!</v>
      </c>
      <c r="G56" s="3800"/>
      <c r="H56" s="3789"/>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0.7</v>
      </c>
      <c r="D57" s="945">
        <v>0.25</v>
      </c>
      <c r="E57" s="642"/>
      <c r="F57" s="886" t="e">
        <f t="shared" si="15"/>
        <v>#DIV/0!</v>
      </c>
      <c r="G57" s="3004" t="s">
        <v>1892</v>
      </c>
      <c r="H57" s="887" t="str">
        <f>项目基本情况!B37</f>
        <v>二级</v>
      </c>
      <c r="I57" s="891">
        <f>SUMIF(修正!A57:A68,H57,修正!B57:B68)</f>
        <v>0.7</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0.4</v>
      </c>
      <c r="D58" s="945">
        <v>0.25</v>
      </c>
      <c r="E58" s="642"/>
      <c r="F58" s="886" t="e">
        <f t="shared" si="15"/>
        <v>#DIV/0!</v>
      </c>
      <c r="G58" s="3005"/>
      <c r="H58" s="887" t="str">
        <f>项目基本情况!B37</f>
        <v>二级</v>
      </c>
      <c r="I58" s="891">
        <f>SUMIF(修正!A57:A68,H58,修正!C57:C68)</f>
        <v>0.4</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0.3</v>
      </c>
      <c r="D59" s="945">
        <v>0.25</v>
      </c>
      <c r="E59" s="642"/>
      <c r="F59" s="886" t="e">
        <f t="shared" si="15"/>
        <v>#DIV/0!</v>
      </c>
      <c r="G59" s="3005"/>
      <c r="H59" s="887" t="str">
        <f>项目基本情况!B37</f>
        <v>二级</v>
      </c>
      <c r="I59" s="891">
        <f>SUMIF(修正!A57:A68,H59,修正!D57:D68)</f>
        <v>0.3</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0.2</v>
      </c>
      <c r="D63" s="945">
        <v>0.25</v>
      </c>
      <c r="E63" s="217">
        <f>'数据-汇总表'!E14</f>
        <v>0</v>
      </c>
      <c r="F63" s="886" t="e">
        <f t="shared" si="15"/>
        <v>#DIV/0!</v>
      </c>
      <c r="G63" s="1985" t="s">
        <v>1892</v>
      </c>
      <c r="H63" s="887" t="str">
        <f>项目基本情况!B37</f>
        <v>二级</v>
      </c>
      <c r="I63" s="891">
        <f>SUMIF(修正!A57:A68,H63,修正!G57:G68)</f>
        <v>0.2</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45840.45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804" t="s">
        <v>1770</v>
      </c>
      <c r="D4" s="3805"/>
      <c r="E4" s="3806" t="s">
        <v>1771</v>
      </c>
      <c r="F4" s="3807"/>
      <c r="G4" s="3804" t="s">
        <v>1772</v>
      </c>
      <c r="H4" s="3805"/>
      <c r="I4" s="3804" t="s">
        <v>1773</v>
      </c>
      <c r="J4" s="3805"/>
      <c r="K4" s="559" t="s">
        <v>1774</v>
      </c>
      <c r="L4" s="2713"/>
      <c r="M4" s="2714"/>
      <c r="N4" s="2714"/>
      <c r="O4" s="2714"/>
      <c r="P4" s="3808" t="s">
        <v>1775</v>
      </c>
      <c r="Q4" s="3809"/>
      <c r="R4" s="3814" t="s">
        <v>1771</v>
      </c>
      <c r="S4" s="3815"/>
      <c r="T4" s="3814" t="s">
        <v>1772</v>
      </c>
      <c r="U4" s="3815"/>
      <c r="V4" s="3820" t="s">
        <v>1773</v>
      </c>
      <c r="W4" s="3820"/>
      <c r="X4" s="1355"/>
      <c r="Y4" s="3814" t="s">
        <v>1775</v>
      </c>
      <c r="Z4" s="3815"/>
      <c r="AA4" s="3801" t="s">
        <v>1771</v>
      </c>
      <c r="AB4" s="3802" t="s">
        <v>1772</v>
      </c>
      <c r="AC4" s="3801" t="s">
        <v>1773</v>
      </c>
    </row>
    <row r="5" spans="1:29" ht="15">
      <c r="A5" s="358"/>
      <c r="B5" s="359"/>
      <c r="C5" s="3823" t="s">
        <v>1673</v>
      </c>
      <c r="D5" s="3824"/>
      <c r="E5" s="3830" t="s">
        <v>1674</v>
      </c>
      <c r="F5" s="3831"/>
      <c r="G5" s="3823" t="s">
        <v>1675</v>
      </c>
      <c r="H5" s="3824"/>
      <c r="I5" s="3823" t="s">
        <v>1676</v>
      </c>
      <c r="J5" s="3824"/>
      <c r="K5" s="559"/>
      <c r="L5" s="2713"/>
      <c r="M5" s="2714"/>
      <c r="N5" s="2714"/>
      <c r="O5" s="2714"/>
      <c r="P5" s="3810"/>
      <c r="Q5" s="3811"/>
      <c r="R5" s="3816"/>
      <c r="S5" s="3817"/>
      <c r="T5" s="3816"/>
      <c r="U5" s="3817"/>
      <c r="V5" s="3820"/>
      <c r="W5" s="3820"/>
      <c r="X5" s="1355"/>
      <c r="Y5" s="3816"/>
      <c r="Z5" s="3817"/>
      <c r="AA5" s="3802"/>
      <c r="AB5" s="3802"/>
      <c r="AC5" s="3802"/>
    </row>
    <row r="6" spans="1:29" ht="15.75" thickBot="1">
      <c r="A6" s="360"/>
      <c r="B6" s="361"/>
      <c r="C6" s="3852" t="s">
        <v>1919</v>
      </c>
      <c r="D6" s="3853"/>
      <c r="E6" s="3854" t="s">
        <v>1919</v>
      </c>
      <c r="F6" s="3855"/>
      <c r="G6" s="3852" t="s">
        <v>1919</v>
      </c>
      <c r="H6" s="3853"/>
      <c r="I6" s="3852" t="s">
        <v>1919</v>
      </c>
      <c r="J6" s="3853"/>
      <c r="K6" s="559" t="s">
        <v>1678</v>
      </c>
      <c r="L6" s="2713"/>
      <c r="M6" s="2714"/>
      <c r="N6" s="2714"/>
      <c r="O6" s="2714"/>
      <c r="P6" s="3812"/>
      <c r="Q6" s="3813"/>
      <c r="R6" s="3816"/>
      <c r="S6" s="3817"/>
      <c r="T6" s="3818"/>
      <c r="U6" s="3819"/>
      <c r="V6" s="3820"/>
      <c r="W6" s="3820"/>
      <c r="X6" s="1355"/>
      <c r="Y6" s="3818"/>
      <c r="Z6" s="3819"/>
      <c r="AA6" s="3803"/>
      <c r="AB6" s="3803"/>
      <c r="AC6" s="3803"/>
    </row>
    <row r="7" spans="1:29" s="108" customFormat="1" ht="15.75" thickBot="1">
      <c r="A7" s="362" t="s">
        <v>1679</v>
      </c>
      <c r="B7" s="363"/>
      <c r="C7" s="364">
        <f>'数据-取费表'!B2</f>
        <v>45040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825" t="s">
        <v>1680</v>
      </c>
      <c r="Q7" s="3827"/>
      <c r="R7" s="701" t="s">
        <v>14</v>
      </c>
      <c r="S7" s="702">
        <f t="shared" ref="S7:S15" si="0">F7</f>
        <v>0</v>
      </c>
      <c r="T7" s="701" t="s">
        <v>14</v>
      </c>
      <c r="U7" s="702">
        <f t="shared" ref="U7:U15" si="1">H7</f>
        <v>0</v>
      </c>
      <c r="V7" s="701" t="s">
        <v>14</v>
      </c>
      <c r="W7" s="702">
        <f t="shared" ref="W7:W15" si="2">J7</f>
        <v>0</v>
      </c>
      <c r="X7" s="703"/>
      <c r="Y7" s="3825" t="s">
        <v>1680</v>
      </c>
      <c r="Z7" s="382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25" t="s">
        <v>1683</v>
      </c>
      <c r="Q8" s="3826"/>
      <c r="R8" s="701" t="s">
        <v>14</v>
      </c>
      <c r="S8" s="702">
        <f t="shared" si="0"/>
        <v>0</v>
      </c>
      <c r="T8" s="701" t="s">
        <v>14</v>
      </c>
      <c r="U8" s="702">
        <f t="shared" si="1"/>
        <v>0</v>
      </c>
      <c r="V8" s="701" t="s">
        <v>14</v>
      </c>
      <c r="W8" s="702">
        <f t="shared" si="2"/>
        <v>0</v>
      </c>
      <c r="X8" s="703"/>
      <c r="Y8" s="3825" t="s">
        <v>1683</v>
      </c>
      <c r="Z8" s="3826"/>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89"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196</v>
      </c>
      <c r="G10" s="383"/>
      <c r="H10" s="127">
        <f>ROUND(100/'数据-取费表'!G16,0)</f>
        <v>196</v>
      </c>
      <c r="I10" s="383"/>
      <c r="J10" s="127">
        <f>ROUND(100/'数据-取费表'!G16,0)</f>
        <v>196</v>
      </c>
      <c r="K10" s="620"/>
      <c r="L10" s="2717"/>
      <c r="M10" s="2718"/>
      <c r="N10" s="2718"/>
      <c r="O10" s="2771"/>
      <c r="P10" s="3789"/>
      <c r="Q10" s="1343" t="str">
        <f t="shared" si="6"/>
        <v>土地使用年限（年）</v>
      </c>
      <c r="R10" s="701" t="s">
        <v>14</v>
      </c>
      <c r="S10" s="702">
        <f t="shared" si="0"/>
        <v>196</v>
      </c>
      <c r="T10" s="701" t="s">
        <v>14</v>
      </c>
      <c r="U10" s="702">
        <f t="shared" si="1"/>
        <v>196</v>
      </c>
      <c r="V10" s="701" t="s">
        <v>14</v>
      </c>
      <c r="W10" s="702">
        <f t="shared" si="2"/>
        <v>196</v>
      </c>
      <c r="X10" s="703"/>
      <c r="Y10" s="3645"/>
      <c r="Z10" s="52" t="str">
        <f t="shared" si="7"/>
        <v>土地使用年限（年）</v>
      </c>
      <c r="AA10" s="704">
        <f t="shared" si="3"/>
        <v>0.51020408163265307</v>
      </c>
      <c r="AB10" s="704">
        <f t="shared" si="4"/>
        <v>0.51020408163265307</v>
      </c>
      <c r="AC10" s="704">
        <f t="shared" si="5"/>
        <v>0.51020408163265307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89"/>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89"/>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89"/>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89"/>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91" t="s">
        <v>1691</v>
      </c>
      <c r="Q15" s="1352" t="str">
        <f t="shared" si="6"/>
        <v>产业集聚程度</v>
      </c>
      <c r="R15" s="705" t="s">
        <v>14</v>
      </c>
      <c r="S15" s="706">
        <f t="shared" si="0"/>
        <v>100</v>
      </c>
      <c r="T15" s="705" t="s">
        <v>14</v>
      </c>
      <c r="U15" s="706">
        <f t="shared" si="1"/>
        <v>100</v>
      </c>
      <c r="V15" s="705" t="s">
        <v>14</v>
      </c>
      <c r="W15" s="706">
        <f t="shared" si="2"/>
        <v>100</v>
      </c>
      <c r="X15" s="1355"/>
      <c r="Y15" s="3791" t="s">
        <v>1691</v>
      </c>
      <c r="Z15" s="1356" t="str">
        <f t="shared" si="7"/>
        <v>产业集聚程度</v>
      </c>
      <c r="AA15" s="1353">
        <f t="shared" si="3"/>
        <v>1</v>
      </c>
      <c r="AB15" s="1353">
        <f t="shared" si="4"/>
        <v>1</v>
      </c>
      <c r="AC15" s="1353">
        <f t="shared" si="5"/>
        <v>1</v>
      </c>
    </row>
    <row r="16" spans="1:29" ht="15">
      <c r="A16" s="379"/>
      <c r="B16" s="578"/>
      <c r="C16" s="398"/>
      <c r="D16" s="399"/>
      <c r="E16" s="1902"/>
      <c r="F16" s="399"/>
      <c r="G16" s="1902"/>
      <c r="H16" s="401"/>
      <c r="I16" s="1902"/>
      <c r="J16" s="399"/>
      <c r="K16" s="620"/>
      <c r="L16" s="2720"/>
      <c r="M16" s="2714"/>
      <c r="N16" s="2714"/>
      <c r="O16" s="2772"/>
      <c r="P16" s="3792"/>
      <c r="Q16" s="1352"/>
      <c r="R16" s="705"/>
      <c r="S16" s="706"/>
      <c r="T16" s="705"/>
      <c r="U16" s="706"/>
      <c r="V16" s="705"/>
      <c r="W16" s="706"/>
      <c r="X16" s="1355"/>
      <c r="Y16" s="3792"/>
      <c r="Z16" s="1356"/>
      <c r="AA16" s="1353">
        <v>1</v>
      </c>
      <c r="AB16" s="1353">
        <v>1</v>
      </c>
      <c r="AC16" s="1353">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92"/>
      <c r="Q17" s="1352" t="str">
        <f>B17</f>
        <v>交通便捷度</v>
      </c>
      <c r="R17" s="705" t="s">
        <v>14</v>
      </c>
      <c r="S17" s="706">
        <f>F17</f>
        <v>100</v>
      </c>
      <c r="T17" s="705" t="s">
        <v>14</v>
      </c>
      <c r="U17" s="706">
        <f>H17</f>
        <v>100</v>
      </c>
      <c r="V17" s="705" t="s">
        <v>14</v>
      </c>
      <c r="W17" s="706">
        <f>J17</f>
        <v>100</v>
      </c>
      <c r="X17" s="1355"/>
      <c r="Y17" s="3792"/>
      <c r="Z17" s="1356" t="str">
        <f>Q17</f>
        <v>交通便捷度</v>
      </c>
      <c r="AA17" s="1353">
        <f t="shared" si="3"/>
        <v>1</v>
      </c>
      <c r="AB17" s="1353">
        <f t="shared" si="4"/>
        <v>1</v>
      </c>
      <c r="AC17" s="1353">
        <f t="shared" si="5"/>
        <v>1</v>
      </c>
    </row>
    <row r="18" spans="1:29" ht="15">
      <c r="A18" s="379"/>
      <c r="B18" s="580"/>
      <c r="C18" s="398"/>
      <c r="D18" s="399"/>
      <c r="E18" s="1896"/>
      <c r="F18" s="399"/>
      <c r="G18" s="1896"/>
      <c r="H18" s="399"/>
      <c r="I18" s="1895"/>
      <c r="J18" s="399"/>
      <c r="K18" s="620"/>
      <c r="L18" s="2720"/>
      <c r="M18" s="2714"/>
      <c r="N18" s="2714"/>
      <c r="O18" s="2772"/>
      <c r="P18" s="3792"/>
      <c r="Q18" s="1352"/>
      <c r="R18" s="705"/>
      <c r="S18" s="706"/>
      <c r="T18" s="705"/>
      <c r="U18" s="706"/>
      <c r="V18" s="705"/>
      <c r="W18" s="706"/>
      <c r="X18" s="1355"/>
      <c r="Y18" s="3792"/>
      <c r="Z18" s="1356"/>
      <c r="AA18" s="1353">
        <v>1</v>
      </c>
      <c r="AB18" s="1353">
        <v>1</v>
      </c>
      <c r="AC18" s="1353">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92"/>
      <c r="Q19" s="1352" t="str">
        <f t="shared" ref="Q19:Q33" si="8">B19</f>
        <v>区域土地利用方向</v>
      </c>
      <c r="R19" s="705" t="s">
        <v>14</v>
      </c>
      <c r="S19" s="706">
        <f>F19</f>
        <v>100</v>
      </c>
      <c r="T19" s="705" t="s">
        <v>14</v>
      </c>
      <c r="U19" s="706">
        <f>H19</f>
        <v>100</v>
      </c>
      <c r="V19" s="705" t="s">
        <v>14</v>
      </c>
      <c r="W19" s="706">
        <f>J19</f>
        <v>100</v>
      </c>
      <c r="X19" s="1355"/>
      <c r="Y19" s="3792"/>
      <c r="Z19" s="1356" t="str">
        <f>Q19</f>
        <v>区域土地利用方向</v>
      </c>
      <c r="AA19" s="1353">
        <f t="shared" si="3"/>
        <v>1</v>
      </c>
      <c r="AB19" s="1353">
        <f t="shared" si="4"/>
        <v>1</v>
      </c>
      <c r="AC19" s="1353">
        <f t="shared" si="5"/>
        <v>1</v>
      </c>
    </row>
    <row r="20" spans="1:29" ht="15">
      <c r="A20" s="358"/>
      <c r="B20" s="580"/>
      <c r="C20" s="398"/>
      <c r="D20" s="399"/>
      <c r="E20" s="1896"/>
      <c r="F20" s="399"/>
      <c r="G20" s="1896"/>
      <c r="H20" s="399"/>
      <c r="I20" s="1896"/>
      <c r="J20" s="399"/>
      <c r="K20" s="740"/>
      <c r="L20" s="2720"/>
      <c r="M20" s="2714"/>
      <c r="N20" s="2714"/>
      <c r="O20" s="2772"/>
      <c r="P20" s="3792"/>
      <c r="Q20" s="1352"/>
      <c r="R20" s="705"/>
      <c r="S20" s="706"/>
      <c r="T20" s="705"/>
      <c r="U20" s="706"/>
      <c r="V20" s="705"/>
      <c r="W20" s="706"/>
      <c r="X20" s="1355"/>
      <c r="Y20" s="3792"/>
      <c r="Z20" s="1356"/>
      <c r="AA20" s="1353"/>
      <c r="AB20" s="1353"/>
      <c r="AC20" s="1353"/>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92"/>
      <c r="Q21" s="1352" t="str">
        <f t="shared" si="8"/>
        <v>环境状况</v>
      </c>
      <c r="R21" s="705" t="s">
        <v>14</v>
      </c>
      <c r="S21" s="706">
        <f>F21</f>
        <v>100</v>
      </c>
      <c r="T21" s="705" t="s">
        <v>14</v>
      </c>
      <c r="U21" s="706">
        <f>H21</f>
        <v>100</v>
      </c>
      <c r="V21" s="705" t="s">
        <v>14</v>
      </c>
      <c r="W21" s="706">
        <f>J21</f>
        <v>100</v>
      </c>
      <c r="X21" s="1355"/>
      <c r="Y21" s="3792"/>
      <c r="Z21" s="1356" t="str">
        <f>Q21</f>
        <v>环境状况</v>
      </c>
      <c r="AA21" s="1353">
        <f t="shared" si="3"/>
        <v>1</v>
      </c>
      <c r="AB21" s="1353">
        <f t="shared" si="4"/>
        <v>1</v>
      </c>
      <c r="AC21" s="1353">
        <f t="shared" si="5"/>
        <v>1</v>
      </c>
    </row>
    <row r="22" spans="1:29" ht="15">
      <c r="A22" s="358"/>
      <c r="B22" s="580"/>
      <c r="C22" s="398"/>
      <c r="D22" s="399"/>
      <c r="E22" s="1902"/>
      <c r="F22" s="399"/>
      <c r="G22" s="1902"/>
      <c r="H22" s="399"/>
      <c r="I22" s="398"/>
      <c r="J22" s="399"/>
      <c r="K22" s="620"/>
      <c r="L22" s="2720"/>
      <c r="M22" s="2714"/>
      <c r="N22" s="2714"/>
      <c r="O22" s="2772"/>
      <c r="P22" s="3792"/>
      <c r="Q22" s="1352"/>
      <c r="R22" s="705"/>
      <c r="S22" s="706"/>
      <c r="T22" s="705"/>
      <c r="U22" s="706"/>
      <c r="V22" s="705"/>
      <c r="W22" s="706"/>
      <c r="X22" s="1355"/>
      <c r="Y22" s="3792"/>
      <c r="Z22" s="1356"/>
      <c r="AA22" s="1353">
        <v>1</v>
      </c>
      <c r="AB22" s="1353">
        <v>1</v>
      </c>
      <c r="AC22" s="1353">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92"/>
      <c r="Q23" s="1343" t="str">
        <f t="shared" si="8"/>
        <v>公共配套设施</v>
      </c>
      <c r="R23" s="701" t="s">
        <v>14</v>
      </c>
      <c r="S23" s="702">
        <f>F23</f>
        <v>100</v>
      </c>
      <c r="T23" s="701" t="s">
        <v>14</v>
      </c>
      <c r="U23" s="702">
        <f>H23</f>
        <v>100</v>
      </c>
      <c r="V23" s="701" t="s">
        <v>14</v>
      </c>
      <c r="W23" s="702">
        <f>J23</f>
        <v>100</v>
      </c>
      <c r="X23" s="703"/>
      <c r="Y23" s="3792"/>
      <c r="Z23" s="52" t="str">
        <f>Q23</f>
        <v>公共配套设施</v>
      </c>
      <c r="AA23" s="1353">
        <f>D23/F23</f>
        <v>1</v>
      </c>
      <c r="AB23" s="1353">
        <f>D23/H23</f>
        <v>1</v>
      </c>
      <c r="AC23" s="1353">
        <f>D23/J23</f>
        <v>1</v>
      </c>
    </row>
    <row r="24" spans="1:29" s="108" customFormat="1" ht="15">
      <c r="A24" s="597"/>
      <c r="B24" s="580"/>
      <c r="C24" s="1976"/>
      <c r="D24" s="399"/>
      <c r="E24" s="1902"/>
      <c r="F24" s="399"/>
      <c r="G24" s="1902"/>
      <c r="H24" s="399"/>
      <c r="I24" s="398"/>
      <c r="J24" s="399"/>
      <c r="K24" s="620"/>
      <c r="L24" s="2715"/>
      <c r="M24" s="2716"/>
      <c r="N24" s="2716"/>
      <c r="O24" s="2770"/>
      <c r="P24" s="3792"/>
      <c r="Q24" s="1343"/>
      <c r="R24" s="701"/>
      <c r="S24" s="702"/>
      <c r="T24" s="701"/>
      <c r="U24" s="702"/>
      <c r="V24" s="701"/>
      <c r="W24" s="702"/>
      <c r="X24" s="703"/>
      <c r="Y24" s="3792"/>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92"/>
      <c r="Q25" s="1343" t="str">
        <f t="shared" ref="Q25" si="9">B25</f>
        <v>基础设施水平</v>
      </c>
      <c r="R25" s="701" t="s">
        <v>14</v>
      </c>
      <c r="S25" s="702">
        <f>F25</f>
        <v>100</v>
      </c>
      <c r="T25" s="701" t="s">
        <v>14</v>
      </c>
      <c r="U25" s="702">
        <f>H25</f>
        <v>100</v>
      </c>
      <c r="V25" s="701" t="s">
        <v>14</v>
      </c>
      <c r="W25" s="702">
        <f>J25</f>
        <v>100</v>
      </c>
      <c r="X25" s="703"/>
      <c r="Y25" s="3792"/>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792"/>
      <c r="Q26" s="1343"/>
      <c r="R26" s="701"/>
      <c r="S26" s="702"/>
      <c r="T26" s="701"/>
      <c r="U26" s="702"/>
      <c r="V26" s="701"/>
      <c r="W26" s="702"/>
      <c r="X26" s="703"/>
      <c r="Y26" s="379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9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92"/>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92"/>
      <c r="Q28" s="1352" t="str">
        <f t="shared" si="8"/>
        <v>毗邻道路的类型与等级</v>
      </c>
      <c r="R28" s="705" t="s">
        <v>14</v>
      </c>
      <c r="S28" s="706">
        <f t="shared" si="10"/>
        <v>100</v>
      </c>
      <c r="T28" s="705" t="s">
        <v>14</v>
      </c>
      <c r="U28" s="706">
        <f t="shared" si="11"/>
        <v>100</v>
      </c>
      <c r="V28" s="705" t="s">
        <v>14</v>
      </c>
      <c r="W28" s="706">
        <f t="shared" si="12"/>
        <v>100</v>
      </c>
      <c r="X28" s="1355"/>
      <c r="Y28" s="3792"/>
      <c r="Z28" s="1356" t="str">
        <f t="shared" si="13"/>
        <v>毗邻道路的类型与等级</v>
      </c>
      <c r="AA28" s="1353">
        <f t="shared" si="3"/>
        <v>1</v>
      </c>
      <c r="AB28" s="1353">
        <f t="shared" si="4"/>
        <v>1</v>
      </c>
      <c r="AC28" s="1353">
        <f t="shared" si="5"/>
        <v>1</v>
      </c>
    </row>
    <row r="29" spans="1:29" ht="15">
      <c r="A29" s="379"/>
      <c r="B29" s="580"/>
      <c r="C29" s="398"/>
      <c r="D29" s="399"/>
      <c r="E29" s="1902"/>
      <c r="F29" s="399"/>
      <c r="G29" s="1902"/>
      <c r="H29" s="399"/>
      <c r="I29" s="1902"/>
      <c r="J29" s="399"/>
      <c r="K29" s="562"/>
      <c r="L29" s="2720"/>
      <c r="M29" s="2714"/>
      <c r="N29" s="2714"/>
      <c r="O29" s="2772"/>
      <c r="P29" s="3792"/>
      <c r="Q29" s="1352"/>
      <c r="R29" s="705"/>
      <c r="S29" s="706"/>
      <c r="T29" s="705"/>
      <c r="U29" s="706"/>
      <c r="V29" s="705"/>
      <c r="W29" s="706"/>
      <c r="X29" s="1355"/>
      <c r="Y29" s="379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92"/>
      <c r="Q30" s="1352" t="str">
        <f t="shared" si="8"/>
        <v>土地级别</v>
      </c>
      <c r="R30" s="705" t="s">
        <v>14</v>
      </c>
      <c r="S30" s="706">
        <f t="shared" si="10"/>
        <v>100</v>
      </c>
      <c r="T30" s="705" t="s">
        <v>14</v>
      </c>
      <c r="U30" s="706">
        <f t="shared" si="11"/>
        <v>100</v>
      </c>
      <c r="V30" s="705" t="s">
        <v>14</v>
      </c>
      <c r="W30" s="706">
        <f t="shared" si="12"/>
        <v>100</v>
      </c>
      <c r="X30" s="1355"/>
      <c r="Y30" s="3792"/>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92"/>
      <c r="Q31" s="1352">
        <f t="shared" si="8"/>
        <v>111</v>
      </c>
      <c r="R31" s="705" t="s">
        <v>14</v>
      </c>
      <c r="S31" s="706">
        <f t="shared" si="10"/>
        <v>100</v>
      </c>
      <c r="T31" s="705" t="s">
        <v>14</v>
      </c>
      <c r="U31" s="706">
        <f t="shared" si="11"/>
        <v>100</v>
      </c>
      <c r="V31" s="705" t="s">
        <v>14</v>
      </c>
      <c r="W31" s="706">
        <f t="shared" si="12"/>
        <v>100</v>
      </c>
      <c r="X31" s="1355"/>
      <c r="Y31" s="3792"/>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47" t="s">
        <v>1696</v>
      </c>
      <c r="Q32" s="1352">
        <f t="shared" si="8"/>
        <v>111</v>
      </c>
      <c r="R32" s="705" t="s">
        <v>14</v>
      </c>
      <c r="S32" s="706">
        <f t="shared" si="10"/>
        <v>100</v>
      </c>
      <c r="T32" s="705" t="s">
        <v>14</v>
      </c>
      <c r="U32" s="706">
        <f t="shared" si="11"/>
        <v>100</v>
      </c>
      <c r="V32" s="705" t="s">
        <v>14</v>
      </c>
      <c r="W32" s="706">
        <f t="shared" si="12"/>
        <v>100</v>
      </c>
      <c r="X32" s="1355"/>
      <c r="Y32" s="3796"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96"/>
      <c r="Q33" s="1352">
        <f t="shared" si="8"/>
        <v>111</v>
      </c>
      <c r="R33" s="708" t="s">
        <v>14</v>
      </c>
      <c r="S33" s="709">
        <f t="shared" si="10"/>
        <v>100</v>
      </c>
      <c r="T33" s="708" t="s">
        <v>14</v>
      </c>
      <c r="U33" s="709">
        <f t="shared" si="11"/>
        <v>100</v>
      </c>
      <c r="V33" s="708" t="s">
        <v>14</v>
      </c>
      <c r="W33" s="709">
        <f t="shared" si="12"/>
        <v>100</v>
      </c>
      <c r="X33" s="710"/>
      <c r="Y33" s="379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96"/>
      <c r="Q34" s="1352" t="str">
        <f>B34</f>
        <v>宗地面积</v>
      </c>
      <c r="R34" s="705" t="s">
        <v>14</v>
      </c>
      <c r="S34" s="706" t="e">
        <f t="shared" si="10"/>
        <v>#N/A</v>
      </c>
      <c r="T34" s="705" t="s">
        <v>14</v>
      </c>
      <c r="U34" s="706" t="e">
        <f t="shared" si="11"/>
        <v>#N/A</v>
      </c>
      <c r="V34" s="705" t="s">
        <v>14</v>
      </c>
      <c r="W34" s="706" t="e">
        <f t="shared" si="12"/>
        <v>#N/A</v>
      </c>
      <c r="X34" s="1355"/>
      <c r="Y34" s="3796"/>
      <c r="Z34" s="1356" t="str">
        <f t="shared" si="13"/>
        <v>宗地面积</v>
      </c>
      <c r="AA34" s="1353" t="e">
        <f t="shared" si="3"/>
        <v>#N/A</v>
      </c>
      <c r="AB34" s="1353" t="e">
        <f t="shared" si="4"/>
        <v>#N/A</v>
      </c>
      <c r="AC34" s="1353"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96"/>
      <c r="Q35" s="1352" t="str">
        <f t="shared" ref="Q35:Q40" si="14">B35</f>
        <v>宗地形状</v>
      </c>
      <c r="R35" s="705" t="s">
        <v>14</v>
      </c>
      <c r="S35" s="706">
        <f t="shared" si="10"/>
        <v>100</v>
      </c>
      <c r="T35" s="705" t="s">
        <v>14</v>
      </c>
      <c r="U35" s="706">
        <f t="shared" si="11"/>
        <v>100</v>
      </c>
      <c r="V35" s="705" t="s">
        <v>14</v>
      </c>
      <c r="W35" s="706">
        <f t="shared" si="12"/>
        <v>100</v>
      </c>
      <c r="X35" s="1355"/>
      <c r="Y35" s="3796"/>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96"/>
      <c r="Q36" s="1352" t="str">
        <f t="shared" si="14"/>
        <v>宗地开发程度</v>
      </c>
      <c r="R36" s="701" t="s">
        <v>14</v>
      </c>
      <c r="S36" s="702">
        <f t="shared" si="10"/>
        <v>100</v>
      </c>
      <c r="T36" s="701" t="s">
        <v>14</v>
      </c>
      <c r="U36" s="702">
        <f t="shared" si="11"/>
        <v>100</v>
      </c>
      <c r="V36" s="701" t="s">
        <v>14</v>
      </c>
      <c r="W36" s="702">
        <f t="shared" si="12"/>
        <v>100</v>
      </c>
      <c r="X36" s="703"/>
      <c r="Y36" s="3796"/>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96" t="s">
        <v>1696</v>
      </c>
      <c r="Q37" s="1352" t="str">
        <f t="shared" si="14"/>
        <v>工程地质条件</v>
      </c>
      <c r="R37" s="705" t="s">
        <v>14</v>
      </c>
      <c r="S37" s="706">
        <f t="shared" si="10"/>
        <v>100</v>
      </c>
      <c r="T37" s="705" t="s">
        <v>14</v>
      </c>
      <c r="U37" s="706">
        <f t="shared" si="11"/>
        <v>100</v>
      </c>
      <c r="V37" s="705" t="s">
        <v>14</v>
      </c>
      <c r="W37" s="706">
        <f t="shared" si="12"/>
        <v>100</v>
      </c>
      <c r="X37" s="1355"/>
      <c r="Y37" s="379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96"/>
      <c r="Q38" s="1352">
        <f t="shared" si="14"/>
        <v>111</v>
      </c>
      <c r="R38" s="705" t="s">
        <v>14</v>
      </c>
      <c r="S38" s="706">
        <f t="shared" si="10"/>
        <v>100</v>
      </c>
      <c r="T38" s="705" t="s">
        <v>14</v>
      </c>
      <c r="U38" s="706">
        <f t="shared" si="11"/>
        <v>100</v>
      </c>
      <c r="V38" s="705" t="s">
        <v>14</v>
      </c>
      <c r="W38" s="706">
        <f t="shared" si="12"/>
        <v>100</v>
      </c>
      <c r="X38" s="1355"/>
      <c r="Y38" s="379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96"/>
      <c r="Q39" s="1352">
        <f t="shared" si="14"/>
        <v>111</v>
      </c>
      <c r="R39" s="705" t="s">
        <v>14</v>
      </c>
      <c r="S39" s="706">
        <f t="shared" si="10"/>
        <v>100</v>
      </c>
      <c r="T39" s="705" t="s">
        <v>14</v>
      </c>
      <c r="U39" s="706">
        <f t="shared" si="11"/>
        <v>100</v>
      </c>
      <c r="V39" s="705" t="s">
        <v>14</v>
      </c>
      <c r="W39" s="706">
        <f t="shared" si="12"/>
        <v>100</v>
      </c>
      <c r="X39" s="1355"/>
      <c r="Y39" s="3796"/>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96"/>
      <c r="Q40" s="1352">
        <f t="shared" si="14"/>
        <v>111</v>
      </c>
      <c r="R40" s="708" t="s">
        <v>14</v>
      </c>
      <c r="S40" s="709">
        <f t="shared" si="10"/>
        <v>100</v>
      </c>
      <c r="T40" s="708" t="s">
        <v>14</v>
      </c>
      <c r="U40" s="709">
        <f t="shared" si="11"/>
        <v>100</v>
      </c>
      <c r="V40" s="708" t="s">
        <v>14</v>
      </c>
      <c r="W40" s="709">
        <f t="shared" si="12"/>
        <v>100</v>
      </c>
      <c r="X40" s="710"/>
      <c r="Y40" s="3796"/>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22"/>
      <c r="M41" s="2714"/>
      <c r="N41" s="2714"/>
      <c r="O41" s="2723"/>
      <c r="P41" s="3789" t="str">
        <f>A41</f>
        <v>成交单价</v>
      </c>
      <c r="Q41" s="3789"/>
      <c r="R41" s="3820">
        <f>E41</f>
        <v>0</v>
      </c>
      <c r="S41" s="3820"/>
      <c r="T41" s="3820">
        <f>G41</f>
        <v>0</v>
      </c>
      <c r="U41" s="3820"/>
      <c r="V41" s="3820">
        <f>I41</f>
        <v>0</v>
      </c>
      <c r="W41" s="3820"/>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789" t="str">
        <f>A42</f>
        <v>比较价值（元/平方米）</v>
      </c>
      <c r="Q42" s="3789"/>
      <c r="R42" s="3849" t="e">
        <f>ROUND(PRODUCT(R41,AA7:AA40),0)</f>
        <v>#DIV/0!</v>
      </c>
      <c r="S42" s="3849"/>
      <c r="T42" s="3849" t="e">
        <f>ROUND(PRODUCT(T41,AB7:AB40),0)</f>
        <v>#DIV/0!</v>
      </c>
      <c r="U42" s="3849"/>
      <c r="V42" s="3849" t="e">
        <f>ROUND(PRODUCT(V41,AC7:AC40),0)</f>
        <v>#DIV/0!</v>
      </c>
      <c r="W42" s="384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86" t="str">
        <f>A43</f>
        <v>估价对象XX用房的比较价值（楼面单价，元/平方米）</v>
      </c>
      <c r="Q43" s="3787"/>
      <c r="R43" s="3850" t="e">
        <f>ROUND(IF(D42="简单平均",AVERAGE(R42:W42),R42*F42+T42*H42+V42*J42),0)</f>
        <v>#DIV/0!</v>
      </c>
      <c r="S43" s="3850"/>
      <c r="T43" s="3850"/>
      <c r="U43" s="3850"/>
      <c r="V43" s="3850"/>
      <c r="W43" s="3850"/>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804" t="s">
        <v>1887</v>
      </c>
      <c r="H50" s="3851"/>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45840.45</v>
      </c>
      <c r="F51" s="639" t="e">
        <f t="shared" ref="F51:F60" si="15">ROUND(B51*E51/10000,0)</f>
        <v>#DIV/0!</v>
      </c>
      <c r="G51" s="3800"/>
      <c r="H51" s="3789"/>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0.7</v>
      </c>
      <c r="D52" s="945">
        <v>0.25</v>
      </c>
      <c r="E52" s="642"/>
      <c r="F52" s="639" t="e">
        <f t="shared" si="15"/>
        <v>#DIV/0!</v>
      </c>
      <c r="G52" s="3004" t="s">
        <v>1892</v>
      </c>
      <c r="H52" s="887" t="str">
        <f>项目基本情况!B37</f>
        <v>二级</v>
      </c>
      <c r="I52" s="773">
        <f>SUMIF(修正!A57:A68,H52,修正!B57:B68)</f>
        <v>0.7</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0.4</v>
      </c>
      <c r="D53" s="945">
        <v>0.25</v>
      </c>
      <c r="E53" s="642"/>
      <c r="F53" s="639" t="e">
        <f t="shared" si="15"/>
        <v>#DIV/0!</v>
      </c>
      <c r="G53" s="3005"/>
      <c r="H53" s="887" t="str">
        <f>项目基本情况!B37</f>
        <v>二级</v>
      </c>
      <c r="I53" s="773">
        <f>SUMIF(修正!A57:A68,H53,修正!C57:C68)</f>
        <v>0.4</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0.3</v>
      </c>
      <c r="D54" s="945">
        <v>0.25</v>
      </c>
      <c r="E54" s="642"/>
      <c r="F54" s="639" t="e">
        <f t="shared" si="15"/>
        <v>#DIV/0!</v>
      </c>
      <c r="G54" s="3005"/>
      <c r="H54" s="887" t="str">
        <f>项目基本情况!B37</f>
        <v>二级</v>
      </c>
      <c r="I54" s="773">
        <f>SUMIF(修正!A57:A68,H54,修正!D57:D68)</f>
        <v>0.3</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0.2</v>
      </c>
      <c r="D59" s="945">
        <v>0.25</v>
      </c>
      <c r="E59" s="217">
        <f>'数据-汇总表'!E14</f>
        <v>0</v>
      </c>
      <c r="F59" s="639" t="e">
        <f t="shared" si="15"/>
        <v>#DIV/0!</v>
      </c>
      <c r="G59" s="1985" t="s">
        <v>1892</v>
      </c>
      <c r="H59" s="887" t="str">
        <f>项目基本情况!B37</f>
        <v>二级</v>
      </c>
      <c r="I59" s="773">
        <f>SUMIF(修正!A57:A68,H59,修正!G57:G68)</f>
        <v>0.2</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10178.42</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20" sqref="H20"/>
      <selection pane="bottomLeft" activeCell="V36" sqref="V3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59" t="s">
        <v>2084</v>
      </c>
      <c r="D1" s="3860"/>
      <c r="E1" s="3860"/>
      <c r="F1" s="3860"/>
      <c r="G1" s="3860"/>
      <c r="H1" s="3860"/>
      <c r="I1" s="3860"/>
      <c r="J1" s="3860"/>
      <c r="K1" s="3860"/>
      <c r="L1" s="3860"/>
      <c r="M1" s="3860"/>
      <c r="N1" s="3860"/>
      <c r="O1" s="3860"/>
      <c r="P1" s="3860"/>
      <c r="Q1" s="3860"/>
      <c r="R1" s="3860"/>
      <c r="S1" s="386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73245</v>
      </c>
      <c r="C20" s="159"/>
      <c r="D20" s="2149" t="s">
        <v>43</v>
      </c>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f ca="1">ROUND(B20*10000/B22,0)</f>
        <v>10000</v>
      </c>
      <c r="C21" s="159"/>
      <c r="D21" s="159"/>
      <c r="E21" s="159"/>
      <c r="F21" s="159"/>
      <c r="G21" s="159"/>
      <c r="H21" s="159"/>
      <c r="I21" s="159"/>
      <c r="J21" s="159"/>
      <c r="K21" s="159"/>
      <c r="L21" s="159"/>
      <c r="M21" s="159"/>
      <c r="N21" s="159"/>
      <c r="O21" s="159"/>
      <c r="P21" s="159"/>
      <c r="Q21" s="159"/>
      <c r="R21" s="718"/>
      <c r="S21" s="129"/>
    </row>
    <row r="22" spans="1:45">
      <c r="A22" s="316" t="s">
        <v>2099</v>
      </c>
      <c r="B22" s="21">
        <f ca="1">SUM(B24:B10000)</f>
        <v>73245</v>
      </c>
      <c r="C22" s="3856" t="s">
        <v>27</v>
      </c>
      <c r="D22" s="3857"/>
      <c r="E22" s="3857"/>
      <c r="F22" s="3857"/>
      <c r="G22" s="3857"/>
      <c r="H22" s="3857"/>
      <c r="I22" s="3857"/>
      <c r="J22" s="3857"/>
      <c r="K22" s="3857"/>
      <c r="L22" s="3857"/>
      <c r="M22" s="3857"/>
      <c r="N22" s="3857"/>
      <c r="O22" s="3857"/>
      <c r="P22" s="3857"/>
      <c r="Q22" s="3858"/>
      <c r="R22" s="663">
        <f ca="1">ROUND(S22*10000/B22,0)</f>
        <v>10000</v>
      </c>
      <c r="S22" s="21">
        <f ca="1">SUM(S24:S10000)</f>
        <v>73245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f ca="1">'收益法-酒店模型'!C38</f>
        <v>73245</v>
      </c>
      <c r="C24" s="2808">
        <v>1</v>
      </c>
      <c r="D24" s="2809"/>
      <c r="E24" s="2808">
        <v>1</v>
      </c>
      <c r="F24" s="2809"/>
      <c r="G24" s="2808">
        <v>1</v>
      </c>
      <c r="H24" s="2809"/>
      <c r="I24" s="2808">
        <v>1</v>
      </c>
      <c r="J24" s="2809"/>
      <c r="K24" s="2808">
        <v>1</v>
      </c>
      <c r="L24" s="2809"/>
      <c r="M24" s="2808">
        <v>1</v>
      </c>
      <c r="N24" s="2809"/>
      <c r="O24" s="2808">
        <v>1</v>
      </c>
      <c r="P24" s="2809"/>
      <c r="Q24" s="2808">
        <v>1</v>
      </c>
      <c r="R24" s="668">
        <v>10000</v>
      </c>
      <c r="S24" s="666">
        <f t="shared" ref="S24:S54" ca="1" si="11">ROUND(R24*B24/10000,0)</f>
        <v>73245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102277</v>
      </c>
      <c r="C2" s="2143" t="s">
        <v>2074</v>
      </c>
      <c r="D2" s="2143" t="s">
        <v>2075</v>
      </c>
      <c r="E2" s="2610">
        <f ca="1">SUMIF(E6:E13,"&lt;&gt;#ref!",E6:E13)</f>
        <v>57452.09</v>
      </c>
      <c r="F2" s="2791"/>
      <c r="G2" s="2791"/>
      <c r="H2" s="2791"/>
      <c r="I2" s="2791"/>
      <c r="J2" s="2791"/>
      <c r="K2" s="2791"/>
      <c r="L2" s="2791"/>
      <c r="M2" s="2791"/>
      <c r="N2" s="2791"/>
      <c r="O2" s="2791"/>
      <c r="P2" s="2791"/>
    </row>
    <row r="3" spans="1:16" ht="15.75">
      <c r="A3" s="2143" t="s">
        <v>2076</v>
      </c>
      <c r="B3" s="2600">
        <f ca="1">ROUND(B2*10000/E2,0)</f>
        <v>17802</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102277</v>
      </c>
      <c r="C6" s="2143" t="s">
        <v>2074</v>
      </c>
      <c r="D6" s="2791"/>
      <c r="E6" s="2610">
        <f ca="1">SUMIF(INDIRECT("'"&amp;A6&amp;"'"&amp;"!C:C"),"建筑面积",INDIRECT("'"&amp;A6&amp;"'"&amp;"!D:D"))</f>
        <v>57452.09</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871" t="s">
        <v>2610</v>
      </c>
      <c r="B20" s="3866" t="s">
        <v>2631</v>
      </c>
      <c r="C20" s="3101" t="s">
        <v>2442</v>
      </c>
      <c r="D20" s="3102"/>
      <c r="E20" s="3103">
        <v>1</v>
      </c>
      <c r="F20" s="3104" t="s">
        <v>2443</v>
      </c>
      <c r="G20" s="3104"/>
    </row>
    <row r="21" spans="1:13" ht="19.5" customHeight="1">
      <c r="A21" s="3872"/>
      <c r="B21" s="3865"/>
      <c r="C21" s="3105" t="s">
        <v>2444</v>
      </c>
      <c r="D21" s="3106"/>
      <c r="E21" s="3107">
        <v>1</v>
      </c>
      <c r="F21" s="3104" t="s">
        <v>2445</v>
      </c>
      <c r="G21" s="3104"/>
    </row>
    <row r="22" spans="1:13" ht="19.5" customHeight="1">
      <c r="A22" s="3872"/>
      <c r="B22" s="3865"/>
      <c r="C22" s="3105" t="s">
        <v>2446</v>
      </c>
      <c r="D22" s="3106"/>
      <c r="E22" s="3107">
        <v>0.9</v>
      </c>
      <c r="F22" s="3104" t="s">
        <v>2447</v>
      </c>
      <c r="G22" s="3104"/>
    </row>
    <row r="23" spans="1:13" ht="19.5" customHeight="1">
      <c r="A23" s="3872"/>
      <c r="B23" s="3865"/>
      <c r="C23" s="3105" t="s">
        <v>2448</v>
      </c>
      <c r="D23" s="3106"/>
      <c r="E23" s="3107">
        <v>0.9</v>
      </c>
      <c r="F23" s="3104" t="s">
        <v>2449</v>
      </c>
      <c r="G23" s="3104"/>
    </row>
    <row r="24" spans="1:13" ht="19.5" customHeight="1">
      <c r="A24" s="3872"/>
      <c r="B24" s="3865"/>
      <c r="C24" s="3105" t="s">
        <v>2450</v>
      </c>
      <c r="D24" s="3106"/>
      <c r="E24" s="3107">
        <v>0.8</v>
      </c>
      <c r="F24" s="3104" t="s">
        <v>2451</v>
      </c>
      <c r="G24" s="3104"/>
    </row>
    <row r="25" spans="1:13" ht="19.5" customHeight="1" thickBot="1">
      <c r="A25" s="3873"/>
      <c r="B25" s="3867"/>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868" t="s">
        <v>2634</v>
      </c>
      <c r="B27" s="3866" t="s">
        <v>2615</v>
      </c>
      <c r="C27" s="3101" t="s">
        <v>2455</v>
      </c>
      <c r="D27" s="3102"/>
      <c r="E27" s="3103">
        <v>1</v>
      </c>
      <c r="F27" s="3104" t="s">
        <v>2456</v>
      </c>
      <c r="G27" s="3104"/>
    </row>
    <row r="28" spans="1:13" ht="19.5" customHeight="1">
      <c r="A28" s="3869"/>
      <c r="B28" s="3865"/>
      <c r="C28" s="3105" t="s">
        <v>2457</v>
      </c>
      <c r="D28" s="3106"/>
      <c r="E28" s="3107">
        <v>1</v>
      </c>
      <c r="F28" s="3104" t="s">
        <v>2458</v>
      </c>
      <c r="G28" s="3104"/>
    </row>
    <row r="29" spans="1:13" ht="19.5" customHeight="1">
      <c r="A29" s="3869"/>
      <c r="B29" s="3865"/>
      <c r="C29" s="3105" t="s">
        <v>2459</v>
      </c>
      <c r="D29" s="3106"/>
      <c r="E29" s="3107">
        <v>0.8</v>
      </c>
      <c r="F29" s="3104" t="s">
        <v>2460</v>
      </c>
      <c r="G29" s="3104"/>
    </row>
    <row r="30" spans="1:13" ht="19.5" customHeight="1">
      <c r="A30" s="3869"/>
      <c r="B30" s="3865"/>
      <c r="C30" s="3105" t="s">
        <v>2461</v>
      </c>
      <c r="D30" s="3106"/>
      <c r="E30" s="3107">
        <v>0.8</v>
      </c>
      <c r="F30" s="3104" t="s">
        <v>2462</v>
      </c>
      <c r="G30" s="3104"/>
    </row>
    <row r="31" spans="1:13" ht="19.5" customHeight="1">
      <c r="A31" s="3869"/>
      <c r="B31" s="3865"/>
      <c r="C31" s="3105" t="s">
        <v>2463</v>
      </c>
      <c r="D31" s="3106"/>
      <c r="E31" s="3107">
        <v>0.8</v>
      </c>
      <c r="F31" s="3104" t="s">
        <v>2464</v>
      </c>
      <c r="G31" s="3104"/>
    </row>
    <row r="32" spans="1:13" ht="19.5" customHeight="1">
      <c r="A32" s="3869"/>
      <c r="B32" s="3865"/>
      <c r="C32" s="3105" t="s">
        <v>2465</v>
      </c>
      <c r="D32" s="3106"/>
      <c r="E32" s="3107">
        <v>0.7</v>
      </c>
      <c r="F32" s="3104" t="s">
        <v>2466</v>
      </c>
      <c r="G32" s="3104"/>
    </row>
    <row r="33" spans="1:7" ht="19.5" customHeight="1">
      <c r="A33" s="3869"/>
      <c r="B33" s="3865"/>
      <c r="C33" s="3105" t="s">
        <v>2467</v>
      </c>
      <c r="D33" s="3106"/>
      <c r="E33" s="3107">
        <v>0.8</v>
      </c>
      <c r="F33" s="3104" t="s">
        <v>2468</v>
      </c>
      <c r="G33" s="3104"/>
    </row>
    <row r="34" spans="1:7" ht="19.5" customHeight="1">
      <c r="A34" s="3869"/>
      <c r="B34" s="3865"/>
      <c r="C34" s="3105" t="s">
        <v>2469</v>
      </c>
      <c r="D34" s="3106"/>
      <c r="E34" s="3107">
        <v>0.6</v>
      </c>
      <c r="F34" s="3104" t="s">
        <v>2470</v>
      </c>
      <c r="G34" s="3104"/>
    </row>
    <row r="35" spans="1:7" ht="19.5" customHeight="1">
      <c r="A35" s="3869"/>
      <c r="B35" s="3865"/>
      <c r="C35" s="3105" t="s">
        <v>2471</v>
      </c>
      <c r="D35" s="3106"/>
      <c r="E35" s="3107">
        <v>0.2</v>
      </c>
      <c r="F35" s="3104" t="s">
        <v>2472</v>
      </c>
      <c r="G35" s="3104"/>
    </row>
    <row r="36" spans="1:7" ht="19.5" customHeight="1">
      <c r="A36" s="3869"/>
      <c r="B36" s="3865"/>
      <c r="C36" s="3105" t="s">
        <v>2473</v>
      </c>
      <c r="D36" s="3106"/>
      <c r="E36" s="3107">
        <v>0.2</v>
      </c>
      <c r="F36" s="3104" t="s">
        <v>2474</v>
      </c>
      <c r="G36" s="3104"/>
    </row>
    <row r="37" spans="1:7" ht="19.5" customHeight="1">
      <c r="A37" s="3869"/>
      <c r="B37" s="3863" t="s">
        <v>2635</v>
      </c>
      <c r="C37" s="3105" t="s">
        <v>2475</v>
      </c>
      <c r="D37" s="3106"/>
      <c r="E37" s="3107">
        <v>0.6</v>
      </c>
      <c r="F37" s="3104" t="s">
        <v>2476</v>
      </c>
      <c r="G37" s="3104"/>
    </row>
    <row r="38" spans="1:7" ht="19.5" customHeight="1">
      <c r="A38" s="3869"/>
      <c r="B38" s="3865"/>
      <c r="C38" s="3105" t="s">
        <v>2477</v>
      </c>
      <c r="D38" s="3106"/>
      <c r="E38" s="3107">
        <v>0.6</v>
      </c>
      <c r="F38" s="3104" t="s">
        <v>2478</v>
      </c>
      <c r="G38" s="3104"/>
    </row>
    <row r="39" spans="1:7" ht="19.5" customHeight="1" thickBot="1">
      <c r="A39" s="3870"/>
      <c r="B39" s="3867"/>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871" t="s">
        <v>2613</v>
      </c>
      <c r="B41" s="3866" t="s">
        <v>2637</v>
      </c>
      <c r="C41" s="3101" t="s">
        <v>2482</v>
      </c>
      <c r="D41" s="3102"/>
      <c r="E41" s="3103">
        <v>1</v>
      </c>
      <c r="F41" s="3104" t="s">
        <v>2483</v>
      </c>
      <c r="G41" s="3104"/>
    </row>
    <row r="42" spans="1:7" ht="19.5" customHeight="1">
      <c r="A42" s="3872"/>
      <c r="B42" s="3865"/>
      <c r="C42" s="3105" t="s">
        <v>2484</v>
      </c>
      <c r="D42" s="3106"/>
      <c r="E42" s="3107">
        <v>1</v>
      </c>
      <c r="F42" s="3104" t="s">
        <v>2485</v>
      </c>
      <c r="G42" s="3104"/>
    </row>
    <row r="43" spans="1:7" ht="19.5" customHeight="1">
      <c r="A43" s="3872"/>
      <c r="B43" s="3864"/>
      <c r="C43" s="3105" t="s">
        <v>2486</v>
      </c>
      <c r="D43" s="3106"/>
      <c r="E43" s="3107">
        <v>1.5</v>
      </c>
      <c r="F43" s="3104" t="s">
        <v>2487</v>
      </c>
      <c r="G43" s="3104"/>
    </row>
    <row r="44" spans="1:7" ht="19.5" customHeight="1">
      <c r="A44" s="3872"/>
      <c r="B44" s="3116" t="s">
        <v>2638</v>
      </c>
      <c r="C44" s="3105" t="s">
        <v>2639</v>
      </c>
      <c r="D44" s="3106"/>
      <c r="E44" s="3107">
        <v>2</v>
      </c>
      <c r="F44" s="3104" t="s">
        <v>2488</v>
      </c>
      <c r="G44" s="3104"/>
    </row>
    <row r="45" spans="1:7" ht="19.5" customHeight="1">
      <c r="A45" s="3872"/>
      <c r="B45" s="3863" t="s">
        <v>2640</v>
      </c>
      <c r="C45" s="3105" t="s">
        <v>2489</v>
      </c>
      <c r="D45" s="3106"/>
      <c r="E45" s="3107">
        <v>1</v>
      </c>
      <c r="F45" s="3104" t="s">
        <v>2490</v>
      </c>
      <c r="G45" s="3104"/>
    </row>
    <row r="46" spans="1:7" ht="19.5" customHeight="1">
      <c r="A46" s="3872"/>
      <c r="B46" s="3865"/>
      <c r="C46" s="3105" t="s">
        <v>2491</v>
      </c>
      <c r="D46" s="3106"/>
      <c r="E46" s="3107">
        <v>1</v>
      </c>
      <c r="F46" s="3104" t="s">
        <v>2492</v>
      </c>
      <c r="G46" s="3104"/>
    </row>
    <row r="47" spans="1:7" ht="19.5" customHeight="1">
      <c r="A47" s="3872"/>
      <c r="B47" s="3865"/>
      <c r="C47" s="3105" t="s">
        <v>2493</v>
      </c>
      <c r="D47" s="3106"/>
      <c r="E47" s="3107">
        <v>1</v>
      </c>
      <c r="F47" s="3104" t="s">
        <v>2494</v>
      </c>
      <c r="G47" s="3104"/>
    </row>
    <row r="48" spans="1:7" ht="19.5" customHeight="1">
      <c r="A48" s="3872"/>
      <c r="B48" s="3865"/>
      <c r="C48" s="3105" t="s">
        <v>2495</v>
      </c>
      <c r="D48" s="3106"/>
      <c r="E48" s="3107">
        <v>1</v>
      </c>
      <c r="F48" s="3104" t="s">
        <v>2496</v>
      </c>
      <c r="G48" s="3104"/>
    </row>
    <row r="49" spans="1:7" ht="19.5" customHeight="1">
      <c r="A49" s="3872"/>
      <c r="B49" s="3865"/>
      <c r="C49" s="3105" t="s">
        <v>2497</v>
      </c>
      <c r="D49" s="3106"/>
      <c r="E49" s="3107">
        <v>1</v>
      </c>
      <c r="F49" s="3104" t="s">
        <v>2498</v>
      </c>
      <c r="G49" s="3104"/>
    </row>
    <row r="50" spans="1:7" ht="19.5" customHeight="1">
      <c r="A50" s="3872"/>
      <c r="B50" s="3865"/>
      <c r="C50" s="3105" t="s">
        <v>2499</v>
      </c>
      <c r="D50" s="3106"/>
      <c r="E50" s="3107">
        <v>1</v>
      </c>
      <c r="F50" s="3104" t="s">
        <v>2500</v>
      </c>
      <c r="G50" s="3104"/>
    </row>
    <row r="51" spans="1:7" ht="19.5" customHeight="1" thickBot="1">
      <c r="A51" s="3873"/>
      <c r="B51" s="3867"/>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863" t="s">
        <v>2654</v>
      </c>
      <c r="C73" s="3090" t="s">
        <v>2655</v>
      </c>
      <c r="D73" s="3090" t="s">
        <v>2656</v>
      </c>
      <c r="E73" s="3116">
        <v>0.2</v>
      </c>
      <c r="F73" s="3116">
        <v>25</v>
      </c>
    </row>
    <row r="74" spans="1:7" ht="24">
      <c r="A74" s="3116">
        <v>2</v>
      </c>
      <c r="B74" s="3865"/>
      <c r="C74" s="3090" t="s">
        <v>2657</v>
      </c>
      <c r="D74" s="3090" t="s">
        <v>2658</v>
      </c>
      <c r="E74" s="3116">
        <v>0.2</v>
      </c>
      <c r="F74" s="3116">
        <v>25</v>
      </c>
    </row>
    <row r="75" spans="1:7" ht="24">
      <c r="A75" s="3116">
        <v>3</v>
      </c>
      <c r="B75" s="3865"/>
      <c r="C75" s="3090" t="s">
        <v>2659</v>
      </c>
      <c r="D75" s="3090" t="s">
        <v>2660</v>
      </c>
      <c r="E75" s="3116">
        <v>0.2</v>
      </c>
      <c r="F75" s="3116">
        <v>25</v>
      </c>
    </row>
    <row r="76" spans="1:7" ht="13.5">
      <c r="A76" s="3116">
        <v>4</v>
      </c>
      <c r="B76" s="3865"/>
      <c r="C76" s="3090" t="s">
        <v>2661</v>
      </c>
      <c r="D76" s="3090" t="s">
        <v>2662</v>
      </c>
      <c r="E76" s="3116">
        <v>0.15</v>
      </c>
      <c r="F76" s="3116">
        <v>20</v>
      </c>
    </row>
    <row r="77" spans="1:7" ht="24">
      <c r="A77" s="3116">
        <v>5</v>
      </c>
      <c r="B77" s="3865"/>
      <c r="C77" s="3090" t="s">
        <v>2663</v>
      </c>
      <c r="D77" s="3090" t="s">
        <v>2664</v>
      </c>
      <c r="E77" s="3116">
        <v>0.15</v>
      </c>
      <c r="F77" s="3116">
        <v>20</v>
      </c>
    </row>
    <row r="78" spans="1:7" ht="24">
      <c r="A78" s="3116">
        <v>6</v>
      </c>
      <c r="B78" s="3865"/>
      <c r="C78" s="3090" t="s">
        <v>2665</v>
      </c>
      <c r="D78" s="3090" t="s">
        <v>2666</v>
      </c>
      <c r="E78" s="3116">
        <v>0.15</v>
      </c>
      <c r="F78" s="3116">
        <v>20</v>
      </c>
    </row>
    <row r="79" spans="1:7" ht="24">
      <c r="A79" s="3116">
        <v>7</v>
      </c>
      <c r="B79" s="3865"/>
      <c r="C79" s="3090" t="s">
        <v>2667</v>
      </c>
      <c r="D79" s="3090" t="s">
        <v>2668</v>
      </c>
      <c r="E79" s="3116">
        <v>0.15</v>
      </c>
      <c r="F79" s="3116">
        <v>20</v>
      </c>
    </row>
    <row r="80" spans="1:7" ht="24">
      <c r="A80" s="3116">
        <v>8</v>
      </c>
      <c r="B80" s="3865"/>
      <c r="C80" s="3090" t="s">
        <v>2669</v>
      </c>
      <c r="D80" s="3090" t="s">
        <v>2670</v>
      </c>
      <c r="E80" s="3116">
        <v>0.1</v>
      </c>
      <c r="F80" s="3116">
        <v>15</v>
      </c>
    </row>
    <row r="81" spans="1:6" ht="24">
      <c r="A81" s="3116">
        <v>9</v>
      </c>
      <c r="B81" s="3865"/>
      <c r="C81" s="3090" t="s">
        <v>2671</v>
      </c>
      <c r="D81" s="3090" t="s">
        <v>2672</v>
      </c>
      <c r="E81" s="3116">
        <v>0.1</v>
      </c>
      <c r="F81" s="3116">
        <v>15</v>
      </c>
    </row>
    <row r="82" spans="1:6" ht="24">
      <c r="A82" s="3116">
        <v>10</v>
      </c>
      <c r="B82" s="3865"/>
      <c r="C82" s="3090" t="s">
        <v>2673</v>
      </c>
      <c r="D82" s="3090" t="s">
        <v>2674</v>
      </c>
      <c r="E82" s="3116">
        <v>0.1</v>
      </c>
      <c r="F82" s="3116">
        <v>15</v>
      </c>
    </row>
    <row r="83" spans="1:6" ht="24">
      <c r="A83" s="3116">
        <v>11</v>
      </c>
      <c r="B83" s="3865"/>
      <c r="C83" s="3090" t="s">
        <v>2675</v>
      </c>
      <c r="D83" s="3090" t="s">
        <v>2676</v>
      </c>
      <c r="E83" s="3116">
        <v>0.1</v>
      </c>
      <c r="F83" s="3116">
        <v>15</v>
      </c>
    </row>
    <row r="84" spans="1:6" ht="24">
      <c r="A84" s="3116">
        <v>12</v>
      </c>
      <c r="B84" s="3865"/>
      <c r="C84" s="3090" t="s">
        <v>2677</v>
      </c>
      <c r="D84" s="3090" t="s">
        <v>2678</v>
      </c>
      <c r="E84" s="3116">
        <v>0.1</v>
      </c>
      <c r="F84" s="3116">
        <v>15</v>
      </c>
    </row>
    <row r="85" spans="1:6" ht="13.5">
      <c r="A85" s="3116">
        <v>13</v>
      </c>
      <c r="B85" s="3865"/>
      <c r="C85" s="3090" t="s">
        <v>2679</v>
      </c>
      <c r="D85" s="3090" t="s">
        <v>2680</v>
      </c>
      <c r="E85" s="3116">
        <v>0.1</v>
      </c>
      <c r="F85" s="3116">
        <v>15</v>
      </c>
    </row>
    <row r="86" spans="1:6" ht="13.5">
      <c r="A86" s="3116">
        <v>14</v>
      </c>
      <c r="B86" s="3865"/>
      <c r="C86" s="3090" t="s">
        <v>2681</v>
      </c>
      <c r="D86" s="3090" t="s">
        <v>2682</v>
      </c>
      <c r="E86" s="3116">
        <v>0.1</v>
      </c>
      <c r="F86" s="3116">
        <v>15</v>
      </c>
    </row>
    <row r="87" spans="1:6" ht="13.5">
      <c r="A87" s="3116">
        <v>15</v>
      </c>
      <c r="B87" s="3865"/>
      <c r="C87" s="3090" t="s">
        <v>2683</v>
      </c>
      <c r="D87" s="3090" t="s">
        <v>2684</v>
      </c>
      <c r="E87" s="3116">
        <v>0.1</v>
      </c>
      <c r="F87" s="3116">
        <v>15</v>
      </c>
    </row>
    <row r="88" spans="1:6" ht="24">
      <c r="A88" s="3116">
        <v>16</v>
      </c>
      <c r="B88" s="3865"/>
      <c r="C88" s="3090" t="s">
        <v>2685</v>
      </c>
      <c r="D88" s="3090" t="s">
        <v>2686</v>
      </c>
      <c r="E88" s="3116">
        <v>0.1</v>
      </c>
      <c r="F88" s="3116">
        <v>15</v>
      </c>
    </row>
    <row r="89" spans="1:6" ht="24">
      <c r="A89" s="3116">
        <v>17</v>
      </c>
      <c r="B89" s="3864"/>
      <c r="C89" s="3090" t="s">
        <v>2687</v>
      </c>
      <c r="D89" s="3090" t="s">
        <v>2688</v>
      </c>
      <c r="E89" s="3116">
        <v>0.1</v>
      </c>
      <c r="F89" s="3116">
        <v>15</v>
      </c>
    </row>
    <row r="90" spans="1:6" ht="13.5">
      <c r="A90" s="3116">
        <v>18</v>
      </c>
      <c r="B90" s="3863" t="s">
        <v>2689</v>
      </c>
      <c r="C90" s="3090" t="s">
        <v>2690</v>
      </c>
      <c r="D90" s="3090" t="s">
        <v>2691</v>
      </c>
      <c r="E90" s="3116">
        <v>0.2</v>
      </c>
      <c r="F90" s="3116">
        <v>25</v>
      </c>
    </row>
    <row r="91" spans="1:6" ht="24">
      <c r="A91" s="3116">
        <v>19</v>
      </c>
      <c r="B91" s="3865"/>
      <c r="C91" s="3090" t="s">
        <v>2692</v>
      </c>
      <c r="D91" s="3090" t="s">
        <v>2693</v>
      </c>
      <c r="E91" s="3116">
        <v>0.2</v>
      </c>
      <c r="F91" s="3116">
        <v>25</v>
      </c>
    </row>
    <row r="92" spans="1:6" ht="13.5">
      <c r="A92" s="3116">
        <v>20</v>
      </c>
      <c r="B92" s="3865"/>
      <c r="C92" s="3090" t="s">
        <v>2694</v>
      </c>
      <c r="D92" s="3090" t="s">
        <v>2695</v>
      </c>
      <c r="E92" s="3116">
        <v>0.15</v>
      </c>
      <c r="F92" s="3116">
        <v>20</v>
      </c>
    </row>
    <row r="93" spans="1:6" ht="13.5">
      <c r="A93" s="3116">
        <v>21</v>
      </c>
      <c r="B93" s="3865"/>
      <c r="C93" s="3090" t="s">
        <v>2696</v>
      </c>
      <c r="D93" s="3090" t="s">
        <v>2697</v>
      </c>
      <c r="E93" s="3116">
        <v>0.15</v>
      </c>
      <c r="F93" s="3116">
        <v>20</v>
      </c>
    </row>
    <row r="94" spans="1:6" ht="13.5">
      <c r="A94" s="3116">
        <v>22</v>
      </c>
      <c r="B94" s="3865"/>
      <c r="C94" s="3090" t="s">
        <v>2698</v>
      </c>
      <c r="D94" s="3090" t="s">
        <v>2699</v>
      </c>
      <c r="E94" s="3116">
        <v>0.15</v>
      </c>
      <c r="F94" s="3116">
        <v>20</v>
      </c>
    </row>
    <row r="95" spans="1:6" ht="36">
      <c r="A95" s="3116">
        <v>23</v>
      </c>
      <c r="B95" s="3865"/>
      <c r="C95" s="3090" t="s">
        <v>2700</v>
      </c>
      <c r="D95" s="3090" t="s">
        <v>2701</v>
      </c>
      <c r="E95" s="3116">
        <v>0.15</v>
      </c>
      <c r="F95" s="3116">
        <v>20</v>
      </c>
    </row>
    <row r="96" spans="1:6" ht="13.5">
      <c r="A96" s="3116">
        <v>24</v>
      </c>
      <c r="B96" s="3865"/>
      <c r="C96" s="3090" t="s">
        <v>2702</v>
      </c>
      <c r="D96" s="3090" t="s">
        <v>2703</v>
      </c>
      <c r="E96" s="3116">
        <v>0.1</v>
      </c>
      <c r="F96" s="3116">
        <v>15</v>
      </c>
    </row>
    <row r="97" spans="1:6" ht="13.5">
      <c r="A97" s="3116">
        <v>25</v>
      </c>
      <c r="B97" s="3865"/>
      <c r="C97" s="3090" t="s">
        <v>2704</v>
      </c>
      <c r="D97" s="3090" t="s">
        <v>2705</v>
      </c>
      <c r="E97" s="3116">
        <v>0.1</v>
      </c>
      <c r="F97" s="3116">
        <v>15</v>
      </c>
    </row>
    <row r="98" spans="1:6" ht="24">
      <c r="A98" s="3116">
        <v>26</v>
      </c>
      <c r="B98" s="3865"/>
      <c r="C98" s="3090" t="s">
        <v>2706</v>
      </c>
      <c r="D98" s="3090" t="s">
        <v>2707</v>
      </c>
      <c r="E98" s="3116">
        <v>0.1</v>
      </c>
      <c r="F98" s="3116">
        <v>15</v>
      </c>
    </row>
    <row r="99" spans="1:6" ht="24">
      <c r="A99" s="3116">
        <v>27</v>
      </c>
      <c r="B99" s="3865"/>
      <c r="C99" s="3090" t="s">
        <v>2708</v>
      </c>
      <c r="D99" s="3090" t="s">
        <v>2709</v>
      </c>
      <c r="E99" s="3116">
        <v>0.1</v>
      </c>
      <c r="F99" s="3116">
        <v>15</v>
      </c>
    </row>
    <row r="100" spans="1:6" ht="13.5">
      <c r="A100" s="3116">
        <v>28</v>
      </c>
      <c r="B100" s="3865"/>
      <c r="C100" s="3090" t="s">
        <v>2710</v>
      </c>
      <c r="D100" s="3090" t="s">
        <v>2711</v>
      </c>
      <c r="E100" s="3116">
        <v>0.1</v>
      </c>
      <c r="F100" s="3116">
        <v>15</v>
      </c>
    </row>
    <row r="101" spans="1:6" ht="13.5">
      <c r="A101" s="3116">
        <v>29</v>
      </c>
      <c r="B101" s="3865"/>
      <c r="C101" s="3090" t="s">
        <v>2712</v>
      </c>
      <c r="D101" s="3090" t="s">
        <v>2713</v>
      </c>
      <c r="E101" s="3116">
        <v>0.1</v>
      </c>
      <c r="F101" s="3116">
        <v>15</v>
      </c>
    </row>
    <row r="102" spans="1:6" ht="13.5">
      <c r="A102" s="3116">
        <v>30</v>
      </c>
      <c r="B102" s="3865"/>
      <c r="C102" s="3090" t="s">
        <v>2714</v>
      </c>
      <c r="D102" s="3090" t="s">
        <v>2715</v>
      </c>
      <c r="E102" s="3116">
        <v>0.1</v>
      </c>
      <c r="F102" s="3116">
        <v>15</v>
      </c>
    </row>
    <row r="103" spans="1:6" ht="24">
      <c r="A103" s="3116">
        <v>31</v>
      </c>
      <c r="B103" s="3865"/>
      <c r="C103" s="3090" t="s">
        <v>2716</v>
      </c>
      <c r="D103" s="3090" t="s">
        <v>2717</v>
      </c>
      <c r="E103" s="3116">
        <v>0.1</v>
      </c>
      <c r="F103" s="3116">
        <v>15</v>
      </c>
    </row>
    <row r="104" spans="1:6" ht="24">
      <c r="A104" s="3116">
        <v>32</v>
      </c>
      <c r="B104" s="3865"/>
      <c r="C104" s="3090" t="s">
        <v>2718</v>
      </c>
      <c r="D104" s="3090" t="s">
        <v>2719</v>
      </c>
      <c r="E104" s="3116">
        <v>0.1</v>
      </c>
      <c r="F104" s="3116">
        <v>15</v>
      </c>
    </row>
    <row r="105" spans="1:6" ht="24">
      <c r="A105" s="3116">
        <v>33</v>
      </c>
      <c r="B105" s="3865"/>
      <c r="C105" s="3090" t="s">
        <v>2720</v>
      </c>
      <c r="D105" s="3090" t="s">
        <v>2721</v>
      </c>
      <c r="E105" s="3116">
        <v>0.1</v>
      </c>
      <c r="F105" s="3116">
        <v>15</v>
      </c>
    </row>
    <row r="106" spans="1:6" ht="24">
      <c r="A106" s="3116">
        <v>34</v>
      </c>
      <c r="B106" s="3864"/>
      <c r="C106" s="3090" t="s">
        <v>2722</v>
      </c>
      <c r="D106" s="3090" t="s">
        <v>2723</v>
      </c>
      <c r="E106" s="3116">
        <v>0.1</v>
      </c>
      <c r="F106" s="3116">
        <v>15</v>
      </c>
    </row>
    <row r="107" spans="1:6" ht="24">
      <c r="A107" s="3116">
        <v>35</v>
      </c>
      <c r="B107" s="3863" t="s">
        <v>2724</v>
      </c>
      <c r="C107" s="3116" t="s">
        <v>2725</v>
      </c>
      <c r="D107" s="3090" t="s">
        <v>2726</v>
      </c>
      <c r="E107" s="3116">
        <v>0.15</v>
      </c>
      <c r="F107" s="3116">
        <v>20</v>
      </c>
    </row>
    <row r="108" spans="1:6" ht="13.5">
      <c r="A108" s="3116">
        <v>36</v>
      </c>
      <c r="B108" s="3865"/>
      <c r="C108" s="3116" t="s">
        <v>2727</v>
      </c>
      <c r="D108" s="3090" t="s">
        <v>2728</v>
      </c>
      <c r="E108" s="3116">
        <v>0.15</v>
      </c>
      <c r="F108" s="3116">
        <v>20</v>
      </c>
    </row>
    <row r="109" spans="1:6" ht="13.5">
      <c r="A109" s="3116">
        <v>37</v>
      </c>
      <c r="B109" s="3865"/>
      <c r="C109" s="3116" t="s">
        <v>2729</v>
      </c>
      <c r="D109" s="3090" t="s">
        <v>2730</v>
      </c>
      <c r="E109" s="3116">
        <v>0.15</v>
      </c>
      <c r="F109" s="3116">
        <v>20</v>
      </c>
    </row>
    <row r="110" spans="1:6" ht="13.5">
      <c r="A110" s="3116">
        <v>38</v>
      </c>
      <c r="B110" s="3865"/>
      <c r="C110" s="3116" t="s">
        <v>2731</v>
      </c>
      <c r="D110" s="3090" t="s">
        <v>2732</v>
      </c>
      <c r="E110" s="3116">
        <v>0.1</v>
      </c>
      <c r="F110" s="3116">
        <v>15</v>
      </c>
    </row>
    <row r="111" spans="1:6" ht="24">
      <c r="A111" s="3116">
        <v>39</v>
      </c>
      <c r="B111" s="3865"/>
      <c r="C111" s="3116" t="s">
        <v>2733</v>
      </c>
      <c r="D111" s="3090" t="s">
        <v>2734</v>
      </c>
      <c r="E111" s="3116">
        <v>0.1</v>
      </c>
      <c r="F111" s="3116">
        <v>15</v>
      </c>
    </row>
    <row r="112" spans="1:6" ht="24">
      <c r="A112" s="3116">
        <v>40</v>
      </c>
      <c r="B112" s="3864"/>
      <c r="C112" s="3116" t="s">
        <v>2735</v>
      </c>
      <c r="D112" s="3090" t="s">
        <v>2736</v>
      </c>
      <c r="E112" s="3116">
        <v>0.1</v>
      </c>
      <c r="F112" s="3116">
        <v>15</v>
      </c>
    </row>
    <row r="113" spans="1:6" ht="13.5">
      <c r="A113" s="3116">
        <v>41</v>
      </c>
      <c r="B113" s="3862" t="s">
        <v>2737</v>
      </c>
      <c r="C113" s="3116" t="s">
        <v>2738</v>
      </c>
      <c r="D113" s="3090" t="s">
        <v>2739</v>
      </c>
      <c r="E113" s="3116">
        <v>0.1</v>
      </c>
      <c r="F113" s="3116">
        <v>15</v>
      </c>
    </row>
    <row r="114" spans="1:6" ht="13.5">
      <c r="A114" s="3116">
        <v>42</v>
      </c>
      <c r="B114" s="3862"/>
      <c r="C114" s="3116" t="s">
        <v>2740</v>
      </c>
      <c r="D114" s="3090" t="s">
        <v>2741</v>
      </c>
      <c r="E114" s="3116">
        <v>0.1</v>
      </c>
      <c r="F114" s="3116">
        <v>15</v>
      </c>
    </row>
    <row r="115" spans="1:6" ht="24">
      <c r="A115" s="3116">
        <v>43</v>
      </c>
      <c r="B115" s="3862"/>
      <c r="C115" s="3116" t="s">
        <v>2742</v>
      </c>
      <c r="D115" s="3090" t="s">
        <v>2743</v>
      </c>
      <c r="E115" s="3116">
        <v>0.1</v>
      </c>
      <c r="F115" s="3116">
        <v>15</v>
      </c>
    </row>
    <row r="116" spans="1:6" ht="13.5">
      <c r="A116" s="3116">
        <v>44</v>
      </c>
      <c r="B116" s="3863" t="s">
        <v>2744</v>
      </c>
      <c r="C116" s="3116" t="s">
        <v>2745</v>
      </c>
      <c r="D116" s="3090" t="s">
        <v>2746</v>
      </c>
      <c r="E116" s="3116">
        <v>0.1</v>
      </c>
      <c r="F116" s="3116">
        <v>15</v>
      </c>
    </row>
    <row r="117" spans="1:6" ht="24">
      <c r="A117" s="3116">
        <v>45</v>
      </c>
      <c r="B117" s="3864"/>
      <c r="C117" s="3090" t="s">
        <v>2747</v>
      </c>
      <c r="D117" s="3090" t="s">
        <v>2748</v>
      </c>
      <c r="E117" s="3116">
        <v>0.1</v>
      </c>
      <c r="F117" s="3116">
        <v>15</v>
      </c>
    </row>
    <row r="118" spans="1:6" ht="24">
      <c r="A118" s="3116">
        <v>46</v>
      </c>
      <c r="B118" s="3863" t="s">
        <v>2749</v>
      </c>
      <c r="C118" s="3116" t="s">
        <v>2750</v>
      </c>
      <c r="D118" s="3090" t="s">
        <v>2751</v>
      </c>
      <c r="E118" s="3116">
        <v>0.1</v>
      </c>
      <c r="F118" s="3116">
        <v>15</v>
      </c>
    </row>
    <row r="119" spans="1:6" ht="24">
      <c r="A119" s="3116">
        <v>47</v>
      </c>
      <c r="B119" s="3864"/>
      <c r="C119" s="3116" t="s">
        <v>2752</v>
      </c>
      <c r="D119" s="3090" t="s">
        <v>2753</v>
      </c>
      <c r="E119" s="3116">
        <v>0.1</v>
      </c>
      <c r="F119" s="3116">
        <v>15</v>
      </c>
    </row>
    <row r="120" spans="1:6" ht="13.5">
      <c r="A120" s="3116">
        <v>48</v>
      </c>
      <c r="B120" s="3863" t="s">
        <v>2754</v>
      </c>
      <c r="C120" s="3116" t="s">
        <v>2755</v>
      </c>
      <c r="D120" s="3090" t="s">
        <v>2756</v>
      </c>
      <c r="E120" s="3116">
        <v>0.1</v>
      </c>
      <c r="F120" s="3116">
        <v>15</v>
      </c>
    </row>
    <row r="121" spans="1:6" ht="13.5">
      <c r="A121" s="3116">
        <v>49</v>
      </c>
      <c r="B121" s="3864"/>
      <c r="C121" s="3116" t="s">
        <v>2757</v>
      </c>
      <c r="D121" s="3090" t="s">
        <v>2758</v>
      </c>
      <c r="E121" s="3116">
        <v>0.1</v>
      </c>
      <c r="F121" s="3116">
        <v>15</v>
      </c>
    </row>
    <row r="122" spans="1:6" ht="24">
      <c r="A122" s="3116">
        <v>50</v>
      </c>
      <c r="B122" s="3862" t="s">
        <v>2759</v>
      </c>
      <c r="C122" s="3116" t="s">
        <v>2760</v>
      </c>
      <c r="D122" s="3090" t="s">
        <v>2761</v>
      </c>
      <c r="E122" s="3116">
        <v>0.1</v>
      </c>
      <c r="F122" s="3116">
        <v>15</v>
      </c>
    </row>
    <row r="123" spans="1:6" ht="24">
      <c r="A123" s="3116">
        <v>51</v>
      </c>
      <c r="B123" s="3862"/>
      <c r="C123" s="3116" t="s">
        <v>2762</v>
      </c>
      <c r="D123" s="3090" t="s">
        <v>2763</v>
      </c>
      <c r="E123" s="3116">
        <v>0.1</v>
      </c>
      <c r="F123" s="3116">
        <v>15</v>
      </c>
    </row>
    <row r="124" spans="1:6" ht="24">
      <c r="A124" s="3116">
        <v>52</v>
      </c>
      <c r="B124" s="3862" t="s">
        <v>2764</v>
      </c>
      <c r="C124" s="3116" t="s">
        <v>2765</v>
      </c>
      <c r="D124" s="3090" t="s">
        <v>2766</v>
      </c>
      <c r="E124" s="3116">
        <v>0.1</v>
      </c>
      <c r="F124" s="3116">
        <v>15</v>
      </c>
    </row>
    <row r="125" spans="1:6" ht="24">
      <c r="A125" s="3116">
        <v>53</v>
      </c>
      <c r="B125" s="3862"/>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862" t="s">
        <v>2772</v>
      </c>
      <c r="C127" s="3116" t="s">
        <v>2773</v>
      </c>
      <c r="D127" s="3090" t="s">
        <v>2774</v>
      </c>
      <c r="E127" s="3116">
        <v>0.1</v>
      </c>
      <c r="F127" s="3116">
        <v>15</v>
      </c>
    </row>
    <row r="128" spans="1:6" ht="13.5">
      <c r="A128" s="3116">
        <v>56</v>
      </c>
      <c r="B128" s="3862"/>
      <c r="C128" s="3116" t="s">
        <v>2775</v>
      </c>
      <c r="D128" s="3090" t="s">
        <v>2776</v>
      </c>
      <c r="E128" s="3116">
        <v>0.1</v>
      </c>
      <c r="F128" s="3116">
        <v>15</v>
      </c>
    </row>
    <row r="129" spans="1:6" ht="24">
      <c r="A129" s="3116">
        <v>57</v>
      </c>
      <c r="B129" s="3862"/>
      <c r="C129" s="3116" t="s">
        <v>2777</v>
      </c>
      <c r="D129" s="3090" t="s">
        <v>2778</v>
      </c>
      <c r="E129" s="3116">
        <v>0.1</v>
      </c>
      <c r="F129" s="3116">
        <v>15</v>
      </c>
    </row>
    <row r="130" spans="1:6" ht="24">
      <c r="A130" s="3116">
        <v>58</v>
      </c>
      <c r="B130" s="3862" t="s">
        <v>2779</v>
      </c>
      <c r="C130" s="3116" t="s">
        <v>2780</v>
      </c>
      <c r="D130" s="3090" t="s">
        <v>2781</v>
      </c>
      <c r="E130" s="3116">
        <v>0.1</v>
      </c>
      <c r="F130" s="3116">
        <v>15</v>
      </c>
    </row>
    <row r="131" spans="1:6" ht="13.5">
      <c r="A131" s="3116">
        <v>59</v>
      </c>
      <c r="B131" s="3862"/>
      <c r="C131" s="3116" t="s">
        <v>2782</v>
      </c>
      <c r="D131" s="3090" t="s">
        <v>2783</v>
      </c>
      <c r="E131" s="3116">
        <v>0.1</v>
      </c>
      <c r="F131" s="3116">
        <v>15</v>
      </c>
    </row>
    <row r="132" spans="1:6" ht="13.5">
      <c r="A132" s="3116">
        <v>60</v>
      </c>
      <c r="B132" s="3863" t="s">
        <v>2784</v>
      </c>
      <c r="C132" s="3116" t="s">
        <v>2785</v>
      </c>
      <c r="D132" s="3090" t="s">
        <v>2786</v>
      </c>
      <c r="E132" s="3116">
        <v>0.1</v>
      </c>
      <c r="F132" s="3116">
        <v>15</v>
      </c>
    </row>
    <row r="133" spans="1:6" ht="13.5">
      <c r="A133" s="3116">
        <v>61</v>
      </c>
      <c r="B133" s="3864"/>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862" t="s">
        <v>2792</v>
      </c>
      <c r="C135" s="3116" t="s">
        <v>2793</v>
      </c>
      <c r="D135" s="3090" t="s">
        <v>2794</v>
      </c>
      <c r="E135" s="3116">
        <v>0.1</v>
      </c>
      <c r="F135" s="3116">
        <v>15</v>
      </c>
    </row>
    <row r="136" spans="1:6" ht="13.5">
      <c r="A136" s="3116">
        <v>64</v>
      </c>
      <c r="B136" s="3862"/>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0.9708</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0.91949999999999998</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65425</v>
      </c>
      <c r="C2" s="2" t="s">
        <v>106</v>
      </c>
      <c r="D2" s="199"/>
      <c r="E2" s="199"/>
      <c r="F2" s="199"/>
      <c r="G2" s="199"/>
    </row>
    <row r="3" spans="1:7" s="200" customFormat="1" ht="18" customHeight="1" thickBot="1">
      <c r="A3" s="203" t="s">
        <v>58</v>
      </c>
      <c r="B3" s="204">
        <f ca="1">ROUND(B2*10000/'数据-汇总表'!E3,0)</f>
        <v>11388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1149</v>
      </c>
      <c r="D10" s="845">
        <f>'数据-汇总表'!E6</f>
        <v>57452.09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1149</v>
      </c>
      <c r="D19" s="849">
        <f>'数据-汇总表'!E3</f>
        <v>57452.09</v>
      </c>
      <c r="E19" s="211">
        <f>'数据-取费表'!B31</f>
        <v>200</v>
      </c>
      <c r="F19" s="231"/>
      <c r="G19" s="1" t="s">
        <v>436</v>
      </c>
    </row>
    <row r="20" spans="1:7" s="214" customFormat="1" ht="13.5" customHeight="1">
      <c r="A20" s="777" t="s">
        <v>419</v>
      </c>
      <c r="B20" s="210" t="s">
        <v>77</v>
      </c>
      <c r="C20" s="232">
        <f>ROUND((C5+C19)*F20,0)</f>
        <v>544</v>
      </c>
      <c r="D20" s="232"/>
      <c r="E20" s="232"/>
      <c r="F20" s="233">
        <f>'数据-取费表'!B37</f>
        <v>2.5000000000000001E-2</v>
      </c>
      <c r="G20" s="1067" t="s">
        <v>430</v>
      </c>
    </row>
    <row r="21" spans="1:7" s="214" customFormat="1" ht="13.5" customHeight="1">
      <c r="A21" s="777" t="s">
        <v>421</v>
      </c>
      <c r="B21" s="210" t="s">
        <v>78</v>
      </c>
      <c r="C21" s="235">
        <f>F21</f>
        <v>2.5000000000000001E-2</v>
      </c>
      <c r="D21" s="236" t="s">
        <v>99</v>
      </c>
      <c r="E21" s="232"/>
      <c r="F21" s="233">
        <f>'数据-取费表'!B38</f>
        <v>2.5000000000000001E-2</v>
      </c>
      <c r="G21" s="234" t="s">
        <v>79</v>
      </c>
    </row>
    <row r="22" spans="1:7" s="214" customFormat="1" ht="13.5" customHeight="1">
      <c r="A22" s="777" t="s">
        <v>341</v>
      </c>
      <c r="B22" s="210" t="s">
        <v>80</v>
      </c>
      <c r="C22" s="1104">
        <f ca="1">ROUND(SUM(C23:C25),0)</f>
        <v>2857</v>
      </c>
      <c r="D22" s="235">
        <f ca="1">C26</f>
        <v>1.6000000000000001E-3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149</v>
      </c>
      <c r="D24" s="238"/>
      <c r="E24" s="238"/>
      <c r="F24" s="239"/>
      <c r="G24" s="240" t="s">
        <v>82</v>
      </c>
    </row>
    <row r="25" spans="1:7" s="214" customFormat="1" ht="24">
      <c r="A25" s="780" t="s">
        <v>348</v>
      </c>
      <c r="B25" s="215" t="s">
        <v>420</v>
      </c>
      <c r="C25" s="1105">
        <f ca="1">ROUND(IF('数据-取费表'!B22&lt;=1,C20*F22*'数据-取费表'!B23/2,C20*(POWER((1+F22),'数据-取费表'!B23/2)-1)),0)</f>
        <v>34</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4.75">
      <c r="A27" s="777" t="s">
        <v>342</v>
      </c>
      <c r="B27" s="244" t="s">
        <v>85</v>
      </c>
      <c r="C27" s="245">
        <f>C28</f>
        <v>5576</v>
      </c>
      <c r="D27" s="235">
        <f>C29</f>
        <v>6.3E-3</v>
      </c>
      <c r="E27" s="236" t="s">
        <v>99</v>
      </c>
      <c r="F27" s="246">
        <f>'数据-取费表'!Q16</f>
        <v>0.25</v>
      </c>
      <c r="G27" s="247" t="s">
        <v>431</v>
      </c>
    </row>
    <row r="28" spans="1:7" s="214" customFormat="1" ht="13.5" customHeight="1">
      <c r="A28" s="780" t="s">
        <v>349</v>
      </c>
      <c r="B28" s="248" t="s">
        <v>424</v>
      </c>
      <c r="C28" s="249">
        <f>ROUND((C5+C19+C20)*F27*'数据-取费表'!B21/'数据-取费表'!B20,0)</f>
        <v>5576</v>
      </c>
      <c r="D28" s="235"/>
      <c r="E28" s="236"/>
      <c r="F28" s="246"/>
      <c r="G28" s="247"/>
    </row>
    <row r="29" spans="1:7" s="214" customFormat="1" ht="13.5" customHeight="1">
      <c r="A29" s="780" t="s">
        <v>347</v>
      </c>
      <c r="B29" s="248" t="s">
        <v>425</v>
      </c>
      <c r="C29" s="238">
        <f>ROUND(C21*F27*'数据-取费表'!B21/'数据-取费表'!B20,4)</f>
        <v>6.3E-3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33637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31742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28726</v>
      </c>
      <c r="D34" s="217"/>
      <c r="E34" s="220"/>
      <c r="F34" s="257">
        <f>IF('数据-取费表'!B24=0,1,'数据-取费表'!N16)</f>
        <v>1</v>
      </c>
      <c r="G34" s="219" t="s">
        <v>89</v>
      </c>
    </row>
    <row r="35" spans="1:7" ht="13.5" customHeight="1">
      <c r="A35" s="780" t="s">
        <v>351</v>
      </c>
      <c r="B35" s="215" t="s">
        <v>33</v>
      </c>
      <c r="C35" s="220">
        <f>ROUND(C34*F35,0)</f>
        <v>1436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1149</v>
      </c>
      <c r="D37" s="217">
        <f>'数据-汇总表'!E3</f>
        <v>57452.09</v>
      </c>
      <c r="E37" s="249">
        <f>'数据-取费表'!B35</f>
        <v>200</v>
      </c>
      <c r="F37" s="259"/>
      <c r="G37" s="261" t="s">
        <v>92</v>
      </c>
    </row>
    <row r="38" spans="1:7" ht="13.5" customHeight="1">
      <c r="A38" s="780" t="s">
        <v>354</v>
      </c>
      <c r="B38" s="215" t="s">
        <v>36</v>
      </c>
      <c r="C38" s="220">
        <f>ROUND(C34*F38,0)</f>
        <v>431</v>
      </c>
      <c r="D38" s="220"/>
      <c r="E38" s="220"/>
      <c r="F38" s="259">
        <f>'数据-取费表'!B36</f>
        <v>1.4999999999999999E-2</v>
      </c>
      <c r="G38" s="219" t="s">
        <v>90</v>
      </c>
    </row>
    <row r="39" spans="1:7" s="214" customFormat="1" ht="13.5" customHeight="1">
      <c r="A39" s="777" t="s">
        <v>338</v>
      </c>
      <c r="B39" s="210" t="s">
        <v>77</v>
      </c>
      <c r="C39" s="232">
        <f>ROUND(C33*F20,0)</f>
        <v>794</v>
      </c>
      <c r="D39" s="232"/>
      <c r="E39" s="232"/>
      <c r="F39" s="233"/>
      <c r="G39" s="1067" t="s">
        <v>433</v>
      </c>
    </row>
    <row r="40" spans="1:7" s="214" customFormat="1" ht="13.5" customHeight="1">
      <c r="A40" s="777" t="s">
        <v>339</v>
      </c>
      <c r="B40" s="210" t="s">
        <v>78</v>
      </c>
      <c r="C40" s="262">
        <f>F21</f>
        <v>2.5000000000000001E-2</v>
      </c>
      <c r="D40" s="236" t="s">
        <v>102</v>
      </c>
      <c r="E40" s="232"/>
      <c r="F40" s="233"/>
      <c r="G40" s="234" t="s">
        <v>93</v>
      </c>
    </row>
    <row r="41" spans="1:7" s="214" customFormat="1" ht="13.5" customHeight="1">
      <c r="A41" s="777" t="s">
        <v>340</v>
      </c>
      <c r="B41" s="210" t="s">
        <v>80</v>
      </c>
      <c r="C41" s="232">
        <f ca="1">ROUND(SUM(C42:C43),0)</f>
        <v>2046</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1996</v>
      </c>
      <c r="D42" s="238"/>
      <c r="E42" s="238"/>
      <c r="F42" s="239"/>
      <c r="G42" s="3738" t="s">
        <v>94</v>
      </c>
    </row>
    <row r="43" spans="1:7" ht="13.5" customHeight="1">
      <c r="A43" s="780" t="s">
        <v>347</v>
      </c>
      <c r="B43" s="215" t="s">
        <v>426</v>
      </c>
      <c r="C43" s="238">
        <f ca="1">ROUND(IF('数据-取费表'!B22&lt;=1,C39*F22*'数据-取费表'!B21/2,C39*(POWER((1+F22),'数据-取费表'!B21/2)-1)),0)</f>
        <v>50</v>
      </c>
      <c r="D43" s="238"/>
      <c r="E43" s="238"/>
      <c r="F43" s="239"/>
      <c r="G43" s="3739"/>
    </row>
    <row r="44" spans="1:7" ht="13.5" customHeight="1">
      <c r="A44" s="780" t="s">
        <v>348</v>
      </c>
      <c r="B44" s="215" t="s">
        <v>428</v>
      </c>
      <c r="C44" s="238">
        <f ca="1">ROUND(IF('数据-取费表'!B22&lt;=1,C40*F22*'数据-取费表'!B21/2,C40*(POWER((1+F22),'数据-取费表'!B21/2)-1)),4)</f>
        <v>1.6000000000000001E-3</v>
      </c>
      <c r="D44" s="238"/>
      <c r="E44" s="238"/>
      <c r="F44" s="239"/>
      <c r="G44" s="3740"/>
    </row>
    <row r="45" spans="1:7" s="214" customFormat="1" ht="13.5" customHeight="1">
      <c r="A45" s="777" t="s">
        <v>341</v>
      </c>
      <c r="B45" s="244" t="s">
        <v>85</v>
      </c>
      <c r="C45" s="245">
        <f>C46</f>
        <v>8134</v>
      </c>
      <c r="D45" s="235">
        <f>C47</f>
        <v>6.3E-3</v>
      </c>
      <c r="E45" s="236" t="s">
        <v>102</v>
      </c>
      <c r="F45" s="246"/>
      <c r="G45" s="247" t="s">
        <v>434</v>
      </c>
    </row>
    <row r="46" spans="1:7" s="214" customFormat="1" ht="13.5" customHeight="1">
      <c r="A46" s="780" t="s">
        <v>349</v>
      </c>
      <c r="B46" s="248" t="s">
        <v>427</v>
      </c>
      <c r="C46" s="249">
        <f>ROUND((C33+C39)*F27,0)</f>
        <v>8134</v>
      </c>
      <c r="D46" s="263"/>
      <c r="E46" s="236"/>
      <c r="F46" s="246"/>
      <c r="G46" s="247"/>
    </row>
    <row r="47" spans="1:7" s="214" customFormat="1" ht="13.5" customHeight="1">
      <c r="A47" s="780" t="s">
        <v>347</v>
      </c>
      <c r="B47" s="248" t="s">
        <v>429</v>
      </c>
      <c r="C47" s="238">
        <f>ROUND(C40*F27,4)</f>
        <v>6.3E-3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46747</v>
      </c>
      <c r="D49" s="232"/>
      <c r="E49" s="232"/>
      <c r="F49" s="264"/>
      <c r="G49" s="234" t="s">
        <v>435</v>
      </c>
    </row>
    <row r="50" spans="1:7" s="258" customFormat="1" ht="24">
      <c r="A50" s="777" t="s">
        <v>344</v>
      </c>
      <c r="B50" s="210" t="s">
        <v>97</v>
      </c>
      <c r="C50" s="232"/>
      <c r="D50" s="232"/>
      <c r="E50" s="232"/>
      <c r="F50" s="264">
        <f>IF('数据-取费表'!B24=0,'数据-取费表'!N16,1)</f>
        <v>0.68</v>
      </c>
      <c r="G50" s="247" t="s">
        <v>98</v>
      </c>
    </row>
    <row r="51" spans="1:7" ht="16.5" customHeight="1">
      <c r="A51" s="777" t="s">
        <v>345</v>
      </c>
      <c r="B51" s="210" t="s">
        <v>105</v>
      </c>
      <c r="C51" s="232">
        <f ca="1">ROUND(C49*F50,0)</f>
        <v>31788</v>
      </c>
      <c r="D51" s="232"/>
      <c r="E51" s="232"/>
      <c r="F51" s="264"/>
      <c r="G51" s="234" t="s">
        <v>37</v>
      </c>
    </row>
    <row r="52" spans="1:7" s="208" customFormat="1" ht="16.5" thickBot="1">
      <c r="A52" s="265" t="s">
        <v>38</v>
      </c>
      <c r="B52" s="266"/>
      <c r="C52" s="267">
        <f ca="1">C31+C51</f>
        <v>65425</v>
      </c>
      <c r="D52" s="266"/>
      <c r="E52" s="266"/>
      <c r="F52" s="266"/>
      <c r="G52" s="268"/>
    </row>
    <row r="55" spans="1:7" ht="15">
      <c r="B55" s="270" t="s">
        <v>39</v>
      </c>
      <c r="C55" s="271"/>
    </row>
    <row r="56" spans="1:7">
      <c r="B56" s="273" t="s">
        <v>40</v>
      </c>
      <c r="C56" s="274">
        <f ca="1">ROUND(C51/C52,3)</f>
        <v>0.48599999999999999</v>
      </c>
    </row>
    <row r="57" spans="1:7">
      <c r="B57" s="273" t="s">
        <v>41</v>
      </c>
      <c r="C57" s="275">
        <f ca="1">1-C56</f>
        <v>0.51400000000000001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0"/>
      <c r="C2" s="3560"/>
      <c r="D2" s="3560"/>
      <c r="E2" s="3560"/>
    </row>
    <row r="3" spans="1:5" ht="18">
      <c r="A3" s="3561" t="str">
        <f>IF(项目基本情况!B9="房地产市场价值","估价结果一览表（市场价值不需“结果表-1”）","估价结果一览表")</f>
        <v>估价结果一览表</v>
      </c>
      <c r="B3" s="3561"/>
      <c r="C3" s="3561"/>
      <c r="D3" s="3561"/>
      <c r="E3" s="3561"/>
    </row>
    <row r="4" spans="1:5" ht="19.5" thickBot="1">
      <c r="A4" s="1493"/>
      <c r="B4" s="3559" t="s">
        <v>917</v>
      </c>
      <c r="C4" s="3559"/>
      <c r="D4" s="3559"/>
      <c r="E4" s="1493"/>
    </row>
    <row r="5" spans="1:5" ht="16.5" thickTop="1">
      <c r="A5" s="1491"/>
      <c r="B5" s="3557" t="s">
        <v>909</v>
      </c>
      <c r="C5" s="1494" t="s">
        <v>910</v>
      </c>
      <c r="D5" s="850">
        <f ca="1">结果表!H101</f>
        <v>212123</v>
      </c>
      <c r="E5" s="1491"/>
    </row>
    <row r="6" spans="1:5" ht="15.75">
      <c r="A6" s="1491"/>
      <c r="B6" s="3557"/>
      <c r="C6" s="1494" t="s">
        <v>911</v>
      </c>
      <c r="D6" s="850" t="str">
        <f ca="1">NUMBERSTRING(INT(D5*10000),2)&amp;"元整"</f>
        <v>贰拾壹亿贰仟壹佰贰拾叁万元整</v>
      </c>
      <c r="E6" s="1491"/>
    </row>
    <row r="7" spans="1:5" ht="15.75">
      <c r="A7" s="1491"/>
      <c r="B7" s="3562"/>
      <c r="C7" s="1495" t="s">
        <v>912</v>
      </c>
      <c r="D7" s="851">
        <f ca="1">结果表!H102</f>
        <v>36922</v>
      </c>
      <c r="E7" s="1491"/>
    </row>
    <row r="8" spans="1:5" ht="15.75">
      <c r="A8" s="1491"/>
      <c r="B8" s="3563" t="str">
        <f>结果表!E103</f>
        <v>2.估价师知悉的法定优先受偿款</v>
      </c>
      <c r="C8" s="1496" t="s">
        <v>913</v>
      </c>
      <c r="D8" s="851">
        <f>结果表!H103</f>
        <v>0</v>
      </c>
      <c r="E8" s="1491"/>
    </row>
    <row r="9" spans="1:5" ht="15.75">
      <c r="A9" s="1491"/>
      <c r="B9" s="35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56" t="str">
        <f>结果表!E107</f>
        <v>3.房地产抵押价值</v>
      </c>
      <c r="C13" s="1499" t="s">
        <v>910</v>
      </c>
      <c r="D13" s="853">
        <f ca="1">结果表!H107</f>
        <v>212123</v>
      </c>
      <c r="E13" s="1491"/>
    </row>
    <row r="14" spans="1:5" ht="15.75">
      <c r="A14" s="1491"/>
      <c r="B14" s="3557"/>
      <c r="C14" s="1494" t="s">
        <v>911</v>
      </c>
      <c r="D14" s="850" t="str">
        <f ca="1">NUMBERSTRING(INT(D13*10000),2)&amp;"元整"</f>
        <v>贰拾壹亿贰仟壹佰贰拾叁万元整</v>
      </c>
      <c r="E14" s="1491"/>
    </row>
    <row r="15" spans="1:5" ht="15">
      <c r="A15" s="1491"/>
      <c r="B15" s="3562"/>
      <c r="C15" s="1495" t="s">
        <v>921</v>
      </c>
      <c r="D15" s="859">
        <f ca="1">结果表!H108</f>
        <v>36922</v>
      </c>
      <c r="E15" s="1491"/>
    </row>
    <row r="16" spans="1:5" ht="15">
      <c r="A16" s="1491"/>
      <c r="B16" s="3563" t="str">
        <f>结果表!E109</f>
        <v>——</v>
      </c>
      <c r="C16" s="1499" t="s">
        <v>922</v>
      </c>
      <c r="D16" s="1500" t="str">
        <f>结果表!H109</f>
        <v>——</v>
      </c>
      <c r="E16" s="1491"/>
    </row>
    <row r="17" spans="1:5" ht="15.75">
      <c r="A17" s="1491"/>
      <c r="B17" s="3564"/>
      <c r="C17" s="1494" t="s">
        <v>923</v>
      </c>
      <c r="D17" s="850" t="e">
        <f>NUMBERSTRING(INT(D16*10000),2)&amp;"元整"</f>
        <v>#VALUE!</v>
      </c>
      <c r="E17" s="1491"/>
    </row>
    <row r="18" spans="1:5" ht="15">
      <c r="A18" s="1491"/>
      <c r="B18" s="3565"/>
      <c r="C18" s="1495" t="s">
        <v>912</v>
      </c>
      <c r="D18" s="859" t="str">
        <f>结果表!H110</f>
        <v>——</v>
      </c>
      <c r="E18" s="1491"/>
    </row>
    <row r="19" spans="1:5" ht="15.75">
      <c r="A19" s="1491"/>
      <c r="B19" s="3556" t="str">
        <f>结果表!E111</f>
        <v>——</v>
      </c>
      <c r="C19" s="1499" t="s">
        <v>910</v>
      </c>
      <c r="D19" s="851" t="str">
        <f>结果表!H111</f>
        <v>——</v>
      </c>
      <c r="E19" s="1491"/>
    </row>
    <row r="20" spans="1:5" ht="15.75">
      <c r="A20" s="1491"/>
      <c r="B20" s="3557"/>
      <c r="C20" s="1494" t="s">
        <v>923</v>
      </c>
      <c r="D20" s="850" t="e">
        <f>NUMBERSTRING(INT(D19*10000),2)&amp;"元整"</f>
        <v>#VALUE!</v>
      </c>
      <c r="E20" s="1491"/>
    </row>
    <row r="21" spans="1:5" ht="15.75" thickBot="1">
      <c r="A21" s="1491"/>
      <c r="B21" s="35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76" t="s">
        <v>2844</v>
      </c>
      <c r="B1" s="3876"/>
      <c r="C1" s="3876"/>
      <c r="D1" s="3876"/>
      <c r="E1" s="3876"/>
      <c r="F1" s="3876"/>
      <c r="G1" s="3877"/>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874"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875"/>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78" t="s">
        <v>3186</v>
      </c>
      <c r="B1" s="3878"/>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79" t="s">
        <v>3237</v>
      </c>
      <c r="B1" s="3879"/>
      <c r="C1" s="3879"/>
      <c r="D1" s="3879"/>
      <c r="E1" s="3879"/>
      <c r="F1" s="3880"/>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45040</v>
      </c>
      <c r="B1" s="3208" t="s">
        <v>2843</v>
      </c>
      <c r="C1" s="3209"/>
      <c r="D1" s="3209"/>
      <c r="E1" s="3209"/>
      <c r="F1" s="3209"/>
      <c r="G1" s="3209"/>
      <c r="H1" s="3209"/>
      <c r="I1" s="3209"/>
      <c r="J1" s="3163"/>
      <c r="K1" s="3209" t="s">
        <v>454</v>
      </c>
      <c r="L1" s="3209"/>
      <c r="M1" s="3209"/>
      <c r="N1" s="3209"/>
      <c r="O1" s="3209"/>
      <c r="P1" s="3209"/>
      <c r="Q1" s="3163"/>
      <c r="R1" s="3881" t="s">
        <v>456</v>
      </c>
      <c r="S1" s="3882"/>
      <c r="T1" s="3882"/>
      <c r="U1" s="3882"/>
      <c r="V1" s="3882"/>
      <c r="W1" s="3882"/>
      <c r="X1" s="3163"/>
      <c r="Y1" s="3881" t="s">
        <v>457</v>
      </c>
      <c r="Z1" s="3882"/>
      <c r="AA1" s="3882"/>
      <c r="AB1" s="3882"/>
      <c r="AC1" s="3882"/>
      <c r="AD1" s="3882"/>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3371</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3374</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3367</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3369</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881" t="s">
        <v>2831</v>
      </c>
      <c r="S21" s="3882"/>
      <c r="T21" s="3882"/>
      <c r="U21" s="3882"/>
      <c r="V21" s="3882"/>
      <c r="W21" s="3882"/>
      <c r="X21" s="3163"/>
      <c r="Y21" s="3881" t="s">
        <v>2832</v>
      </c>
      <c r="Z21" s="3882"/>
      <c r="AA21" s="3882"/>
      <c r="AB21" s="3882"/>
      <c r="AC21" s="3882"/>
      <c r="AD21" s="3882"/>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3371</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3374</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3368</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88" t="s">
        <v>452</v>
      </c>
      <c r="C1" s="3888"/>
      <c r="D1" s="3888"/>
      <c r="E1" s="3888"/>
      <c r="F1" s="3888"/>
      <c r="G1" s="3887" t="s">
        <v>453</v>
      </c>
      <c r="H1" s="3887"/>
      <c r="I1" s="3887"/>
      <c r="J1" s="3887"/>
      <c r="K1" s="3887"/>
      <c r="L1" s="3887"/>
      <c r="N1" s="3887" t="s">
        <v>454</v>
      </c>
      <c r="O1" s="3887"/>
      <c r="P1" s="3887"/>
      <c r="Q1" s="3887"/>
      <c r="S1" s="3887" t="s">
        <v>455</v>
      </c>
      <c r="T1" s="3887"/>
      <c r="U1" s="3887"/>
      <c r="V1" s="3887"/>
      <c r="X1" s="3886" t="s">
        <v>456</v>
      </c>
      <c r="Y1" s="3887"/>
      <c r="Z1" s="3887"/>
      <c r="AA1" s="3887"/>
      <c r="AB1" s="3887"/>
      <c r="AD1" s="3886" t="s">
        <v>457</v>
      </c>
      <c r="AE1" s="3887"/>
      <c r="AF1" s="3887"/>
      <c r="AG1" s="3887"/>
      <c r="AH1" s="388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8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8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8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9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8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8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8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9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8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8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8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8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8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8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8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8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8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8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8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8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9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9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9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9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8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8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8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8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8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8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8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8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8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8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8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8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8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8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8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8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8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8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8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8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8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8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8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8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8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8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8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8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8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8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8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8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8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8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8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8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8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8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8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8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8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8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8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8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45040</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86"/>
  <sheetViews>
    <sheetView topLeftCell="A46" workbookViewId="0">
      <selection activeCell="K62" sqref="K62"/>
    </sheetView>
  </sheetViews>
  <sheetFormatPr defaultRowHeight="13.5"/>
  <sheetData>
    <row r="5" spans="2:9">
      <c r="B5" s="3550" t="s">
        <v>4456</v>
      </c>
      <c r="C5" t="s">
        <v>3380</v>
      </c>
      <c r="D5" s="3550" t="s">
        <v>4456</v>
      </c>
      <c r="E5" t="s">
        <v>3380</v>
      </c>
      <c r="F5" s="3550" t="s">
        <v>4456</v>
      </c>
      <c r="G5" t="s">
        <v>3380</v>
      </c>
      <c r="H5" s="3550" t="s">
        <v>4456</v>
      </c>
      <c r="I5" t="s">
        <v>3380</v>
      </c>
    </row>
    <row r="6" spans="2:9">
      <c r="B6" s="3502" t="s">
        <v>3381</v>
      </c>
      <c r="C6" s="3502">
        <v>80.290000000000006</v>
      </c>
      <c r="D6" s="3502" t="s">
        <v>3382</v>
      </c>
      <c r="E6" s="3502">
        <v>55.3</v>
      </c>
      <c r="F6" s="3502" t="s">
        <v>3383</v>
      </c>
      <c r="G6" s="3502">
        <v>1047.98</v>
      </c>
      <c r="H6" s="3502" t="s">
        <v>3384</v>
      </c>
      <c r="I6" s="3502">
        <v>5889.24</v>
      </c>
    </row>
    <row r="7" spans="2:9">
      <c r="B7" s="3502" t="s">
        <v>3385</v>
      </c>
      <c r="C7" s="3502">
        <v>94.82</v>
      </c>
      <c r="D7" s="3502" t="s">
        <v>3386</v>
      </c>
      <c r="E7" s="3502">
        <v>92.06</v>
      </c>
      <c r="F7" s="3502" t="s">
        <v>3387</v>
      </c>
      <c r="G7" s="3502">
        <v>1611.44</v>
      </c>
      <c r="H7" s="3502" t="s">
        <v>3388</v>
      </c>
      <c r="I7" s="3502">
        <v>1660.14</v>
      </c>
    </row>
    <row r="8" spans="2:9">
      <c r="B8" s="3502" t="s">
        <v>3389</v>
      </c>
      <c r="C8" s="3502">
        <v>78.37</v>
      </c>
      <c r="D8" s="3502" t="s">
        <v>3390</v>
      </c>
      <c r="E8" s="3502">
        <v>92.7</v>
      </c>
      <c r="F8" s="3502" t="s">
        <v>3391</v>
      </c>
      <c r="G8" s="3502">
        <v>306.62</v>
      </c>
      <c r="H8" s="3502" t="s">
        <v>3392</v>
      </c>
      <c r="I8" s="3502">
        <v>3633.14</v>
      </c>
    </row>
    <row r="9" spans="2:9">
      <c r="B9" s="3502" t="s">
        <v>3393</v>
      </c>
      <c r="C9" s="3502">
        <v>2556.9</v>
      </c>
      <c r="D9" s="3502" t="s">
        <v>3394</v>
      </c>
      <c r="E9" s="3502">
        <v>91.02</v>
      </c>
      <c r="F9" s="3502" t="s">
        <v>3395</v>
      </c>
      <c r="G9" s="3502">
        <v>3327.37</v>
      </c>
      <c r="H9" s="3502" t="s">
        <v>3396</v>
      </c>
      <c r="I9" s="3502">
        <v>1056.69</v>
      </c>
    </row>
    <row r="10" spans="2:9">
      <c r="B10" s="3502" t="s">
        <v>3397</v>
      </c>
      <c r="C10" s="3502">
        <v>104.94</v>
      </c>
      <c r="D10" s="3502" t="s">
        <v>3398</v>
      </c>
      <c r="E10" s="3502">
        <v>91.91</v>
      </c>
      <c r="F10" s="3502" t="s">
        <v>3399</v>
      </c>
      <c r="G10" s="3502">
        <v>44.21</v>
      </c>
      <c r="H10" s="3502" t="s">
        <v>3400</v>
      </c>
      <c r="I10" s="3502">
        <v>4123.1499999999996</v>
      </c>
    </row>
    <row r="11" spans="2:9">
      <c r="B11" s="3502" t="s">
        <v>3401</v>
      </c>
      <c r="C11" s="3502">
        <v>98.96</v>
      </c>
      <c r="D11" s="3502" t="s">
        <v>3402</v>
      </c>
      <c r="E11" s="3502">
        <v>4366.96</v>
      </c>
      <c r="F11" s="3502" t="s">
        <v>3403</v>
      </c>
      <c r="G11" s="3502">
        <v>2046.23</v>
      </c>
      <c r="H11" s="3502" t="s">
        <v>3404</v>
      </c>
      <c r="I11" s="3502">
        <v>873.55</v>
      </c>
    </row>
    <row r="12" spans="2:9">
      <c r="B12" s="3502" t="s">
        <v>3405</v>
      </c>
      <c r="C12" s="3502">
        <v>97.33</v>
      </c>
      <c r="D12" s="3502" t="s">
        <v>3406</v>
      </c>
      <c r="E12" s="3502">
        <v>100.12</v>
      </c>
      <c r="F12" s="3502" t="s">
        <v>3407</v>
      </c>
      <c r="G12" s="3502">
        <v>488.14</v>
      </c>
      <c r="H12" s="3502" t="s">
        <v>3408</v>
      </c>
      <c r="I12" s="3502">
        <v>4079.62</v>
      </c>
    </row>
    <row r="13" spans="2:9">
      <c r="B13" s="3502" t="s">
        <v>3409</v>
      </c>
      <c r="C13" s="3502">
        <v>91.7</v>
      </c>
      <c r="D13" s="3502" t="s">
        <v>3410</v>
      </c>
      <c r="E13" s="3502">
        <v>93.2</v>
      </c>
      <c r="F13" s="3502" t="s">
        <v>3411</v>
      </c>
      <c r="G13" s="3502">
        <v>3006.76</v>
      </c>
      <c r="H13" s="3502" t="s">
        <v>3412</v>
      </c>
      <c r="I13" s="3502">
        <v>922.01</v>
      </c>
    </row>
    <row r="14" spans="2:9">
      <c r="B14" s="3502" t="s">
        <v>3413</v>
      </c>
      <c r="C14" s="3502">
        <v>46.81</v>
      </c>
      <c r="D14" s="3502" t="s">
        <v>3414</v>
      </c>
      <c r="E14" s="3502">
        <v>92.99</v>
      </c>
      <c r="F14" s="3502" t="s">
        <v>3415</v>
      </c>
      <c r="G14" s="3502">
        <v>462.17</v>
      </c>
      <c r="H14" s="3502"/>
      <c r="I14" s="3502"/>
    </row>
    <row r="15" spans="2:9">
      <c r="B15" s="3502" t="s">
        <v>3416</v>
      </c>
      <c r="C15" s="3502">
        <v>79.540000000000006</v>
      </c>
      <c r="D15" s="3502" t="s">
        <v>3417</v>
      </c>
      <c r="E15" s="3502">
        <v>59.52</v>
      </c>
      <c r="F15" s="3502" t="s">
        <v>3418</v>
      </c>
      <c r="G15" s="3502">
        <v>5079.55</v>
      </c>
      <c r="H15" s="3502"/>
      <c r="I15" s="3502"/>
    </row>
    <row r="16" spans="2:9">
      <c r="B16" s="3502" t="s">
        <v>3419</v>
      </c>
      <c r="C16" s="3502">
        <v>52</v>
      </c>
      <c r="D16" s="3502" t="s">
        <v>3420</v>
      </c>
      <c r="E16" s="3502">
        <v>55.33</v>
      </c>
      <c r="F16" s="3502"/>
      <c r="G16" s="3502"/>
      <c r="H16" s="3502"/>
      <c r="I16" s="3502"/>
    </row>
    <row r="17" spans="2:9">
      <c r="B17" s="3502" t="s">
        <v>3421</v>
      </c>
      <c r="C17" s="3502">
        <v>4144.49</v>
      </c>
      <c r="D17" s="3502" t="s">
        <v>3422</v>
      </c>
      <c r="E17" s="3502">
        <v>91.89</v>
      </c>
      <c r="F17" s="3502"/>
      <c r="G17" s="3502"/>
      <c r="H17" s="3502"/>
      <c r="I17" s="3502"/>
    </row>
    <row r="18" spans="2:9">
      <c r="B18" s="3502" t="s">
        <v>3423</v>
      </c>
      <c r="C18" s="3502">
        <v>100.71</v>
      </c>
      <c r="D18" s="3502" t="s">
        <v>3424</v>
      </c>
      <c r="E18" s="3502">
        <v>92.8</v>
      </c>
      <c r="F18" s="3502"/>
      <c r="G18" s="3502"/>
      <c r="H18" s="3502"/>
      <c r="I18" s="3502"/>
    </row>
    <row r="19" spans="2:9">
      <c r="B19" s="3502" t="s">
        <v>3425</v>
      </c>
      <c r="C19" s="3502">
        <v>91.86</v>
      </c>
      <c r="D19" s="3502" t="s">
        <v>3426</v>
      </c>
      <c r="E19" s="3502">
        <v>91.12</v>
      </c>
      <c r="F19" s="3502"/>
      <c r="G19" s="3502"/>
      <c r="H19" s="3502"/>
      <c r="I19" s="3502"/>
    </row>
    <row r="20" spans="2:9">
      <c r="B20" s="3503" t="s">
        <v>4149</v>
      </c>
      <c r="C20" s="3502">
        <v>91.56</v>
      </c>
      <c r="D20" s="3502" t="s">
        <v>3427</v>
      </c>
      <c r="E20" s="3502">
        <v>91.69</v>
      </c>
      <c r="F20" s="3502"/>
      <c r="G20" s="3502"/>
      <c r="H20" s="3502"/>
      <c r="I20" s="3502"/>
    </row>
    <row r="21" spans="2:9">
      <c r="B21" s="3502" t="s">
        <v>3428</v>
      </c>
      <c r="C21" s="3502">
        <v>54.21</v>
      </c>
      <c r="D21" s="3502" t="s">
        <v>3429</v>
      </c>
      <c r="E21" s="3502">
        <v>4370.9799999999996</v>
      </c>
      <c r="F21" s="3502"/>
      <c r="G21" s="3502"/>
      <c r="H21" s="3502"/>
      <c r="I21" s="3502"/>
    </row>
    <row r="25" spans="2:9" ht="15.75">
      <c r="B25" s="3449"/>
      <c r="C25" s="3450" t="s">
        <v>3430</v>
      </c>
      <c r="D25" s="3450" t="s">
        <v>3431</v>
      </c>
      <c r="E25" s="3450" t="s">
        <v>3432</v>
      </c>
      <c r="F25" s="3450" t="s">
        <v>3433</v>
      </c>
    </row>
    <row r="26" spans="2:9" ht="15.75">
      <c r="B26" s="3451" t="s">
        <v>3434</v>
      </c>
      <c r="C26" s="3452">
        <f>SUM(C6:C11)</f>
        <v>3014.28</v>
      </c>
      <c r="D26" s="3452">
        <f>SUM(G6)</f>
        <v>1047.98</v>
      </c>
      <c r="E26" s="3452">
        <f>SUM(I6:I7)</f>
        <v>7549.38</v>
      </c>
      <c r="F26" s="3452">
        <f>SUM(C26:E26)</f>
        <v>11611.64</v>
      </c>
    </row>
    <row r="27" spans="2:9" ht="15.75">
      <c r="B27" s="3451" t="s">
        <v>3435</v>
      </c>
      <c r="C27" s="3452">
        <f>SUM(C12:C17)</f>
        <v>4511.87</v>
      </c>
      <c r="D27" s="3452">
        <f>SUM(G7:G10)</f>
        <v>5289.64</v>
      </c>
      <c r="E27" s="3452">
        <f>SUM(I8:I9)</f>
        <v>4689.83</v>
      </c>
      <c r="F27" s="3452">
        <f t="shared" ref="F27:F30" si="0">SUM(C27:E27)</f>
        <v>14491.34</v>
      </c>
    </row>
    <row r="28" spans="2:9" ht="15.75">
      <c r="B28" s="3451" t="s">
        <v>3436</v>
      </c>
      <c r="C28" s="3452">
        <f>SUM(C18:C21)+SUM(E6:E11)</f>
        <v>5128.29</v>
      </c>
      <c r="D28" s="3452">
        <f>SUM(G11:G13)</f>
        <v>5541.13</v>
      </c>
      <c r="E28" s="3452">
        <f>SUM(I10:I11)</f>
        <v>4996.7</v>
      </c>
      <c r="F28" s="3452">
        <f t="shared" si="0"/>
        <v>15666.119999999999</v>
      </c>
    </row>
    <row r="29" spans="2:9" ht="15.75">
      <c r="B29" s="3449" t="s">
        <v>3437</v>
      </c>
      <c r="C29" s="3450">
        <f>SUM(E12:E21)</f>
        <v>5139.6399999999994</v>
      </c>
      <c r="D29" s="3450">
        <f>SUM(G14:G15)</f>
        <v>5541.72</v>
      </c>
      <c r="E29" s="3450">
        <f>SUM(I12:I13)</f>
        <v>5001.63</v>
      </c>
      <c r="F29" s="3450">
        <f t="shared" si="0"/>
        <v>15682.990000000002</v>
      </c>
    </row>
    <row r="30" spans="2:9" ht="15.75">
      <c r="B30" s="3451"/>
      <c r="C30" s="3452">
        <f>SUM(C26:C29)</f>
        <v>17794.079999999998</v>
      </c>
      <c r="D30" s="3452">
        <f t="shared" ref="D30:E30" si="1">SUM(D26:D29)</f>
        <v>17420.47</v>
      </c>
      <c r="E30" s="3452">
        <f t="shared" si="1"/>
        <v>22237.54</v>
      </c>
      <c r="F30" s="3452">
        <f t="shared" si="0"/>
        <v>57452.090000000004</v>
      </c>
    </row>
    <row r="35" spans="1:6">
      <c r="A35" s="3550" t="s">
        <v>4464</v>
      </c>
      <c r="B35" s="3550" t="s">
        <v>4456</v>
      </c>
      <c r="C35" s="3550" t="s">
        <v>4460</v>
      </c>
      <c r="D35" t="s">
        <v>4461</v>
      </c>
      <c r="E35" t="s">
        <v>3380</v>
      </c>
      <c r="F35" s="3550" t="s">
        <v>4458</v>
      </c>
    </row>
    <row r="36" spans="1:6">
      <c r="A36">
        <v>1</v>
      </c>
      <c r="B36" s="3502" t="s">
        <v>3381</v>
      </c>
      <c r="C36" t="s">
        <v>4462</v>
      </c>
      <c r="D36" t="s">
        <v>4463</v>
      </c>
      <c r="E36" s="3502">
        <v>80.290000000000006</v>
      </c>
      <c r="F36" s="3550" t="s">
        <v>4459</v>
      </c>
    </row>
    <row r="37" spans="1:6">
      <c r="A37">
        <v>2</v>
      </c>
      <c r="B37" s="3502" t="s">
        <v>3385</v>
      </c>
      <c r="C37" t="s">
        <v>4462</v>
      </c>
      <c r="D37" t="s">
        <v>4463</v>
      </c>
      <c r="E37" s="3502">
        <v>94.82</v>
      </c>
      <c r="F37" s="3550" t="s">
        <v>4459</v>
      </c>
    </row>
    <row r="38" spans="1:6">
      <c r="A38">
        <v>3</v>
      </c>
      <c r="B38" s="3502" t="s">
        <v>3389</v>
      </c>
      <c r="C38" t="s">
        <v>4462</v>
      </c>
      <c r="D38" t="s">
        <v>4463</v>
      </c>
      <c r="E38" s="3502">
        <v>78.37</v>
      </c>
      <c r="F38" s="3550" t="s">
        <v>4459</v>
      </c>
    </row>
    <row r="39" spans="1:6">
      <c r="A39">
        <v>4</v>
      </c>
      <c r="B39" s="3502" t="s">
        <v>3393</v>
      </c>
      <c r="C39" t="s">
        <v>4462</v>
      </c>
      <c r="D39" t="s">
        <v>4463</v>
      </c>
      <c r="E39" s="3502">
        <v>2556.9</v>
      </c>
      <c r="F39" s="3550" t="s">
        <v>4459</v>
      </c>
    </row>
    <row r="40" spans="1:6">
      <c r="A40">
        <v>5</v>
      </c>
      <c r="B40" s="3502" t="s">
        <v>3397</v>
      </c>
      <c r="C40" t="s">
        <v>4462</v>
      </c>
      <c r="D40" t="s">
        <v>4463</v>
      </c>
      <c r="E40" s="3502">
        <v>104.94</v>
      </c>
      <c r="F40" s="3550" t="s">
        <v>4459</v>
      </c>
    </row>
    <row r="41" spans="1:6">
      <c r="A41">
        <v>6</v>
      </c>
      <c r="B41" s="3502" t="s">
        <v>3401</v>
      </c>
      <c r="C41" t="s">
        <v>4462</v>
      </c>
      <c r="D41" t="s">
        <v>4463</v>
      </c>
      <c r="E41" s="3502">
        <v>98.96</v>
      </c>
      <c r="F41" s="3550" t="s">
        <v>4459</v>
      </c>
    </row>
    <row r="42" spans="1:6">
      <c r="A42">
        <v>7</v>
      </c>
      <c r="B42" s="3502" t="s">
        <v>3405</v>
      </c>
      <c r="C42" t="s">
        <v>4462</v>
      </c>
      <c r="D42" t="s">
        <v>4463</v>
      </c>
      <c r="E42" s="3502">
        <v>97.33</v>
      </c>
      <c r="F42" s="3550" t="s">
        <v>4459</v>
      </c>
    </row>
    <row r="43" spans="1:6">
      <c r="A43">
        <v>8</v>
      </c>
      <c r="B43" s="3502" t="s">
        <v>3409</v>
      </c>
      <c r="C43" t="s">
        <v>4462</v>
      </c>
      <c r="D43" t="s">
        <v>4463</v>
      </c>
      <c r="E43" s="3502">
        <v>91.7</v>
      </c>
      <c r="F43" s="3550" t="s">
        <v>4459</v>
      </c>
    </row>
    <row r="44" spans="1:6">
      <c r="A44">
        <v>9</v>
      </c>
      <c r="B44" s="3502" t="s">
        <v>3413</v>
      </c>
      <c r="C44" t="s">
        <v>4462</v>
      </c>
      <c r="D44" t="s">
        <v>4463</v>
      </c>
      <c r="E44" s="3502">
        <v>46.81</v>
      </c>
      <c r="F44" s="3550" t="s">
        <v>4459</v>
      </c>
    </row>
    <row r="45" spans="1:6">
      <c r="A45">
        <v>10</v>
      </c>
      <c r="B45" s="3502" t="s">
        <v>3416</v>
      </c>
      <c r="C45" t="s">
        <v>4462</v>
      </c>
      <c r="D45" t="s">
        <v>4463</v>
      </c>
      <c r="E45" s="3502">
        <v>79.540000000000006</v>
      </c>
      <c r="F45" s="3550" t="s">
        <v>4459</v>
      </c>
    </row>
    <row r="46" spans="1:6">
      <c r="A46">
        <v>11</v>
      </c>
      <c r="B46" s="3502" t="s">
        <v>3419</v>
      </c>
      <c r="C46" t="s">
        <v>4462</v>
      </c>
      <c r="D46" t="s">
        <v>4463</v>
      </c>
      <c r="E46" s="3502">
        <v>52</v>
      </c>
      <c r="F46" s="3550" t="s">
        <v>4459</v>
      </c>
    </row>
    <row r="47" spans="1:6">
      <c r="A47">
        <v>12</v>
      </c>
      <c r="B47" s="3502" t="s">
        <v>3421</v>
      </c>
      <c r="C47" t="s">
        <v>4462</v>
      </c>
      <c r="D47" t="s">
        <v>4463</v>
      </c>
      <c r="E47" s="3502">
        <v>4144.49</v>
      </c>
      <c r="F47" s="3550" t="s">
        <v>4459</v>
      </c>
    </row>
    <row r="48" spans="1:6">
      <c r="A48">
        <v>13</v>
      </c>
      <c r="B48" s="3502" t="s">
        <v>3423</v>
      </c>
      <c r="C48" t="s">
        <v>4462</v>
      </c>
      <c r="D48" t="s">
        <v>4463</v>
      </c>
      <c r="E48" s="3502">
        <v>100.71</v>
      </c>
      <c r="F48" s="3550" t="s">
        <v>4459</v>
      </c>
    </row>
    <row r="49" spans="1:6">
      <c r="A49">
        <v>14</v>
      </c>
      <c r="B49" s="3502" t="s">
        <v>3425</v>
      </c>
      <c r="C49" t="s">
        <v>4462</v>
      </c>
      <c r="D49" t="s">
        <v>4463</v>
      </c>
      <c r="E49" s="3502">
        <v>91.86</v>
      </c>
      <c r="F49" s="3550" t="s">
        <v>4459</v>
      </c>
    </row>
    <row r="50" spans="1:6">
      <c r="A50">
        <v>15</v>
      </c>
      <c r="B50" s="3503" t="s">
        <v>4149</v>
      </c>
      <c r="C50" t="s">
        <v>4462</v>
      </c>
      <c r="D50" t="s">
        <v>4463</v>
      </c>
      <c r="E50" s="3502">
        <v>91.56</v>
      </c>
      <c r="F50" s="3550" t="s">
        <v>4459</v>
      </c>
    </row>
    <row r="51" spans="1:6">
      <c r="A51">
        <v>16</v>
      </c>
      <c r="B51" s="3502" t="s">
        <v>3428</v>
      </c>
      <c r="C51" t="s">
        <v>4462</v>
      </c>
      <c r="D51" t="s">
        <v>4463</v>
      </c>
      <c r="E51" s="3502">
        <v>54.21</v>
      </c>
      <c r="F51" s="3550" t="s">
        <v>4459</v>
      </c>
    </row>
    <row r="52" spans="1:6">
      <c r="A52">
        <v>17</v>
      </c>
      <c r="B52" s="3502" t="s">
        <v>3382</v>
      </c>
      <c r="C52" t="s">
        <v>4462</v>
      </c>
      <c r="D52" t="s">
        <v>4463</v>
      </c>
      <c r="E52" s="3502">
        <v>55.3</v>
      </c>
      <c r="F52" s="3550" t="s">
        <v>4459</v>
      </c>
    </row>
    <row r="53" spans="1:6">
      <c r="A53">
        <v>18</v>
      </c>
      <c r="B53" s="3502" t="s">
        <v>3386</v>
      </c>
      <c r="C53" t="s">
        <v>4462</v>
      </c>
      <c r="D53" t="s">
        <v>4463</v>
      </c>
      <c r="E53" s="3502">
        <v>92.06</v>
      </c>
      <c r="F53" s="3550" t="s">
        <v>4459</v>
      </c>
    </row>
    <row r="54" spans="1:6">
      <c r="A54">
        <v>19</v>
      </c>
      <c r="B54" s="3502" t="s">
        <v>3390</v>
      </c>
      <c r="C54" t="s">
        <v>4462</v>
      </c>
      <c r="D54" t="s">
        <v>4463</v>
      </c>
      <c r="E54" s="3502">
        <v>92.7</v>
      </c>
      <c r="F54" s="3550" t="s">
        <v>4459</v>
      </c>
    </row>
    <row r="55" spans="1:6">
      <c r="A55">
        <v>20</v>
      </c>
      <c r="B55" s="3502" t="s">
        <v>3394</v>
      </c>
      <c r="C55" t="s">
        <v>4462</v>
      </c>
      <c r="D55" t="s">
        <v>4463</v>
      </c>
      <c r="E55" s="3502">
        <v>91.02</v>
      </c>
      <c r="F55" s="3550" t="s">
        <v>4459</v>
      </c>
    </row>
    <row r="56" spans="1:6">
      <c r="A56">
        <v>21</v>
      </c>
      <c r="B56" s="3502" t="s">
        <v>3398</v>
      </c>
      <c r="C56" t="s">
        <v>4462</v>
      </c>
      <c r="D56" t="s">
        <v>4463</v>
      </c>
      <c r="E56" s="3502">
        <v>91.91</v>
      </c>
      <c r="F56" s="3550" t="s">
        <v>4459</v>
      </c>
    </row>
    <row r="57" spans="1:6">
      <c r="A57">
        <v>22</v>
      </c>
      <c r="B57" s="3502" t="s">
        <v>3402</v>
      </c>
      <c r="C57" t="s">
        <v>4462</v>
      </c>
      <c r="D57" t="s">
        <v>4463</v>
      </c>
      <c r="E57" s="3502">
        <v>4366.96</v>
      </c>
      <c r="F57" s="3550" t="s">
        <v>4459</v>
      </c>
    </row>
    <row r="58" spans="1:6">
      <c r="A58">
        <v>23</v>
      </c>
      <c r="B58" s="3502" t="s">
        <v>3406</v>
      </c>
      <c r="C58" t="s">
        <v>4462</v>
      </c>
      <c r="D58" t="s">
        <v>4463</v>
      </c>
      <c r="E58" s="3502">
        <v>100.12</v>
      </c>
      <c r="F58" s="3550" t="s">
        <v>4459</v>
      </c>
    </row>
    <row r="59" spans="1:6">
      <c r="A59">
        <v>24</v>
      </c>
      <c r="B59" s="3502" t="s">
        <v>3410</v>
      </c>
      <c r="C59" t="s">
        <v>4462</v>
      </c>
      <c r="D59" t="s">
        <v>4463</v>
      </c>
      <c r="E59" s="3502">
        <v>93.2</v>
      </c>
      <c r="F59" s="3550" t="s">
        <v>4459</v>
      </c>
    </row>
    <row r="60" spans="1:6">
      <c r="A60">
        <v>25</v>
      </c>
      <c r="B60" s="3502" t="s">
        <v>3414</v>
      </c>
      <c r="C60" t="s">
        <v>4462</v>
      </c>
      <c r="D60" t="s">
        <v>4463</v>
      </c>
      <c r="E60" s="3502">
        <v>92.99</v>
      </c>
      <c r="F60" s="3550" t="s">
        <v>4459</v>
      </c>
    </row>
    <row r="61" spans="1:6">
      <c r="A61">
        <v>26</v>
      </c>
      <c r="B61" s="3502" t="s">
        <v>3417</v>
      </c>
      <c r="C61" t="s">
        <v>4462</v>
      </c>
      <c r="D61" t="s">
        <v>4463</v>
      </c>
      <c r="E61" s="3502">
        <v>59.52</v>
      </c>
      <c r="F61" s="3550" t="s">
        <v>4459</v>
      </c>
    </row>
    <row r="62" spans="1:6">
      <c r="A62">
        <v>27</v>
      </c>
      <c r="B62" s="3502" t="s">
        <v>3420</v>
      </c>
      <c r="C62" t="s">
        <v>4462</v>
      </c>
      <c r="D62" t="s">
        <v>4463</v>
      </c>
      <c r="E62" s="3502">
        <v>55.33</v>
      </c>
      <c r="F62" s="3550" t="s">
        <v>4459</v>
      </c>
    </row>
    <row r="63" spans="1:6">
      <c r="A63">
        <v>28</v>
      </c>
      <c r="B63" s="3502" t="s">
        <v>3422</v>
      </c>
      <c r="C63" t="s">
        <v>4462</v>
      </c>
      <c r="D63" t="s">
        <v>4463</v>
      </c>
      <c r="E63" s="3502">
        <v>91.89</v>
      </c>
      <c r="F63" s="3550" t="s">
        <v>4459</v>
      </c>
    </row>
    <row r="64" spans="1:6">
      <c r="A64">
        <v>29</v>
      </c>
      <c r="B64" s="3502" t="s">
        <v>3424</v>
      </c>
      <c r="C64" t="s">
        <v>4462</v>
      </c>
      <c r="D64" t="s">
        <v>4463</v>
      </c>
      <c r="E64" s="3502">
        <v>92.8</v>
      </c>
      <c r="F64" s="3550" t="s">
        <v>4459</v>
      </c>
    </row>
    <row r="65" spans="1:6">
      <c r="A65">
        <v>30</v>
      </c>
      <c r="B65" s="3502" t="s">
        <v>3426</v>
      </c>
      <c r="C65" t="s">
        <v>4462</v>
      </c>
      <c r="D65" t="s">
        <v>4463</v>
      </c>
      <c r="E65" s="3502">
        <v>91.12</v>
      </c>
      <c r="F65" s="3550" t="s">
        <v>4459</v>
      </c>
    </row>
    <row r="66" spans="1:6">
      <c r="A66">
        <v>31</v>
      </c>
      <c r="B66" s="3502" t="s">
        <v>3427</v>
      </c>
      <c r="C66" t="s">
        <v>4462</v>
      </c>
      <c r="D66" t="s">
        <v>4463</v>
      </c>
      <c r="E66" s="3502">
        <v>91.69</v>
      </c>
      <c r="F66" s="3550" t="s">
        <v>4459</v>
      </c>
    </row>
    <row r="67" spans="1:6">
      <c r="A67">
        <v>32</v>
      </c>
      <c r="B67" s="3502" t="s">
        <v>3429</v>
      </c>
      <c r="C67" t="s">
        <v>4462</v>
      </c>
      <c r="D67" t="s">
        <v>4463</v>
      </c>
      <c r="E67" s="3502">
        <v>4370.9799999999996</v>
      </c>
      <c r="F67" s="3550" t="s">
        <v>4459</v>
      </c>
    </row>
    <row r="68" spans="1:6">
      <c r="A68">
        <v>33</v>
      </c>
      <c r="B68" s="3502" t="s">
        <v>3383</v>
      </c>
      <c r="C68" t="s">
        <v>4462</v>
      </c>
      <c r="D68" t="s">
        <v>4463</v>
      </c>
      <c r="E68" s="3502">
        <v>1047.98</v>
      </c>
      <c r="F68" s="3550" t="s">
        <v>4459</v>
      </c>
    </row>
    <row r="69" spans="1:6">
      <c r="A69">
        <v>34</v>
      </c>
      <c r="B69" s="3502" t="s">
        <v>3387</v>
      </c>
      <c r="C69" t="s">
        <v>4462</v>
      </c>
      <c r="D69" t="s">
        <v>4463</v>
      </c>
      <c r="E69" s="3502">
        <v>1611.44</v>
      </c>
      <c r="F69" s="3550" t="s">
        <v>4459</v>
      </c>
    </row>
    <row r="70" spans="1:6">
      <c r="A70">
        <v>35</v>
      </c>
      <c r="B70" s="3502" t="s">
        <v>3391</v>
      </c>
      <c r="C70" t="s">
        <v>4462</v>
      </c>
      <c r="D70" t="s">
        <v>4463</v>
      </c>
      <c r="E70" s="3502">
        <v>306.62</v>
      </c>
      <c r="F70" s="3550" t="s">
        <v>4459</v>
      </c>
    </row>
    <row r="71" spans="1:6">
      <c r="A71">
        <v>36</v>
      </c>
      <c r="B71" s="3502" t="s">
        <v>3395</v>
      </c>
      <c r="C71" t="s">
        <v>4462</v>
      </c>
      <c r="D71" t="s">
        <v>4463</v>
      </c>
      <c r="E71" s="3502">
        <v>3327.37</v>
      </c>
      <c r="F71" s="3550" t="s">
        <v>4459</v>
      </c>
    </row>
    <row r="72" spans="1:6">
      <c r="A72">
        <v>37</v>
      </c>
      <c r="B72" s="3502" t="s">
        <v>3399</v>
      </c>
      <c r="C72" t="s">
        <v>4462</v>
      </c>
      <c r="D72" t="s">
        <v>4463</v>
      </c>
      <c r="E72" s="3502">
        <v>44.21</v>
      </c>
      <c r="F72" s="3550" t="s">
        <v>4459</v>
      </c>
    </row>
    <row r="73" spans="1:6">
      <c r="A73">
        <v>38</v>
      </c>
      <c r="B73" s="3502" t="s">
        <v>3403</v>
      </c>
      <c r="C73" t="s">
        <v>4462</v>
      </c>
      <c r="D73" t="s">
        <v>4463</v>
      </c>
      <c r="E73" s="3502">
        <v>2046.23</v>
      </c>
      <c r="F73" s="3550" t="s">
        <v>4459</v>
      </c>
    </row>
    <row r="74" spans="1:6">
      <c r="A74">
        <v>39</v>
      </c>
      <c r="B74" s="3502" t="s">
        <v>3407</v>
      </c>
      <c r="C74" t="s">
        <v>4462</v>
      </c>
      <c r="D74" t="s">
        <v>4463</v>
      </c>
      <c r="E74" s="3502">
        <v>488.14</v>
      </c>
      <c r="F74" s="3550" t="s">
        <v>4459</v>
      </c>
    </row>
    <row r="75" spans="1:6">
      <c r="A75">
        <v>40</v>
      </c>
      <c r="B75" s="3502" t="s">
        <v>3411</v>
      </c>
      <c r="C75" t="s">
        <v>4462</v>
      </c>
      <c r="D75" t="s">
        <v>4463</v>
      </c>
      <c r="E75" s="3502">
        <v>3006.76</v>
      </c>
      <c r="F75" s="3550" t="s">
        <v>4459</v>
      </c>
    </row>
    <row r="76" spans="1:6">
      <c r="A76">
        <v>41</v>
      </c>
      <c r="B76" s="3502" t="s">
        <v>3415</v>
      </c>
      <c r="C76" t="s">
        <v>4462</v>
      </c>
      <c r="D76" t="s">
        <v>4463</v>
      </c>
      <c r="E76" s="3502">
        <v>462.17</v>
      </c>
      <c r="F76" s="3550" t="s">
        <v>4459</v>
      </c>
    </row>
    <row r="77" spans="1:6">
      <c r="A77">
        <v>42</v>
      </c>
      <c r="B77" s="3502" t="s">
        <v>3418</v>
      </c>
      <c r="C77" t="s">
        <v>4462</v>
      </c>
      <c r="D77" t="s">
        <v>4463</v>
      </c>
      <c r="E77" s="3502">
        <v>5079.55</v>
      </c>
      <c r="F77" s="3550" t="s">
        <v>4459</v>
      </c>
    </row>
    <row r="78" spans="1:6">
      <c r="A78">
        <v>43</v>
      </c>
      <c r="B78" s="3502" t="s">
        <v>3384</v>
      </c>
      <c r="C78" t="s">
        <v>4462</v>
      </c>
      <c r="D78" t="s">
        <v>4463</v>
      </c>
      <c r="E78" s="3502">
        <v>5889.24</v>
      </c>
      <c r="F78" s="3550" t="s">
        <v>4459</v>
      </c>
    </row>
    <row r="79" spans="1:6">
      <c r="A79">
        <v>44</v>
      </c>
      <c r="B79" s="3502" t="s">
        <v>3388</v>
      </c>
      <c r="C79" t="s">
        <v>4462</v>
      </c>
      <c r="D79" t="s">
        <v>4463</v>
      </c>
      <c r="E79" s="3502">
        <v>1660.14</v>
      </c>
      <c r="F79" s="3550" t="s">
        <v>4459</v>
      </c>
    </row>
    <row r="80" spans="1:6">
      <c r="A80">
        <v>45</v>
      </c>
      <c r="B80" s="3502" t="s">
        <v>3392</v>
      </c>
      <c r="C80" t="s">
        <v>4462</v>
      </c>
      <c r="D80" t="s">
        <v>4463</v>
      </c>
      <c r="E80" s="3502">
        <v>3633.14</v>
      </c>
      <c r="F80" s="3550" t="s">
        <v>4459</v>
      </c>
    </row>
    <row r="81" spans="1:6">
      <c r="A81">
        <v>46</v>
      </c>
      <c r="B81" s="3502" t="s">
        <v>3396</v>
      </c>
      <c r="C81" t="s">
        <v>4462</v>
      </c>
      <c r="D81" t="s">
        <v>4463</v>
      </c>
      <c r="E81" s="3502">
        <v>1056.69</v>
      </c>
      <c r="F81" s="3550" t="s">
        <v>4459</v>
      </c>
    </row>
    <row r="82" spans="1:6">
      <c r="A82">
        <v>47</v>
      </c>
      <c r="B82" s="3502" t="s">
        <v>3400</v>
      </c>
      <c r="C82" t="s">
        <v>4462</v>
      </c>
      <c r="D82" t="s">
        <v>4463</v>
      </c>
      <c r="E82" s="3502">
        <v>4123.1499999999996</v>
      </c>
      <c r="F82" s="3550" t="s">
        <v>4459</v>
      </c>
    </row>
    <row r="83" spans="1:6">
      <c r="A83">
        <v>48</v>
      </c>
      <c r="B83" s="3502" t="s">
        <v>3404</v>
      </c>
      <c r="C83" t="s">
        <v>4462</v>
      </c>
      <c r="D83" t="s">
        <v>4463</v>
      </c>
      <c r="E83" s="3502">
        <v>873.55</v>
      </c>
      <c r="F83" s="3550" t="s">
        <v>4459</v>
      </c>
    </row>
    <row r="84" spans="1:6">
      <c r="A84">
        <v>49</v>
      </c>
      <c r="B84" s="3502" t="s">
        <v>3408</v>
      </c>
      <c r="C84" t="s">
        <v>4462</v>
      </c>
      <c r="D84" t="s">
        <v>4463</v>
      </c>
      <c r="E84" s="3502">
        <v>4079.62</v>
      </c>
      <c r="F84" s="3550" t="s">
        <v>4459</v>
      </c>
    </row>
    <row r="85" spans="1:6">
      <c r="A85">
        <v>50</v>
      </c>
      <c r="B85" s="3502" t="s">
        <v>3412</v>
      </c>
      <c r="C85" t="s">
        <v>4462</v>
      </c>
      <c r="D85" t="s">
        <v>4463</v>
      </c>
      <c r="E85" s="3502">
        <v>922.01</v>
      </c>
      <c r="F85" s="3550" t="s">
        <v>4459</v>
      </c>
    </row>
    <row r="86" spans="1:6">
      <c r="B86" s="3553" t="s">
        <v>4457</v>
      </c>
      <c r="E86" s="3502">
        <f>SUM(E36:E85)</f>
        <v>57452.090000000004</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3"/>
  <sheetViews>
    <sheetView topLeftCell="A115" zoomScale="85" zoomScaleNormal="85" workbookViewId="0">
      <selection activeCell="P21" sqref="P21"/>
    </sheetView>
  </sheetViews>
  <sheetFormatPr defaultRowHeight="13.5"/>
  <cols>
    <col min="2" max="2" width="13.625" customWidth="1"/>
    <col min="5" max="5" width="24.75" customWidth="1"/>
    <col min="7" max="7" width="10.5" bestFit="1" customWidth="1"/>
    <col min="12" max="13" width="10.75" customWidth="1"/>
  </cols>
  <sheetData>
    <row r="1" spans="1:14" ht="18.75">
      <c r="A1" s="3454"/>
      <c r="B1" s="3455" t="s">
        <v>3450</v>
      </c>
      <c r="C1" s="3455"/>
      <c r="D1" s="3456"/>
      <c r="E1" s="3456"/>
      <c r="F1" s="3457"/>
      <c r="G1" s="3457"/>
      <c r="H1" s="3457"/>
      <c r="I1" s="3457"/>
      <c r="J1" s="3458"/>
      <c r="K1" s="3459"/>
      <c r="L1" s="3457"/>
      <c r="M1" s="3457"/>
      <c r="N1" s="3457"/>
    </row>
    <row r="2" spans="1:14" ht="14.25">
      <c r="A2" s="3460"/>
      <c r="B2" s="3460"/>
      <c r="C2" s="3461"/>
      <c r="D2" s="3460"/>
      <c r="E2" s="3460"/>
      <c r="F2" s="3462"/>
      <c r="G2" s="3462"/>
      <c r="H2" s="3462"/>
      <c r="I2" s="3462"/>
      <c r="J2" s="3460"/>
      <c r="K2" s="3460"/>
      <c r="L2" s="3462"/>
      <c r="M2" s="3462"/>
      <c r="N2" s="3462"/>
    </row>
    <row r="3" spans="1:14" ht="54">
      <c r="A3" s="3463" t="s">
        <v>3451</v>
      </c>
      <c r="B3" s="3464" t="s">
        <v>3452</v>
      </c>
      <c r="C3" s="3464" t="s">
        <v>3453</v>
      </c>
      <c r="D3" s="3463" t="s">
        <v>3454</v>
      </c>
      <c r="E3" s="3464" t="s">
        <v>3455</v>
      </c>
      <c r="F3" s="3464" t="s">
        <v>3456</v>
      </c>
      <c r="G3" s="3464" t="s">
        <v>3457</v>
      </c>
      <c r="H3" s="3463" t="s">
        <v>3458</v>
      </c>
      <c r="I3" s="3464" t="s">
        <v>3459</v>
      </c>
      <c r="J3" s="3463" t="s">
        <v>3460</v>
      </c>
      <c r="K3" s="3464" t="s">
        <v>3461</v>
      </c>
      <c r="L3" s="3464" t="s">
        <v>3462</v>
      </c>
      <c r="M3" s="3464" t="s">
        <v>3463</v>
      </c>
      <c r="N3" s="3464" t="s">
        <v>3464</v>
      </c>
    </row>
    <row r="4" spans="1:14" s="3502" customFormat="1">
      <c r="A4" s="3467">
        <v>1</v>
      </c>
      <c r="B4" s="3476" t="s">
        <v>3465</v>
      </c>
      <c r="C4" s="3466" t="s">
        <v>3466</v>
      </c>
      <c r="D4" s="3465" t="s">
        <v>3467</v>
      </c>
      <c r="E4" s="3466" t="s">
        <v>3468</v>
      </c>
      <c r="F4" s="3467">
        <v>430</v>
      </c>
      <c r="G4" s="3468">
        <v>54166.67</v>
      </c>
      <c r="H4" s="3467">
        <v>4.141</v>
      </c>
      <c r="I4" s="3467">
        <v>0</v>
      </c>
      <c r="J4" s="3467">
        <v>0</v>
      </c>
      <c r="K4" s="3467">
        <f>G4+I4</f>
        <v>54166.67</v>
      </c>
      <c r="L4" s="3470">
        <v>39365</v>
      </c>
      <c r="M4" s="3470">
        <v>46752</v>
      </c>
      <c r="N4" s="3467" t="s">
        <v>3469</v>
      </c>
    </row>
    <row r="5" spans="1:14" s="3502" customFormat="1" ht="48">
      <c r="A5" s="3467">
        <v>2</v>
      </c>
      <c r="B5" s="3475" t="s">
        <v>3470</v>
      </c>
      <c r="C5" s="3466" t="s">
        <v>3471</v>
      </c>
      <c r="D5" s="3466" t="s">
        <v>3472</v>
      </c>
      <c r="E5" s="3517" t="s">
        <v>4151</v>
      </c>
      <c r="F5" s="3467">
        <v>355.9</v>
      </c>
      <c r="G5" s="3468">
        <v>45833.33</v>
      </c>
      <c r="H5" s="3467">
        <v>4.234</v>
      </c>
      <c r="I5" s="3467">
        <v>0</v>
      </c>
      <c r="J5" s="3467">
        <v>0</v>
      </c>
      <c r="K5" s="3467">
        <f t="shared" ref="K5:K75" si="0">G5+I5</f>
        <v>45833.33</v>
      </c>
      <c r="L5" s="3469">
        <v>39365</v>
      </c>
      <c r="M5" s="3470">
        <v>46752</v>
      </c>
      <c r="N5" s="3467" t="s">
        <v>3469</v>
      </c>
    </row>
    <row r="6" spans="1:14" s="3502" customFormat="1">
      <c r="A6" s="3467">
        <v>3</v>
      </c>
      <c r="B6" s="3476" t="s">
        <v>3473</v>
      </c>
      <c r="C6" s="3466" t="s">
        <v>3474</v>
      </c>
      <c r="D6" s="3466" t="s">
        <v>3475</v>
      </c>
      <c r="E6" s="3466" t="s">
        <v>3476</v>
      </c>
      <c r="F6" s="3467">
        <v>155</v>
      </c>
      <c r="G6" s="3468">
        <v>60016.66</v>
      </c>
      <c r="H6" s="3467">
        <v>12.73</v>
      </c>
      <c r="I6" s="3467">
        <v>1.903</v>
      </c>
      <c r="J6" s="3467">
        <v>8971.85</v>
      </c>
      <c r="K6" s="3467">
        <f t="shared" si="0"/>
        <v>60018.563000000002</v>
      </c>
      <c r="L6" s="3469">
        <v>41365</v>
      </c>
      <c r="M6" s="3470">
        <v>47938</v>
      </c>
      <c r="N6" s="3467" t="s">
        <v>3477</v>
      </c>
    </row>
    <row r="7" spans="1:14" s="3502" customFormat="1">
      <c r="A7" s="3467">
        <v>4</v>
      </c>
      <c r="B7" s="3476" t="s">
        <v>3478</v>
      </c>
      <c r="C7" s="3466" t="s">
        <v>3479</v>
      </c>
      <c r="D7" s="3466" t="s">
        <v>3480</v>
      </c>
      <c r="E7" s="3466" t="s">
        <v>3481</v>
      </c>
      <c r="F7" s="3467">
        <v>56</v>
      </c>
      <c r="G7" s="3468">
        <v>39178.53</v>
      </c>
      <c r="H7" s="3467">
        <v>23.001000000000001</v>
      </c>
      <c r="I7" s="3467">
        <v>3066.38</v>
      </c>
      <c r="J7" s="3467">
        <v>1.8</v>
      </c>
      <c r="K7" s="3467">
        <f t="shared" si="0"/>
        <v>42244.909999999996</v>
      </c>
      <c r="L7" s="3469">
        <v>43282</v>
      </c>
      <c r="M7" s="3470">
        <v>45107</v>
      </c>
      <c r="N7" s="3467" t="s">
        <v>3469</v>
      </c>
    </row>
    <row r="8" spans="1:14" s="3502" customFormat="1">
      <c r="A8" s="3467">
        <v>5</v>
      </c>
      <c r="B8" s="3476" t="s">
        <v>3482</v>
      </c>
      <c r="C8" s="3466" t="s">
        <v>3483</v>
      </c>
      <c r="D8" s="3466" t="s">
        <v>3484</v>
      </c>
      <c r="E8" s="3466" t="s">
        <v>3485</v>
      </c>
      <c r="F8" s="3467">
        <v>732</v>
      </c>
      <c r="G8" s="3468">
        <v>205283.20000000001</v>
      </c>
      <c r="H8" s="3467">
        <v>9.2200000000000006</v>
      </c>
      <c r="I8" s="3467">
        <v>41234.78</v>
      </c>
      <c r="J8" s="3467">
        <v>1.8520000000000001</v>
      </c>
      <c r="K8" s="3467">
        <f t="shared" si="0"/>
        <v>246517.98</v>
      </c>
      <c r="L8" s="3469">
        <v>44144</v>
      </c>
      <c r="M8" s="3470">
        <v>46334</v>
      </c>
      <c r="N8" s="3467" t="s">
        <v>3477</v>
      </c>
    </row>
    <row r="9" spans="1:14" s="3502" customFormat="1">
      <c r="A9" s="3467">
        <v>6</v>
      </c>
      <c r="B9" s="3476" t="s">
        <v>3486</v>
      </c>
      <c r="C9" s="3466" t="s">
        <v>3487</v>
      </c>
      <c r="D9" s="3466" t="s">
        <v>3488</v>
      </c>
      <c r="E9" s="3466" t="s">
        <v>3489</v>
      </c>
      <c r="F9" s="3467">
        <v>150</v>
      </c>
      <c r="G9" s="3468">
        <v>115431.25</v>
      </c>
      <c r="H9" s="3467">
        <v>25.3</v>
      </c>
      <c r="I9" s="3467">
        <v>8449.75</v>
      </c>
      <c r="J9" s="3467">
        <v>1.8520000000000001</v>
      </c>
      <c r="K9" s="3467">
        <f t="shared" si="0"/>
        <v>123881</v>
      </c>
      <c r="L9" s="3469">
        <v>43770</v>
      </c>
      <c r="M9" s="3470">
        <v>45387</v>
      </c>
      <c r="N9" s="3467" t="s">
        <v>3469</v>
      </c>
    </row>
    <row r="10" spans="1:14" s="3502" customFormat="1">
      <c r="A10" s="3467">
        <v>7</v>
      </c>
      <c r="B10" s="3476" t="s">
        <v>3490</v>
      </c>
      <c r="C10" s="3466" t="s">
        <v>3491</v>
      </c>
      <c r="D10" s="3466" t="s">
        <v>3492</v>
      </c>
      <c r="E10" s="3466" t="s">
        <v>3493</v>
      </c>
      <c r="F10" s="3467">
        <v>62</v>
      </c>
      <c r="G10" s="3468">
        <v>43374.17</v>
      </c>
      <c r="H10" s="3467">
        <v>23</v>
      </c>
      <c r="I10" s="3467">
        <v>3492.56</v>
      </c>
      <c r="J10" s="3467">
        <v>1.8520000000000001</v>
      </c>
      <c r="K10" s="3467">
        <f t="shared" si="0"/>
        <v>46866.729999999996</v>
      </c>
      <c r="L10" s="3469">
        <v>44512</v>
      </c>
      <c r="M10" s="3470">
        <v>45572</v>
      </c>
      <c r="N10" s="3467" t="s">
        <v>3477</v>
      </c>
    </row>
    <row r="11" spans="1:14" s="3502" customFormat="1">
      <c r="A11" s="3467">
        <v>8</v>
      </c>
      <c r="B11" s="3476" t="s">
        <v>3494</v>
      </c>
      <c r="C11" s="3466" t="s">
        <v>3495</v>
      </c>
      <c r="D11" s="3466" t="s">
        <v>3496</v>
      </c>
      <c r="E11" s="3466" t="s">
        <v>3497</v>
      </c>
      <c r="F11" s="3467">
        <v>119</v>
      </c>
      <c r="G11" s="3468">
        <v>126685.42</v>
      </c>
      <c r="H11" s="3467">
        <v>35</v>
      </c>
      <c r="I11" s="3467">
        <v>6888.07</v>
      </c>
      <c r="J11" s="3467">
        <v>1.903</v>
      </c>
      <c r="K11" s="3467">
        <f t="shared" si="0"/>
        <v>133573.49</v>
      </c>
      <c r="L11" s="3469">
        <v>44973</v>
      </c>
      <c r="M11" s="3470">
        <v>46068</v>
      </c>
      <c r="N11" s="3467" t="s">
        <v>3477</v>
      </c>
    </row>
    <row r="12" spans="1:14" s="3502" customFormat="1">
      <c r="A12" s="3467">
        <v>9</v>
      </c>
      <c r="B12" s="3476" t="s">
        <v>3498</v>
      </c>
      <c r="C12" s="3466" t="s">
        <v>3499</v>
      </c>
      <c r="D12" s="3466" t="s">
        <v>3500</v>
      </c>
      <c r="E12" s="3466" t="s">
        <v>3501</v>
      </c>
      <c r="F12" s="3467">
        <v>91</v>
      </c>
      <c r="G12" s="3468">
        <v>38197.25</v>
      </c>
      <c r="H12" s="3467">
        <v>13.8</v>
      </c>
      <c r="I12" s="3467">
        <v>5126.18</v>
      </c>
      <c r="J12" s="3467">
        <v>1.8520000000000001</v>
      </c>
      <c r="K12" s="3467">
        <f t="shared" si="0"/>
        <v>43323.43</v>
      </c>
      <c r="L12" s="3469">
        <v>44136</v>
      </c>
      <c r="M12" s="3470">
        <v>46326</v>
      </c>
      <c r="N12" s="3467" t="s">
        <v>3469</v>
      </c>
    </row>
    <row r="13" spans="1:14" s="3502" customFormat="1">
      <c r="A13" s="3467">
        <v>10</v>
      </c>
      <c r="B13" s="3476" t="s">
        <v>3502</v>
      </c>
      <c r="C13" s="3466" t="s">
        <v>3503</v>
      </c>
      <c r="D13" s="3466" t="s">
        <v>3504</v>
      </c>
      <c r="E13" s="3466" t="s">
        <v>3505</v>
      </c>
      <c r="F13" s="3467">
        <v>70</v>
      </c>
      <c r="G13" s="3468">
        <v>57487.5</v>
      </c>
      <c r="H13" s="3467">
        <v>27</v>
      </c>
      <c r="I13" s="3467">
        <v>2753.01</v>
      </c>
      <c r="J13" s="3467">
        <v>1.2929999999999999</v>
      </c>
      <c r="K13" s="3467">
        <f t="shared" si="0"/>
        <v>60240.51</v>
      </c>
      <c r="L13" s="3469">
        <v>44722</v>
      </c>
      <c r="M13" s="3470">
        <v>45817</v>
      </c>
      <c r="N13" s="3467" t="s">
        <v>3477</v>
      </c>
    </row>
    <row r="14" spans="1:14" s="3502" customFormat="1">
      <c r="A14" s="3467">
        <v>11</v>
      </c>
      <c r="B14" s="3476" t="s">
        <v>3506</v>
      </c>
      <c r="C14" s="3466" t="s">
        <v>3507</v>
      </c>
      <c r="D14" s="3466" t="s">
        <v>3508</v>
      </c>
      <c r="E14" s="3466" t="s">
        <v>3505</v>
      </c>
      <c r="F14" s="3467">
        <v>38</v>
      </c>
      <c r="G14" s="3468">
        <v>34675</v>
      </c>
      <c r="H14" s="3467">
        <v>30</v>
      </c>
      <c r="I14" s="3467">
        <v>1621.63</v>
      </c>
      <c r="J14" s="3467">
        <v>1.403</v>
      </c>
      <c r="K14" s="3467">
        <f t="shared" si="0"/>
        <v>36296.629999999997</v>
      </c>
      <c r="L14" s="3469">
        <v>44753</v>
      </c>
      <c r="M14" s="3470">
        <v>45483</v>
      </c>
      <c r="N14" s="3467" t="s">
        <v>3477</v>
      </c>
    </row>
    <row r="15" spans="1:14" s="3502" customFormat="1">
      <c r="A15" s="3467">
        <v>12</v>
      </c>
      <c r="B15" s="3476" t="s">
        <v>3509</v>
      </c>
      <c r="C15" s="3466" t="s">
        <v>3507</v>
      </c>
      <c r="D15" s="3466" t="s">
        <v>3508</v>
      </c>
      <c r="E15" s="3466" t="s">
        <v>3510</v>
      </c>
      <c r="F15" s="3467">
        <v>2.9</v>
      </c>
      <c r="G15" s="3468">
        <v>1708.07</v>
      </c>
      <c r="H15" s="3467">
        <v>19.364000000000001</v>
      </c>
      <c r="I15" s="3467">
        <v>291.97000000000003</v>
      </c>
      <c r="J15" s="3467">
        <v>3.31</v>
      </c>
      <c r="K15" s="3467">
        <f t="shared" si="0"/>
        <v>2000.04</v>
      </c>
      <c r="L15" s="3469">
        <v>44828</v>
      </c>
      <c r="M15" s="3470">
        <v>45483</v>
      </c>
      <c r="N15" s="3467" t="s">
        <v>3477</v>
      </c>
    </row>
    <row r="16" spans="1:14" s="3502" customFormat="1">
      <c r="A16" s="3467">
        <v>13</v>
      </c>
      <c r="B16" s="3476" t="s">
        <v>3511</v>
      </c>
      <c r="C16" s="3466" t="s">
        <v>3512</v>
      </c>
      <c r="D16" s="3466" t="s">
        <v>3513</v>
      </c>
      <c r="E16" s="3466" t="s">
        <v>3514</v>
      </c>
      <c r="F16" s="3467">
        <v>240</v>
      </c>
      <c r="G16" s="3468">
        <v>1436484.85</v>
      </c>
      <c r="H16" s="3467">
        <v>16.398</v>
      </c>
      <c r="I16" s="3467">
        <v>13140.76</v>
      </c>
      <c r="J16" s="3467">
        <v>1.8</v>
      </c>
      <c r="K16" s="3467">
        <f t="shared" si="0"/>
        <v>1449625.61</v>
      </c>
      <c r="L16" s="3469">
        <v>43266</v>
      </c>
      <c r="M16" s="3470">
        <v>45091</v>
      </c>
      <c r="N16" s="3467" t="s">
        <v>3477</v>
      </c>
    </row>
    <row r="17" spans="1:14" s="3502" customFormat="1">
      <c r="A17" s="3467">
        <v>14</v>
      </c>
      <c r="B17" s="3476" t="s">
        <v>3515</v>
      </c>
      <c r="C17" s="3466" t="s">
        <v>3516</v>
      </c>
      <c r="D17" s="3466" t="s">
        <v>3517</v>
      </c>
      <c r="E17" s="3466" t="s">
        <v>3518</v>
      </c>
      <c r="F17" s="3467">
        <v>256</v>
      </c>
      <c r="G17" s="3468">
        <v>109013.33</v>
      </c>
      <c r="H17" s="3467">
        <v>14</v>
      </c>
      <c r="I17" s="3467">
        <v>10924.69</v>
      </c>
      <c r="J17" s="3467">
        <v>1.403</v>
      </c>
      <c r="K17" s="3467">
        <f t="shared" si="0"/>
        <v>119938.02</v>
      </c>
      <c r="L17" s="3469">
        <v>44843</v>
      </c>
      <c r="M17" s="3470">
        <v>45573</v>
      </c>
      <c r="N17" s="3467" t="s">
        <v>3477</v>
      </c>
    </row>
    <row r="18" spans="1:14" s="3502" customFormat="1">
      <c r="A18" s="3467">
        <v>15</v>
      </c>
      <c r="B18" s="3476" t="s">
        <v>3519</v>
      </c>
      <c r="C18" s="3466" t="s">
        <v>3520</v>
      </c>
      <c r="D18" s="3466" t="s">
        <v>3521</v>
      </c>
      <c r="E18" s="3466" t="s">
        <v>3522</v>
      </c>
      <c r="F18" s="3467">
        <v>274</v>
      </c>
      <c r="G18" s="3468">
        <v>59922.66</v>
      </c>
      <c r="H18" s="3467">
        <v>7.19</v>
      </c>
      <c r="I18" s="3467">
        <v>11692.84</v>
      </c>
      <c r="J18" s="3467">
        <v>1.403</v>
      </c>
      <c r="K18" s="3467">
        <f t="shared" si="0"/>
        <v>71615.5</v>
      </c>
      <c r="L18" s="3469">
        <v>44774</v>
      </c>
      <c r="M18" s="3470">
        <v>46599</v>
      </c>
      <c r="N18" s="3467" t="s">
        <v>3477</v>
      </c>
    </row>
    <row r="19" spans="1:14" s="3502" customFormat="1">
      <c r="A19" s="3467">
        <v>16</v>
      </c>
      <c r="B19" s="3476" t="s">
        <v>3519</v>
      </c>
      <c r="C19" s="3466" t="s">
        <v>3520</v>
      </c>
      <c r="D19" s="3466" t="s">
        <v>3521</v>
      </c>
      <c r="E19" s="3466" t="s">
        <v>3522</v>
      </c>
      <c r="F19" s="3467">
        <v>42</v>
      </c>
      <c r="G19" s="3468">
        <v>9185.23</v>
      </c>
      <c r="H19" s="3467">
        <v>7.19</v>
      </c>
      <c r="I19" s="3467">
        <v>1792.33</v>
      </c>
      <c r="J19" s="3467">
        <v>1.403</v>
      </c>
      <c r="K19" s="3467">
        <f t="shared" si="0"/>
        <v>10977.56</v>
      </c>
      <c r="L19" s="3469">
        <v>44774</v>
      </c>
      <c r="M19" s="3470">
        <v>46599</v>
      </c>
      <c r="N19" s="3467" t="s">
        <v>3477</v>
      </c>
    </row>
    <row r="20" spans="1:14" s="3502" customFormat="1">
      <c r="A20" s="3467">
        <v>17</v>
      </c>
      <c r="B20" s="3476" t="s">
        <v>3523</v>
      </c>
      <c r="C20" s="3466" t="s">
        <v>3524</v>
      </c>
      <c r="D20" s="3466" t="s">
        <v>3525</v>
      </c>
      <c r="E20" s="3466" t="s">
        <v>3526</v>
      </c>
      <c r="F20" s="3467">
        <v>219</v>
      </c>
      <c r="G20" s="3468">
        <v>126563.75</v>
      </c>
      <c r="H20" s="3467">
        <v>19</v>
      </c>
      <c r="I20" s="3467">
        <v>12336.64</v>
      </c>
      <c r="J20" s="3467">
        <v>1.8520000000000001</v>
      </c>
      <c r="K20" s="3467">
        <f t="shared" si="0"/>
        <v>138900.39000000001</v>
      </c>
      <c r="L20" s="3469">
        <v>44089</v>
      </c>
      <c r="M20" s="3470">
        <v>45549</v>
      </c>
      <c r="N20" s="3467" t="s">
        <v>3469</v>
      </c>
    </row>
    <row r="21" spans="1:14" s="3502" customFormat="1">
      <c r="A21" s="3467">
        <v>18</v>
      </c>
      <c r="B21" s="3476" t="s">
        <v>3527</v>
      </c>
      <c r="C21" s="3466" t="s">
        <v>3528</v>
      </c>
      <c r="D21" s="3466" t="s">
        <v>3529</v>
      </c>
      <c r="E21" s="3466" t="s">
        <v>3530</v>
      </c>
      <c r="F21" s="3467">
        <v>625</v>
      </c>
      <c r="G21" s="3468">
        <v>97698.33</v>
      </c>
      <c r="H21" s="3467">
        <v>5.5</v>
      </c>
      <c r="I21" s="3467">
        <v>35207.29</v>
      </c>
      <c r="J21" s="3467">
        <v>1.8520000000000001</v>
      </c>
      <c r="K21" s="3467">
        <f t="shared" si="0"/>
        <v>132905.62</v>
      </c>
      <c r="L21" s="3469">
        <v>44114</v>
      </c>
      <c r="M21" s="3470">
        <v>47035</v>
      </c>
      <c r="N21" s="3467" t="s">
        <v>3469</v>
      </c>
    </row>
    <row r="22" spans="1:14" s="3502" customFormat="1">
      <c r="A22" s="3467">
        <v>19</v>
      </c>
      <c r="B22" s="3476" t="s">
        <v>3531</v>
      </c>
      <c r="C22" s="3466" t="s">
        <v>3532</v>
      </c>
      <c r="D22" s="3466" t="s">
        <v>3533</v>
      </c>
      <c r="E22" s="3466" t="s">
        <v>3534</v>
      </c>
      <c r="F22" s="3467">
        <v>389</v>
      </c>
      <c r="G22" s="3468">
        <v>92290.25</v>
      </c>
      <c r="H22" s="3467">
        <v>7.8</v>
      </c>
      <c r="I22" s="3467">
        <v>16600.41</v>
      </c>
      <c r="J22" s="3467">
        <v>1.403</v>
      </c>
      <c r="K22" s="3467">
        <f t="shared" si="0"/>
        <v>108890.66</v>
      </c>
      <c r="L22" s="3470">
        <v>41944</v>
      </c>
      <c r="M22" s="3470">
        <v>46691</v>
      </c>
      <c r="N22" s="3467" t="s">
        <v>3477</v>
      </c>
    </row>
    <row r="23" spans="1:14" s="3502" customFormat="1">
      <c r="A23" s="3467">
        <v>20</v>
      </c>
      <c r="B23" s="3476" t="s">
        <v>3535</v>
      </c>
      <c r="C23" s="3466" t="s">
        <v>3536</v>
      </c>
      <c r="D23" s="3466" t="s">
        <v>3537</v>
      </c>
      <c r="E23" s="3466" t="s">
        <v>3538</v>
      </c>
      <c r="F23" s="3467">
        <v>372</v>
      </c>
      <c r="G23" s="3468">
        <v>161804.5</v>
      </c>
      <c r="H23" s="3467">
        <v>14.3</v>
      </c>
      <c r="I23" s="3467">
        <v>20955.38</v>
      </c>
      <c r="J23" s="3467">
        <v>1.8520000000000001</v>
      </c>
      <c r="K23" s="3467">
        <f t="shared" si="0"/>
        <v>182759.88</v>
      </c>
      <c r="L23" s="3470">
        <v>44440</v>
      </c>
      <c r="M23" s="3470">
        <v>45900</v>
      </c>
      <c r="N23" s="3467" t="s">
        <v>3469</v>
      </c>
    </row>
    <row r="24" spans="1:14" s="3502" customFormat="1">
      <c r="A24" s="3467">
        <v>21</v>
      </c>
      <c r="B24" s="3476" t="s">
        <v>3539</v>
      </c>
      <c r="C24" s="3466" t="s">
        <v>3540</v>
      </c>
      <c r="D24" s="3466" t="s">
        <v>3541</v>
      </c>
      <c r="E24" s="3466" t="s">
        <v>3542</v>
      </c>
      <c r="F24" s="3467">
        <v>573</v>
      </c>
      <c r="G24" s="3468">
        <v>130715.18</v>
      </c>
      <c r="H24" s="3467">
        <v>7.4989999999999997</v>
      </c>
      <c r="I24" s="3467">
        <v>0</v>
      </c>
      <c r="J24" s="3467">
        <v>0</v>
      </c>
      <c r="K24" s="3467">
        <f t="shared" si="0"/>
        <v>130715.18</v>
      </c>
      <c r="L24" s="3470">
        <v>42668</v>
      </c>
      <c r="M24" s="3470">
        <v>45589</v>
      </c>
      <c r="N24" s="3467" t="s">
        <v>3477</v>
      </c>
    </row>
    <row r="25" spans="1:14" s="3502" customFormat="1">
      <c r="A25" s="3467">
        <v>22</v>
      </c>
      <c r="B25" s="3476" t="s">
        <v>3543</v>
      </c>
      <c r="C25" s="3466" t="s">
        <v>3544</v>
      </c>
      <c r="D25" s="3466" t="s">
        <v>3545</v>
      </c>
      <c r="E25" s="3466" t="s">
        <v>3546</v>
      </c>
      <c r="F25" s="3467">
        <v>20</v>
      </c>
      <c r="G25" s="3468">
        <v>21900</v>
      </c>
      <c r="H25" s="3467">
        <v>36</v>
      </c>
      <c r="I25" s="3467">
        <v>1126.6300000000001</v>
      </c>
      <c r="J25" s="3467">
        <v>1.8520000000000001</v>
      </c>
      <c r="K25" s="3467">
        <f t="shared" si="0"/>
        <v>23026.63</v>
      </c>
      <c r="L25" s="3470">
        <v>44326</v>
      </c>
      <c r="M25" s="3470">
        <v>45055</v>
      </c>
      <c r="N25" s="3467" t="s">
        <v>3469</v>
      </c>
    </row>
    <row r="26" spans="1:14" s="3502" customFormat="1">
      <c r="A26" s="3467">
        <v>23</v>
      </c>
      <c r="B26" s="3476" t="s">
        <v>3547</v>
      </c>
      <c r="C26" s="3466" t="s">
        <v>3548</v>
      </c>
      <c r="D26" s="3466" t="s">
        <v>3549</v>
      </c>
      <c r="E26" s="3466" t="s">
        <v>3550</v>
      </c>
      <c r="F26" s="3467">
        <v>9</v>
      </c>
      <c r="G26" s="3468">
        <v>10364.18</v>
      </c>
      <c r="H26" s="3467">
        <v>37.86</v>
      </c>
      <c r="I26" s="3467">
        <v>1042.99</v>
      </c>
      <c r="J26" s="3467">
        <v>3.81</v>
      </c>
      <c r="K26" s="3467">
        <f t="shared" si="0"/>
        <v>11407.17</v>
      </c>
      <c r="L26" s="3470">
        <v>44872</v>
      </c>
      <c r="M26" s="3470">
        <v>45236</v>
      </c>
      <c r="N26" s="3467" t="s">
        <v>3469</v>
      </c>
    </row>
    <row r="27" spans="1:14" s="3502" customFormat="1">
      <c r="A27" s="3467">
        <v>24</v>
      </c>
      <c r="B27" s="3476" t="s">
        <v>3551</v>
      </c>
      <c r="C27" s="3466" t="s">
        <v>3552</v>
      </c>
      <c r="D27" s="3466" t="s">
        <v>3553</v>
      </c>
      <c r="E27" s="3466" t="s">
        <v>3554</v>
      </c>
      <c r="F27" s="3467">
        <v>80</v>
      </c>
      <c r="G27" s="3468">
        <v>40150</v>
      </c>
      <c r="H27" s="3467">
        <v>16.5</v>
      </c>
      <c r="I27" s="3467">
        <v>3413.97</v>
      </c>
      <c r="J27" s="3467">
        <v>1.403</v>
      </c>
      <c r="K27" s="3467">
        <f t="shared" si="0"/>
        <v>43563.97</v>
      </c>
      <c r="L27" s="3470">
        <v>44727</v>
      </c>
      <c r="M27" s="3470">
        <v>45457</v>
      </c>
      <c r="N27" s="3467" t="s">
        <v>3477</v>
      </c>
    </row>
    <row r="28" spans="1:14" s="3502" customFormat="1">
      <c r="A28" s="3467">
        <v>25</v>
      </c>
      <c r="B28" s="3476" t="s">
        <v>3555</v>
      </c>
      <c r="C28" s="3466" t="s">
        <v>3556</v>
      </c>
      <c r="D28" s="3466" t="s">
        <v>3557</v>
      </c>
      <c r="E28" s="3466" t="s">
        <v>3558</v>
      </c>
      <c r="F28" s="3467">
        <v>196</v>
      </c>
      <c r="G28" s="3468">
        <v>80482.5</v>
      </c>
      <c r="H28" s="3467">
        <v>13.5</v>
      </c>
      <c r="I28" s="3467">
        <v>11041.01</v>
      </c>
      <c r="J28" s="3467">
        <v>1.8520000000000001</v>
      </c>
      <c r="K28" s="3467">
        <f t="shared" si="0"/>
        <v>91523.51</v>
      </c>
      <c r="L28" s="3470">
        <v>44317</v>
      </c>
      <c r="M28" s="3470">
        <v>45777</v>
      </c>
      <c r="N28" s="3467" t="s">
        <v>3469</v>
      </c>
    </row>
    <row r="29" spans="1:14" s="3502" customFormat="1">
      <c r="A29" s="3467">
        <v>26</v>
      </c>
      <c r="B29" s="3476" t="s">
        <v>3559</v>
      </c>
      <c r="C29" s="3466" t="s">
        <v>3560</v>
      </c>
      <c r="D29" s="3466" t="s">
        <v>3561</v>
      </c>
      <c r="E29" s="3466" t="s">
        <v>3562</v>
      </c>
      <c r="F29" s="3467">
        <v>325</v>
      </c>
      <c r="G29" s="3468">
        <v>148281.25</v>
      </c>
      <c r="H29" s="3467">
        <v>15</v>
      </c>
      <c r="I29" s="3467">
        <v>18307.79</v>
      </c>
      <c r="J29" s="3467">
        <v>1.8520000000000001</v>
      </c>
      <c r="K29" s="3467">
        <f t="shared" si="0"/>
        <v>166589.04</v>
      </c>
      <c r="L29" s="3470">
        <v>44485</v>
      </c>
      <c r="M29" s="3470">
        <v>46037</v>
      </c>
      <c r="N29" s="3467" t="s">
        <v>3477</v>
      </c>
    </row>
    <row r="30" spans="1:14" s="3502" customFormat="1" ht="72">
      <c r="A30" s="3467">
        <v>27</v>
      </c>
      <c r="B30" s="3475" t="s">
        <v>3563</v>
      </c>
      <c r="C30" s="3471" t="s">
        <v>3564</v>
      </c>
      <c r="D30" s="3472" t="s">
        <v>3565</v>
      </c>
      <c r="E30" s="3466" t="s">
        <v>4148</v>
      </c>
      <c r="F30" s="3467">
        <v>1216</v>
      </c>
      <c r="G30" s="3468">
        <v>177536</v>
      </c>
      <c r="H30" s="3467">
        <v>4.8</v>
      </c>
      <c r="I30" s="3467">
        <v>68499.31</v>
      </c>
      <c r="J30" s="3467">
        <v>1.8520000000000001</v>
      </c>
      <c r="K30" s="3467">
        <f t="shared" si="0"/>
        <v>246035.31</v>
      </c>
      <c r="L30" s="3470">
        <v>44682</v>
      </c>
      <c r="M30" s="3470">
        <v>47968</v>
      </c>
      <c r="N30" s="3467" t="s">
        <v>3469</v>
      </c>
    </row>
    <row r="31" spans="1:14" s="3502" customFormat="1" ht="36">
      <c r="A31" s="3467">
        <v>28</v>
      </c>
      <c r="B31" s="3475" t="s">
        <v>3566</v>
      </c>
      <c r="C31" s="3471" t="s">
        <v>3567</v>
      </c>
      <c r="D31" s="3472" t="s">
        <v>3568</v>
      </c>
      <c r="E31" s="3466" t="s">
        <v>3569</v>
      </c>
      <c r="F31" s="3467">
        <v>280.5</v>
      </c>
      <c r="G31" s="3468">
        <v>93850.63</v>
      </c>
      <c r="H31" s="3467">
        <v>11</v>
      </c>
      <c r="I31" s="3467">
        <v>11970.22</v>
      </c>
      <c r="J31" s="3467">
        <v>1.403</v>
      </c>
      <c r="K31" s="3467">
        <f t="shared" si="0"/>
        <v>105820.85</v>
      </c>
      <c r="L31" s="3470">
        <v>44719</v>
      </c>
      <c r="M31" s="3470">
        <v>46544</v>
      </c>
      <c r="N31" s="3467" t="s">
        <v>3469</v>
      </c>
    </row>
    <row r="32" spans="1:14" s="3502" customFormat="1" ht="36">
      <c r="A32" s="3467">
        <v>29</v>
      </c>
      <c r="B32" s="3475" t="s">
        <v>3566</v>
      </c>
      <c r="C32" s="3471" t="s">
        <v>3567</v>
      </c>
      <c r="D32" s="3472" t="s">
        <v>3568</v>
      </c>
      <c r="E32" s="3466" t="s">
        <v>3569</v>
      </c>
      <c r="F32" s="3467">
        <v>34</v>
      </c>
      <c r="G32" s="3468">
        <v>11375.83</v>
      </c>
      <c r="H32" s="3467">
        <v>11</v>
      </c>
      <c r="I32" s="3467">
        <v>1450.94</v>
      </c>
      <c r="J32" s="3467">
        <v>1.403</v>
      </c>
      <c r="K32" s="3467">
        <f t="shared" si="0"/>
        <v>12826.77</v>
      </c>
      <c r="L32" s="3470">
        <v>44719</v>
      </c>
      <c r="M32" s="3470">
        <v>46544</v>
      </c>
      <c r="N32" s="3467" t="s">
        <v>3469</v>
      </c>
    </row>
    <row r="33" spans="1:14" s="3502" customFormat="1" ht="60">
      <c r="A33" s="3467">
        <v>30</v>
      </c>
      <c r="B33" s="3473" t="s">
        <v>3570</v>
      </c>
      <c r="C33" s="3474" t="s">
        <v>3571</v>
      </c>
      <c r="D33" s="3465" t="s">
        <v>3572</v>
      </c>
      <c r="E33" s="3466" t="s">
        <v>3573</v>
      </c>
      <c r="F33" s="3467">
        <v>468</v>
      </c>
      <c r="G33" s="3468">
        <v>196571.12</v>
      </c>
      <c r="H33" s="3467">
        <v>13.808999999999999</v>
      </c>
      <c r="I33" s="3467">
        <v>25623</v>
      </c>
      <c r="J33" s="3467">
        <v>1.8</v>
      </c>
      <c r="K33" s="3467">
        <f t="shared" si="0"/>
        <v>222194.12</v>
      </c>
      <c r="L33" s="3470">
        <v>43525</v>
      </c>
      <c r="M33" s="3470">
        <v>45351</v>
      </c>
      <c r="N33" s="3467" t="s">
        <v>3469</v>
      </c>
    </row>
    <row r="34" spans="1:14" s="3502" customFormat="1" ht="48">
      <c r="A34" s="3467">
        <v>31</v>
      </c>
      <c r="B34" s="3475" t="s">
        <v>3574</v>
      </c>
      <c r="C34" s="3477" t="s">
        <v>3575</v>
      </c>
      <c r="D34" s="3472" t="s">
        <v>3576</v>
      </c>
      <c r="E34" s="3466" t="s">
        <v>3577</v>
      </c>
      <c r="F34" s="3467">
        <v>224</v>
      </c>
      <c r="G34" s="3468">
        <v>90617.33</v>
      </c>
      <c r="H34" s="3467">
        <v>13.3</v>
      </c>
      <c r="I34" s="3467">
        <v>12618.29</v>
      </c>
      <c r="J34" s="3467">
        <v>1.8520000000000001</v>
      </c>
      <c r="K34" s="3467">
        <f t="shared" si="0"/>
        <v>103235.62</v>
      </c>
      <c r="L34" s="3470">
        <v>44418</v>
      </c>
      <c r="M34" s="3470">
        <v>46243</v>
      </c>
      <c r="N34" s="3467" t="s">
        <v>3469</v>
      </c>
    </row>
    <row r="35" spans="1:14" s="3502" customFormat="1" ht="48">
      <c r="A35" s="3467">
        <v>32</v>
      </c>
      <c r="B35" s="3475" t="s">
        <v>3578</v>
      </c>
      <c r="C35" s="3471" t="s">
        <v>3579</v>
      </c>
      <c r="D35" s="3472" t="s">
        <v>3580</v>
      </c>
      <c r="E35" s="3466" t="s">
        <v>3581</v>
      </c>
      <c r="F35" s="3467">
        <v>285</v>
      </c>
      <c r="G35" s="3468">
        <v>130898.13</v>
      </c>
      <c r="H35" s="3467">
        <v>15.1</v>
      </c>
      <c r="I35" s="3467">
        <v>17008.09</v>
      </c>
      <c r="J35" s="3467">
        <v>1.962</v>
      </c>
      <c r="K35" s="3467">
        <f t="shared" si="0"/>
        <v>147906.22</v>
      </c>
      <c r="L35" s="3470">
        <v>44044</v>
      </c>
      <c r="M35" s="3470">
        <v>46234</v>
      </c>
      <c r="N35" s="3467" t="s">
        <v>3477</v>
      </c>
    </row>
    <row r="36" spans="1:14" s="3502" customFormat="1" ht="60">
      <c r="A36" s="3467">
        <v>33</v>
      </c>
      <c r="B36" s="3475" t="s">
        <v>3582</v>
      </c>
      <c r="C36" s="3471" t="s">
        <v>3583</v>
      </c>
      <c r="D36" s="3472" t="s">
        <v>3584</v>
      </c>
      <c r="E36" s="3466" t="s">
        <v>3585</v>
      </c>
      <c r="F36" s="3467">
        <v>126</v>
      </c>
      <c r="G36" s="3468">
        <v>76650</v>
      </c>
      <c r="H36" s="3467">
        <v>20</v>
      </c>
      <c r="I36" s="3467">
        <v>7097.79</v>
      </c>
      <c r="J36" s="3467">
        <v>1.8520000000000001</v>
      </c>
      <c r="K36" s="3467">
        <f t="shared" si="0"/>
        <v>83747.789999999994</v>
      </c>
      <c r="L36" s="3470">
        <v>44075</v>
      </c>
      <c r="M36" s="3470">
        <v>45169</v>
      </c>
      <c r="N36" s="3467" t="s">
        <v>3477</v>
      </c>
    </row>
    <row r="37" spans="1:14" s="3502" customFormat="1" ht="48">
      <c r="A37" s="3467">
        <v>34</v>
      </c>
      <c r="B37" s="3475" t="s">
        <v>3586</v>
      </c>
      <c r="C37" s="3471" t="s">
        <v>3587</v>
      </c>
      <c r="D37" s="3472" t="s">
        <v>3588</v>
      </c>
      <c r="E37" s="3466" t="s">
        <v>3589</v>
      </c>
      <c r="F37" s="3467">
        <v>347</v>
      </c>
      <c r="G37" s="3468">
        <v>94991.25</v>
      </c>
      <c r="H37" s="3467">
        <v>9</v>
      </c>
      <c r="I37" s="3467">
        <v>19547.09</v>
      </c>
      <c r="J37" s="3467">
        <v>1.8520000000000001</v>
      </c>
      <c r="K37" s="3467">
        <f t="shared" si="0"/>
        <v>114538.34</v>
      </c>
      <c r="L37" s="3470">
        <v>44428</v>
      </c>
      <c r="M37" s="3470">
        <v>46543</v>
      </c>
      <c r="N37" s="3467" t="s">
        <v>3477</v>
      </c>
    </row>
    <row r="38" spans="1:14" s="3502" customFormat="1" ht="48">
      <c r="A38" s="3467">
        <v>35</v>
      </c>
      <c r="B38" s="3475" t="s">
        <v>3590</v>
      </c>
      <c r="C38" s="3477" t="s">
        <v>3587</v>
      </c>
      <c r="D38" s="3472" t="s">
        <v>3588</v>
      </c>
      <c r="E38" s="3466" t="s">
        <v>3591</v>
      </c>
      <c r="F38" s="3467">
        <v>143</v>
      </c>
      <c r="G38" s="3468">
        <v>39146.25</v>
      </c>
      <c r="H38" s="3467">
        <v>9</v>
      </c>
      <c r="I38" s="3467">
        <v>8055.43</v>
      </c>
      <c r="J38" s="3467">
        <v>1.8520000000000001</v>
      </c>
      <c r="K38" s="3467">
        <f t="shared" si="0"/>
        <v>47201.68</v>
      </c>
      <c r="L38" s="3470">
        <v>44718</v>
      </c>
      <c r="M38" s="3470">
        <v>46543</v>
      </c>
      <c r="N38" s="3467" t="s">
        <v>3477</v>
      </c>
    </row>
    <row r="39" spans="1:14" s="3502" customFormat="1" ht="48">
      <c r="A39" s="3467">
        <v>36</v>
      </c>
      <c r="B39" s="3473" t="s">
        <v>3592</v>
      </c>
      <c r="C39" s="3474" t="s">
        <v>3593</v>
      </c>
      <c r="D39" s="3465" t="s">
        <v>3594</v>
      </c>
      <c r="E39" s="3466" t="s">
        <v>3595</v>
      </c>
      <c r="F39" s="3467">
        <v>56</v>
      </c>
      <c r="G39" s="3468">
        <v>42924</v>
      </c>
      <c r="H39" s="3467">
        <v>25.2</v>
      </c>
      <c r="I39" s="3467">
        <v>3154.57</v>
      </c>
      <c r="J39" s="3467">
        <v>1.8520000000000001</v>
      </c>
      <c r="K39" s="3467">
        <f t="shared" si="0"/>
        <v>46078.57</v>
      </c>
      <c r="L39" s="3470">
        <v>44432</v>
      </c>
      <c r="M39" s="3470">
        <v>45527</v>
      </c>
      <c r="N39" s="3467" t="s">
        <v>3469</v>
      </c>
    </row>
    <row r="40" spans="1:14" s="3502" customFormat="1" ht="48">
      <c r="A40" s="3467">
        <v>37</v>
      </c>
      <c r="B40" s="3475" t="s">
        <v>3596</v>
      </c>
      <c r="C40" s="3471" t="s">
        <v>3597</v>
      </c>
      <c r="D40" s="3472" t="s">
        <v>3598</v>
      </c>
      <c r="E40" s="3466" t="s">
        <v>3599</v>
      </c>
      <c r="F40" s="3467">
        <v>25</v>
      </c>
      <c r="G40" s="3468">
        <v>23572.92</v>
      </c>
      <c r="H40" s="3467">
        <v>31</v>
      </c>
      <c r="I40" s="3467">
        <v>1408.29</v>
      </c>
      <c r="J40" s="3467">
        <v>1.8520000000000001</v>
      </c>
      <c r="K40" s="3467">
        <f t="shared" si="0"/>
        <v>24981.21</v>
      </c>
      <c r="L40" s="3470">
        <v>44487</v>
      </c>
      <c r="M40" s="3470">
        <v>45216</v>
      </c>
      <c r="N40" s="3467" t="s">
        <v>3469</v>
      </c>
    </row>
    <row r="41" spans="1:14" s="3502" customFormat="1" ht="48">
      <c r="A41" s="3467">
        <v>38</v>
      </c>
      <c r="B41" s="3475" t="s">
        <v>3600</v>
      </c>
      <c r="C41" s="3471" t="s">
        <v>3601</v>
      </c>
      <c r="D41" s="3471" t="s">
        <v>3602</v>
      </c>
      <c r="E41" s="3466" t="s">
        <v>3603</v>
      </c>
      <c r="F41" s="3467">
        <v>5</v>
      </c>
      <c r="G41" s="3468">
        <v>9420.5</v>
      </c>
      <c r="H41" s="3467">
        <v>61.942999999999998</v>
      </c>
      <c r="I41" s="3467">
        <v>579.46</v>
      </c>
      <c r="J41" s="3467">
        <v>3.81</v>
      </c>
      <c r="K41" s="3467">
        <f t="shared" si="0"/>
        <v>9999.9599999999991</v>
      </c>
      <c r="L41" s="3470">
        <v>44873</v>
      </c>
      <c r="M41" s="3470">
        <v>45237</v>
      </c>
      <c r="N41" s="3467" t="s">
        <v>3477</v>
      </c>
    </row>
    <row r="42" spans="1:14" s="3502" customFormat="1">
      <c r="A42" s="3467">
        <v>39</v>
      </c>
      <c r="B42" s="3476" t="s">
        <v>3604</v>
      </c>
      <c r="C42" s="3466" t="s">
        <v>3605</v>
      </c>
      <c r="D42" s="3466" t="s">
        <v>3606</v>
      </c>
      <c r="E42" s="3466" t="s">
        <v>3607</v>
      </c>
      <c r="F42" s="3467">
        <v>22</v>
      </c>
      <c r="G42" s="3468">
        <v>26766.67</v>
      </c>
      <c r="H42" s="3467">
        <v>40</v>
      </c>
      <c r="I42" s="3467">
        <v>938.84</v>
      </c>
      <c r="J42" s="3467">
        <v>1.403</v>
      </c>
      <c r="K42" s="3467">
        <f t="shared" si="0"/>
        <v>27705.51</v>
      </c>
      <c r="L42" s="3469">
        <v>44722</v>
      </c>
      <c r="M42" s="3470">
        <v>45452</v>
      </c>
      <c r="N42" s="3467" t="s">
        <v>3477</v>
      </c>
    </row>
    <row r="43" spans="1:14" s="3502" customFormat="1" ht="48">
      <c r="A43" s="3467">
        <v>40</v>
      </c>
      <c r="B43" s="3475" t="s">
        <v>3608</v>
      </c>
      <c r="C43" s="3471" t="s">
        <v>3609</v>
      </c>
      <c r="D43" s="3472" t="s">
        <v>3610</v>
      </c>
      <c r="E43" s="3466" t="s">
        <v>3611</v>
      </c>
      <c r="F43" s="3467">
        <v>94</v>
      </c>
      <c r="G43" s="3468">
        <v>94526.91</v>
      </c>
      <c r="H43" s="3467">
        <v>33.061</v>
      </c>
      <c r="I43" s="3467">
        <v>4380.24</v>
      </c>
      <c r="J43" s="3467">
        <v>1.532</v>
      </c>
      <c r="K43" s="3467">
        <f t="shared" si="0"/>
        <v>98907.150000000009</v>
      </c>
      <c r="L43" s="3470">
        <v>44696</v>
      </c>
      <c r="M43" s="3470">
        <v>45060</v>
      </c>
      <c r="N43" s="3467" t="s">
        <v>3469</v>
      </c>
    </row>
    <row r="44" spans="1:14" s="3502" customFormat="1" ht="48">
      <c r="A44" s="3467">
        <v>41</v>
      </c>
      <c r="B44" s="3475" t="s">
        <v>3612</v>
      </c>
      <c r="C44" s="3471" t="s">
        <v>3613</v>
      </c>
      <c r="D44" s="3472" t="s">
        <v>3614</v>
      </c>
      <c r="E44" s="3466" t="s">
        <v>3615</v>
      </c>
      <c r="F44" s="3467">
        <v>16</v>
      </c>
      <c r="G44" s="3468">
        <v>21413.33</v>
      </c>
      <c r="H44" s="3467">
        <v>44</v>
      </c>
      <c r="I44" s="3467">
        <v>682.79</v>
      </c>
      <c r="J44" s="3467">
        <v>1.403</v>
      </c>
      <c r="K44" s="3467">
        <f t="shared" si="0"/>
        <v>22096.120000000003</v>
      </c>
      <c r="L44" s="3470">
        <v>44705</v>
      </c>
      <c r="M44" s="3470">
        <v>45069</v>
      </c>
      <c r="N44" s="3467" t="s">
        <v>3477</v>
      </c>
    </row>
    <row r="45" spans="1:14" s="3502" customFormat="1" ht="48">
      <c r="A45" s="3467">
        <v>42</v>
      </c>
      <c r="B45" s="3475" t="s">
        <v>3616</v>
      </c>
      <c r="C45" s="3471" t="s">
        <v>3617</v>
      </c>
      <c r="D45" s="3472" t="s">
        <v>3618</v>
      </c>
      <c r="E45" s="3466" t="s">
        <v>3619</v>
      </c>
      <c r="F45" s="3467">
        <v>25</v>
      </c>
      <c r="G45" s="3468">
        <v>7383.65</v>
      </c>
      <c r="H45" s="3467">
        <v>9.7100000000000009</v>
      </c>
      <c r="I45" s="3467">
        <v>2516.98</v>
      </c>
      <c r="J45" s="3467">
        <v>3.31</v>
      </c>
      <c r="K45" s="3467">
        <f t="shared" si="0"/>
        <v>9900.6299999999992</v>
      </c>
      <c r="L45" s="3470">
        <v>44652</v>
      </c>
      <c r="M45" s="3470">
        <v>45016</v>
      </c>
      <c r="N45" s="3467" t="s">
        <v>3477</v>
      </c>
    </row>
    <row r="46" spans="1:14" s="3502" customFormat="1" ht="48">
      <c r="A46" s="3467">
        <v>43</v>
      </c>
      <c r="B46" s="3475" t="s">
        <v>3620</v>
      </c>
      <c r="C46" s="3471" t="s">
        <v>3621</v>
      </c>
      <c r="D46" s="3472" t="s">
        <v>3622</v>
      </c>
      <c r="E46" s="3466" t="s">
        <v>3623</v>
      </c>
      <c r="F46" s="3467">
        <v>16</v>
      </c>
      <c r="G46" s="3468">
        <v>13918.67</v>
      </c>
      <c r="H46" s="3467">
        <v>28.6</v>
      </c>
      <c r="I46" s="3467">
        <v>682.79</v>
      </c>
      <c r="J46" s="3467">
        <v>1.403</v>
      </c>
      <c r="K46" s="3467">
        <f t="shared" si="0"/>
        <v>14601.46</v>
      </c>
      <c r="L46" s="3470">
        <v>44752</v>
      </c>
      <c r="M46" s="3470">
        <v>45116</v>
      </c>
      <c r="N46" s="3467" t="s">
        <v>3469</v>
      </c>
    </row>
    <row r="47" spans="1:14" s="3502" customFormat="1" ht="48">
      <c r="A47" s="3467">
        <v>44</v>
      </c>
      <c r="B47" s="3475" t="s">
        <v>3624</v>
      </c>
      <c r="C47" s="3471" t="s">
        <v>3625</v>
      </c>
      <c r="D47" s="3472" t="s">
        <v>3626</v>
      </c>
      <c r="E47" s="3466" t="s">
        <v>3627</v>
      </c>
      <c r="F47" s="3467">
        <v>25</v>
      </c>
      <c r="G47" s="3468">
        <v>18508.54</v>
      </c>
      <c r="H47" s="3467">
        <v>24.34</v>
      </c>
      <c r="I47" s="3467">
        <v>2897.19</v>
      </c>
      <c r="J47" s="3467">
        <v>3.81</v>
      </c>
      <c r="K47" s="3467">
        <f t="shared" si="0"/>
        <v>21405.73</v>
      </c>
      <c r="L47" s="3470">
        <v>44847</v>
      </c>
      <c r="M47" s="3470">
        <v>45211</v>
      </c>
      <c r="N47" s="3467" t="s">
        <v>3469</v>
      </c>
    </row>
    <row r="48" spans="1:14" s="3502" customFormat="1" ht="48">
      <c r="A48" s="3467">
        <v>45</v>
      </c>
      <c r="B48" s="3475" t="s">
        <v>3628</v>
      </c>
      <c r="C48" s="3471" t="s">
        <v>3629</v>
      </c>
      <c r="D48" s="3472" t="s">
        <v>3630</v>
      </c>
      <c r="E48" s="3466" t="s">
        <v>3631</v>
      </c>
      <c r="F48" s="3467">
        <v>4.1399999999999997</v>
      </c>
      <c r="G48" s="3468">
        <v>9520.23</v>
      </c>
      <c r="H48" s="3467">
        <v>75.602000000000004</v>
      </c>
      <c r="I48" s="3467">
        <v>2400</v>
      </c>
      <c r="J48" s="3467">
        <v>3.81</v>
      </c>
      <c r="K48" s="3467">
        <v>479.77</v>
      </c>
      <c r="L48" s="3470">
        <v>45015</v>
      </c>
      <c r="M48" s="3470">
        <v>45380</v>
      </c>
      <c r="N48" s="3467" t="s">
        <v>3469</v>
      </c>
    </row>
    <row r="49" spans="1:14" s="3502" customFormat="1" ht="48">
      <c r="A49" s="3467">
        <v>46</v>
      </c>
      <c r="B49" s="3475" t="s">
        <v>3632</v>
      </c>
      <c r="C49" s="3471" t="s">
        <v>3633</v>
      </c>
      <c r="D49" s="3472" t="s">
        <v>3634</v>
      </c>
      <c r="E49" s="3466" t="s">
        <v>3635</v>
      </c>
      <c r="F49" s="3467">
        <v>5.5</v>
      </c>
      <c r="G49" s="3468">
        <v>9500</v>
      </c>
      <c r="H49" s="3467">
        <v>56.79</v>
      </c>
      <c r="I49" s="3467">
        <v>553.74</v>
      </c>
      <c r="J49" s="3467">
        <v>3.31</v>
      </c>
      <c r="K49" s="3467">
        <f t="shared" si="0"/>
        <v>10053.74</v>
      </c>
      <c r="L49" s="3470">
        <v>44757</v>
      </c>
      <c r="M49" s="3470">
        <v>45274</v>
      </c>
      <c r="N49" s="3467" t="s">
        <v>3469</v>
      </c>
    </row>
    <row r="50" spans="1:14" s="3502" customFormat="1" ht="48">
      <c r="A50" s="3467">
        <v>47</v>
      </c>
      <c r="B50" s="3475" t="s">
        <v>3636</v>
      </c>
      <c r="C50" s="3471" t="s">
        <v>3637</v>
      </c>
      <c r="D50" s="3472" t="s">
        <v>3638</v>
      </c>
      <c r="E50" s="3466" t="s">
        <v>3639</v>
      </c>
      <c r="F50" s="3467">
        <v>25</v>
      </c>
      <c r="G50" s="3468">
        <v>18668.23</v>
      </c>
      <c r="H50" s="3467">
        <v>24.55</v>
      </c>
      <c r="I50" s="3467">
        <v>2516.98</v>
      </c>
      <c r="J50" s="3467">
        <v>3.31</v>
      </c>
      <c r="K50" s="3467">
        <f t="shared" si="0"/>
        <v>21185.21</v>
      </c>
      <c r="L50" s="3470">
        <v>44652</v>
      </c>
      <c r="M50" s="3470">
        <v>45016</v>
      </c>
      <c r="N50" s="3467" t="s">
        <v>3477</v>
      </c>
    </row>
    <row r="51" spans="1:14" s="3502" customFormat="1" ht="48">
      <c r="A51" s="3467">
        <v>48</v>
      </c>
      <c r="B51" s="3475" t="s">
        <v>3604</v>
      </c>
      <c r="C51" s="3471" t="s">
        <v>3640</v>
      </c>
      <c r="D51" s="3472" t="s">
        <v>3641</v>
      </c>
      <c r="E51" s="3466" t="s">
        <v>3642</v>
      </c>
      <c r="F51" s="3467">
        <v>50</v>
      </c>
      <c r="G51" s="3468">
        <v>33458.33</v>
      </c>
      <c r="H51" s="3467">
        <v>22</v>
      </c>
      <c r="I51" s="3467">
        <v>2894.15</v>
      </c>
      <c r="J51" s="3467">
        <v>1.903</v>
      </c>
      <c r="K51" s="3467">
        <f t="shared" si="0"/>
        <v>36352.480000000003</v>
      </c>
      <c r="L51" s="3470">
        <v>45017</v>
      </c>
      <c r="M51" s="3470">
        <v>45747</v>
      </c>
      <c r="N51" s="3467" t="s">
        <v>3477</v>
      </c>
    </row>
    <row r="52" spans="1:14" s="3502" customFormat="1" ht="48">
      <c r="A52" s="3467">
        <v>49</v>
      </c>
      <c r="B52" s="3475" t="s">
        <v>3604</v>
      </c>
      <c r="C52" s="3471" t="s">
        <v>3643</v>
      </c>
      <c r="D52" s="3472" t="s">
        <v>3644</v>
      </c>
      <c r="E52" s="3466" t="s">
        <v>3642</v>
      </c>
      <c r="F52" s="3467">
        <v>19</v>
      </c>
      <c r="G52" s="3468">
        <v>12798.54</v>
      </c>
      <c r="H52" s="3467">
        <v>22.146000000000001</v>
      </c>
      <c r="I52" s="3467">
        <v>1099.78</v>
      </c>
      <c r="J52" s="3467">
        <v>1.903</v>
      </c>
      <c r="K52" s="3467">
        <f t="shared" si="0"/>
        <v>13898.320000000002</v>
      </c>
      <c r="L52" s="3470">
        <v>45001</v>
      </c>
      <c r="M52" s="3470">
        <v>45731</v>
      </c>
      <c r="N52" s="3467" t="s">
        <v>3477</v>
      </c>
    </row>
    <row r="53" spans="1:14" s="3502" customFormat="1" ht="48">
      <c r="A53" s="3467">
        <v>50</v>
      </c>
      <c r="B53" s="3475" t="s">
        <v>3645</v>
      </c>
      <c r="C53" s="3518" t="s">
        <v>3646</v>
      </c>
      <c r="D53" s="3472" t="s">
        <v>3647</v>
      </c>
      <c r="E53" s="3466" t="s">
        <v>3648</v>
      </c>
      <c r="F53" s="3467">
        <v>31</v>
      </c>
      <c r="G53" s="3468">
        <v>29230.42</v>
      </c>
      <c r="H53" s="3467">
        <v>31</v>
      </c>
      <c r="I53" s="3467">
        <v>1746.28</v>
      </c>
      <c r="J53" s="3467">
        <v>1.8520000000000001</v>
      </c>
      <c r="K53" s="3467">
        <f t="shared" si="0"/>
        <v>30976.699999999997</v>
      </c>
      <c r="L53" s="3470">
        <v>44328</v>
      </c>
      <c r="M53" s="3470">
        <v>45057</v>
      </c>
      <c r="N53" s="3467" t="s">
        <v>3469</v>
      </c>
    </row>
    <row r="54" spans="1:14" s="3502" customFormat="1" ht="48">
      <c r="A54" s="3467">
        <v>51</v>
      </c>
      <c r="B54" s="3475" t="s">
        <v>3649</v>
      </c>
      <c r="C54" s="3477" t="s">
        <v>3650</v>
      </c>
      <c r="D54" s="3472" t="s">
        <v>3651</v>
      </c>
      <c r="E54" s="3466" t="s">
        <v>3652</v>
      </c>
      <c r="F54" s="3467">
        <v>21</v>
      </c>
      <c r="G54" s="3468">
        <v>23506</v>
      </c>
      <c r="H54" s="3467">
        <v>36.799999999999997</v>
      </c>
      <c r="I54" s="3467">
        <v>1182.97</v>
      </c>
      <c r="J54" s="3467">
        <v>1.8520000000000001</v>
      </c>
      <c r="K54" s="3467">
        <f t="shared" si="0"/>
        <v>24688.97</v>
      </c>
      <c r="L54" s="3470">
        <v>44349</v>
      </c>
      <c r="M54" s="3470">
        <v>45078</v>
      </c>
      <c r="N54" s="3467" t="s">
        <v>3477</v>
      </c>
    </row>
    <row r="55" spans="1:14" s="3502" customFormat="1" ht="48">
      <c r="A55" s="3467">
        <v>52</v>
      </c>
      <c r="B55" s="3475" t="s">
        <v>3653</v>
      </c>
      <c r="C55" s="3471" t="s">
        <v>3654</v>
      </c>
      <c r="D55" s="3472" t="s">
        <v>3655</v>
      </c>
      <c r="E55" s="3466" t="s">
        <v>3656</v>
      </c>
      <c r="F55" s="3467">
        <v>34</v>
      </c>
      <c r="G55" s="3468">
        <v>40332.5</v>
      </c>
      <c r="H55" s="3467">
        <v>39</v>
      </c>
      <c r="I55" s="3467">
        <v>1450.94</v>
      </c>
      <c r="J55" s="3467">
        <v>1.403</v>
      </c>
      <c r="K55" s="3467">
        <f t="shared" si="0"/>
        <v>41783.440000000002</v>
      </c>
      <c r="L55" s="3470">
        <v>44722</v>
      </c>
      <c r="M55" s="3470">
        <v>45421</v>
      </c>
      <c r="N55" s="3467" t="s">
        <v>3469</v>
      </c>
    </row>
    <row r="56" spans="1:14" s="3502" customFormat="1" ht="48">
      <c r="A56" s="3467">
        <v>53</v>
      </c>
      <c r="B56" s="3475" t="s">
        <v>3653</v>
      </c>
      <c r="C56" s="3471" t="s">
        <v>3657</v>
      </c>
      <c r="D56" s="3472" t="s">
        <v>3658</v>
      </c>
      <c r="E56" s="3466" t="s">
        <v>3656</v>
      </c>
      <c r="F56" s="3467">
        <v>132</v>
      </c>
      <c r="G56" s="3468">
        <v>80300</v>
      </c>
      <c r="H56" s="3467">
        <v>20</v>
      </c>
      <c r="I56" s="3467">
        <v>5191.3999999999996</v>
      </c>
      <c r="J56" s="3467">
        <v>1.2929999999999999</v>
      </c>
      <c r="K56" s="3467">
        <f t="shared" si="0"/>
        <v>85491.4</v>
      </c>
      <c r="L56" s="3470">
        <v>44769</v>
      </c>
      <c r="M56" s="3470">
        <v>45864</v>
      </c>
      <c r="N56" s="3467" t="s">
        <v>3477</v>
      </c>
    </row>
    <row r="57" spans="1:14" s="3502" customFormat="1" ht="48">
      <c r="A57" s="3467">
        <v>54</v>
      </c>
      <c r="B57" s="3475" t="s">
        <v>3659</v>
      </c>
      <c r="C57" s="3471" t="s">
        <v>3660</v>
      </c>
      <c r="D57" s="3472" t="s">
        <v>3661</v>
      </c>
      <c r="E57" s="3466" t="s">
        <v>3662</v>
      </c>
      <c r="F57" s="3467">
        <v>44</v>
      </c>
      <c r="G57" s="3468">
        <v>48180</v>
      </c>
      <c r="H57" s="3467">
        <v>36</v>
      </c>
      <c r="I57" s="3467">
        <v>1877.68</v>
      </c>
      <c r="J57" s="3467">
        <v>1.403</v>
      </c>
      <c r="K57" s="3467">
        <f t="shared" si="0"/>
        <v>50057.68</v>
      </c>
      <c r="L57" s="3470">
        <v>44758</v>
      </c>
      <c r="M57" s="3470">
        <v>45122</v>
      </c>
      <c r="N57" s="3467" t="s">
        <v>3469</v>
      </c>
    </row>
    <row r="58" spans="1:14" s="3502" customFormat="1" ht="48">
      <c r="A58" s="3467">
        <v>55</v>
      </c>
      <c r="B58" s="3475" t="s">
        <v>3663</v>
      </c>
      <c r="C58" s="3471" t="s">
        <v>3664</v>
      </c>
      <c r="D58" s="3472" t="s">
        <v>3665</v>
      </c>
      <c r="E58" s="3466" t="s">
        <v>3666</v>
      </c>
      <c r="F58" s="3467">
        <v>16</v>
      </c>
      <c r="G58" s="3468">
        <v>17831.47</v>
      </c>
      <c r="H58" s="3467">
        <v>36.64</v>
      </c>
      <c r="I58" s="3467">
        <v>682.79</v>
      </c>
      <c r="J58" s="3467">
        <v>1.403</v>
      </c>
      <c r="K58" s="3467">
        <f t="shared" si="0"/>
        <v>18514.260000000002</v>
      </c>
      <c r="L58" s="3470">
        <v>44751</v>
      </c>
      <c r="M58" s="3470">
        <v>45115</v>
      </c>
      <c r="N58" s="3467" t="s">
        <v>3469</v>
      </c>
    </row>
    <row r="59" spans="1:14" s="3502" customFormat="1" ht="48">
      <c r="A59" s="3467">
        <v>56</v>
      </c>
      <c r="B59" s="3478" t="s">
        <v>3604</v>
      </c>
      <c r="C59" s="3474" t="s">
        <v>3667</v>
      </c>
      <c r="D59" s="3465" t="s">
        <v>3668</v>
      </c>
      <c r="E59" s="3466" t="s">
        <v>3642</v>
      </c>
      <c r="F59" s="3467">
        <v>59</v>
      </c>
      <c r="G59" s="3468">
        <v>18286.8</v>
      </c>
      <c r="H59" s="3467">
        <v>10.19</v>
      </c>
      <c r="I59" s="3467">
        <v>3415.09</v>
      </c>
      <c r="J59" s="3467">
        <v>1.903</v>
      </c>
      <c r="K59" s="3467">
        <f t="shared" si="0"/>
        <v>21701.89</v>
      </c>
      <c r="L59" s="3470">
        <v>45017</v>
      </c>
      <c r="M59" s="3470">
        <v>46477</v>
      </c>
      <c r="N59" s="3467" t="s">
        <v>3469</v>
      </c>
    </row>
    <row r="60" spans="1:14" s="3502" customFormat="1" ht="48">
      <c r="A60" s="3467">
        <v>57</v>
      </c>
      <c r="B60" s="3478" t="s">
        <v>3669</v>
      </c>
      <c r="C60" s="3479" t="s">
        <v>3670</v>
      </c>
      <c r="D60" s="3480" t="s">
        <v>3671</v>
      </c>
      <c r="E60" s="3466" t="s">
        <v>3672</v>
      </c>
      <c r="F60" s="3467">
        <v>120</v>
      </c>
      <c r="G60" s="3468">
        <v>61221.45</v>
      </c>
      <c r="H60" s="3467">
        <v>16.773</v>
      </c>
      <c r="I60" s="3467">
        <v>12081.5</v>
      </c>
      <c r="J60" s="3467">
        <v>3.31</v>
      </c>
      <c r="K60" s="3467">
        <f t="shared" si="0"/>
        <v>73302.95</v>
      </c>
      <c r="L60" s="3470">
        <v>44336</v>
      </c>
      <c r="M60" s="3470">
        <v>45065</v>
      </c>
      <c r="N60" s="3467" t="s">
        <v>3469</v>
      </c>
    </row>
    <row r="61" spans="1:14" s="3502" customFormat="1" ht="48">
      <c r="A61" s="3467">
        <v>58</v>
      </c>
      <c r="B61" s="3475" t="s">
        <v>3673</v>
      </c>
      <c r="C61" s="3471" t="s">
        <v>3674</v>
      </c>
      <c r="D61" s="3480" t="s">
        <v>3675</v>
      </c>
      <c r="E61" s="3466" t="s">
        <v>3642</v>
      </c>
      <c r="F61" s="3467">
        <v>69</v>
      </c>
      <c r="G61" s="3468">
        <v>62962.5</v>
      </c>
      <c r="H61" s="3467">
        <v>30</v>
      </c>
      <c r="I61" s="3467">
        <v>2713.68</v>
      </c>
      <c r="J61" s="3467">
        <v>1.2929999999999999</v>
      </c>
      <c r="K61" s="3467">
        <f t="shared" si="0"/>
        <v>65676.179999999993</v>
      </c>
      <c r="L61" s="3470">
        <v>44652</v>
      </c>
      <c r="M61" s="3470">
        <v>45747</v>
      </c>
      <c r="N61" s="3467" t="s">
        <v>3477</v>
      </c>
    </row>
    <row r="62" spans="1:14" s="3502" customFormat="1" ht="48">
      <c r="A62" s="3467">
        <v>59</v>
      </c>
      <c r="B62" s="3475" t="s">
        <v>3676</v>
      </c>
      <c r="C62" s="3477" t="s">
        <v>3677</v>
      </c>
      <c r="D62" s="3480" t="s">
        <v>3678</v>
      </c>
      <c r="E62" s="3466" t="s">
        <v>3679</v>
      </c>
      <c r="F62" s="3467">
        <v>26</v>
      </c>
      <c r="G62" s="3468">
        <v>29102.67</v>
      </c>
      <c r="H62" s="3467">
        <v>36.799999999999997</v>
      </c>
      <c r="I62" s="3467">
        <v>1464.62</v>
      </c>
      <c r="J62" s="3467">
        <v>1.8520000000000001</v>
      </c>
      <c r="K62" s="3467">
        <f t="shared" si="0"/>
        <v>30567.289999999997</v>
      </c>
      <c r="L62" s="3470">
        <v>44511</v>
      </c>
      <c r="M62" s="3470">
        <v>45240</v>
      </c>
      <c r="N62" s="3467" t="s">
        <v>3469</v>
      </c>
    </row>
    <row r="63" spans="1:14" s="3502" customFormat="1" ht="48">
      <c r="A63" s="3467">
        <v>60</v>
      </c>
      <c r="B63" s="3475" t="s">
        <v>3680</v>
      </c>
      <c r="C63" s="3477" t="s">
        <v>3681</v>
      </c>
      <c r="D63" s="3519" t="s">
        <v>3682</v>
      </c>
      <c r="E63" s="3466" t="s">
        <v>3683</v>
      </c>
      <c r="F63" s="3467">
        <v>30</v>
      </c>
      <c r="G63" s="3468">
        <v>35587.5</v>
      </c>
      <c r="H63" s="3467">
        <v>39</v>
      </c>
      <c r="I63" s="3467">
        <v>1689.95</v>
      </c>
      <c r="J63" s="3467">
        <v>1.8520000000000001</v>
      </c>
      <c r="K63" s="3467">
        <f t="shared" si="0"/>
        <v>37277.449999999997</v>
      </c>
      <c r="L63" s="3470">
        <v>44484</v>
      </c>
      <c r="M63" s="3470">
        <v>45213</v>
      </c>
      <c r="N63" s="3467" t="s">
        <v>3477</v>
      </c>
    </row>
    <row r="64" spans="1:14" s="3502" customFormat="1" ht="48">
      <c r="A64" s="3467">
        <v>61</v>
      </c>
      <c r="B64" s="3481" t="s">
        <v>3684</v>
      </c>
      <c r="C64" s="3482" t="s">
        <v>3685</v>
      </c>
      <c r="D64" s="3483" t="s">
        <v>3686</v>
      </c>
      <c r="E64" s="3466" t="s">
        <v>3687</v>
      </c>
      <c r="F64" s="3467">
        <v>13</v>
      </c>
      <c r="G64" s="3468">
        <v>9691.66</v>
      </c>
      <c r="H64" s="3467">
        <v>24.51</v>
      </c>
      <c r="I64" s="3467">
        <v>1308.33</v>
      </c>
      <c r="J64" s="3467">
        <v>3.31</v>
      </c>
      <c r="K64" s="3467">
        <f t="shared" si="0"/>
        <v>10999.99</v>
      </c>
      <c r="L64" s="3470">
        <v>43983</v>
      </c>
      <c r="M64" s="3470">
        <v>45077</v>
      </c>
      <c r="N64" s="3467" t="s">
        <v>3477</v>
      </c>
    </row>
    <row r="65" spans="1:14" s="3502" customFormat="1" ht="72">
      <c r="A65" s="3467">
        <v>62</v>
      </c>
      <c r="B65" s="3481" t="s">
        <v>3688</v>
      </c>
      <c r="C65" s="3482" t="s">
        <v>3689</v>
      </c>
      <c r="D65" s="3483" t="s">
        <v>3690</v>
      </c>
      <c r="E65" s="3466" t="s">
        <v>3691</v>
      </c>
      <c r="F65" s="3467">
        <v>204</v>
      </c>
      <c r="G65" s="3468">
        <v>93075</v>
      </c>
      <c r="H65" s="3467">
        <v>15</v>
      </c>
      <c r="I65" s="3467">
        <v>8705.6200000000008</v>
      </c>
      <c r="J65" s="3467">
        <v>1.403</v>
      </c>
      <c r="K65" s="3467">
        <f t="shared" si="0"/>
        <v>101780.62</v>
      </c>
      <c r="L65" s="3470">
        <v>44671</v>
      </c>
      <c r="M65" s="3470">
        <v>45766</v>
      </c>
      <c r="N65" s="3467" t="s">
        <v>3469</v>
      </c>
    </row>
    <row r="66" spans="1:14" s="3502" customFormat="1" ht="72">
      <c r="A66" s="3467">
        <v>63</v>
      </c>
      <c r="B66" s="3481" t="s">
        <v>3688</v>
      </c>
      <c r="C66" s="3482" t="s">
        <v>3689</v>
      </c>
      <c r="D66" s="3483" t="s">
        <v>3690</v>
      </c>
      <c r="E66" s="3466" t="s">
        <v>3691</v>
      </c>
      <c r="F66" s="3467">
        <v>89</v>
      </c>
      <c r="G66" s="3468">
        <v>35192.080000000002</v>
      </c>
      <c r="H66" s="3467">
        <v>13</v>
      </c>
      <c r="I66" s="3467">
        <v>3798.04</v>
      </c>
      <c r="J66" s="3467">
        <v>1.403</v>
      </c>
      <c r="K66" s="3467">
        <f t="shared" si="0"/>
        <v>38990.120000000003</v>
      </c>
      <c r="L66" s="3470">
        <v>44671</v>
      </c>
      <c r="M66" s="3470">
        <v>45766</v>
      </c>
      <c r="N66" s="3467" t="s">
        <v>3469</v>
      </c>
    </row>
    <row r="67" spans="1:14" s="3502" customFormat="1" ht="48">
      <c r="A67" s="3467">
        <v>64</v>
      </c>
      <c r="B67" s="3475" t="s">
        <v>3692</v>
      </c>
      <c r="C67" s="3471" t="s">
        <v>3693</v>
      </c>
      <c r="D67" s="3472" t="s">
        <v>3694</v>
      </c>
      <c r="E67" s="3466" t="s">
        <v>3695</v>
      </c>
      <c r="F67" s="3467">
        <v>16</v>
      </c>
      <c r="G67" s="3468">
        <v>18493.330000000002</v>
      </c>
      <c r="H67" s="3467">
        <v>38</v>
      </c>
      <c r="I67" s="3467">
        <v>682.79</v>
      </c>
      <c r="J67" s="3467">
        <v>1.403</v>
      </c>
      <c r="K67" s="3467">
        <f t="shared" si="0"/>
        <v>19176.120000000003</v>
      </c>
      <c r="L67" s="3470">
        <v>44767</v>
      </c>
      <c r="M67" s="3470">
        <v>45131</v>
      </c>
      <c r="N67" s="3467" t="s">
        <v>3477</v>
      </c>
    </row>
    <row r="68" spans="1:14" s="3502" customFormat="1" ht="36">
      <c r="A68" s="3467">
        <v>65</v>
      </c>
      <c r="B68" s="3475" t="s">
        <v>3696</v>
      </c>
      <c r="C68" s="3474" t="s">
        <v>3697</v>
      </c>
      <c r="D68" s="3465" t="s">
        <v>3698</v>
      </c>
      <c r="E68" s="3466" t="s">
        <v>3699</v>
      </c>
      <c r="F68" s="3484">
        <v>40</v>
      </c>
      <c r="G68" s="3468">
        <v>6083.33</v>
      </c>
      <c r="H68" s="3467">
        <v>5</v>
      </c>
      <c r="I68" s="3467">
        <v>4027.17</v>
      </c>
      <c r="J68" s="3467">
        <v>3.31</v>
      </c>
      <c r="K68" s="3467">
        <f t="shared" si="0"/>
        <v>10110.5</v>
      </c>
      <c r="L68" s="3470">
        <v>44621</v>
      </c>
      <c r="M68" s="3470">
        <v>45716</v>
      </c>
      <c r="N68" s="3467" t="s">
        <v>3477</v>
      </c>
    </row>
    <row r="69" spans="1:14" s="3502" customFormat="1" ht="36">
      <c r="A69" s="3467">
        <v>66</v>
      </c>
      <c r="B69" s="3475" t="s">
        <v>3700</v>
      </c>
      <c r="C69" s="3474" t="s">
        <v>3701</v>
      </c>
      <c r="D69" s="3465" t="s">
        <v>3702</v>
      </c>
      <c r="E69" s="3466" t="s">
        <v>3699</v>
      </c>
      <c r="F69" s="3484">
        <v>86</v>
      </c>
      <c r="G69" s="3468">
        <v>23542.5</v>
      </c>
      <c r="H69" s="3467">
        <v>9</v>
      </c>
      <c r="I69" s="3467">
        <v>8658.41</v>
      </c>
      <c r="J69" s="3467">
        <v>3.31</v>
      </c>
      <c r="K69" s="3467">
        <f t="shared" si="0"/>
        <v>32200.91</v>
      </c>
      <c r="L69" s="3470">
        <v>44654</v>
      </c>
      <c r="M69" s="3470">
        <v>45749</v>
      </c>
      <c r="N69" s="3467" t="s">
        <v>3469</v>
      </c>
    </row>
    <row r="70" spans="1:14" s="3502" customFormat="1" ht="48">
      <c r="A70" s="3467">
        <v>67</v>
      </c>
      <c r="B70" s="3475" t="s">
        <v>3703</v>
      </c>
      <c r="C70" s="3474" t="s">
        <v>3704</v>
      </c>
      <c r="D70" s="3465" t="s">
        <v>3705</v>
      </c>
      <c r="E70" s="3466" t="s">
        <v>3706</v>
      </c>
      <c r="F70" s="3484">
        <v>47</v>
      </c>
      <c r="G70" s="3468">
        <v>19270.78</v>
      </c>
      <c r="H70" s="3467">
        <v>13.48</v>
      </c>
      <c r="I70" s="3467">
        <v>5446.71</v>
      </c>
      <c r="J70" s="3467">
        <v>3.81</v>
      </c>
      <c r="K70" s="3467">
        <f t="shared" si="0"/>
        <v>24717.489999999998</v>
      </c>
      <c r="L70" s="3470">
        <v>44680</v>
      </c>
      <c r="M70" s="3470">
        <v>45227</v>
      </c>
      <c r="N70" s="3467" t="s">
        <v>3477</v>
      </c>
    </row>
    <row r="71" spans="1:14" s="3502" customFormat="1" ht="48">
      <c r="A71" s="3467">
        <v>68</v>
      </c>
      <c r="B71" s="3475" t="s">
        <v>3707</v>
      </c>
      <c r="C71" s="3471" t="s">
        <v>3708</v>
      </c>
      <c r="D71" s="3472" t="s">
        <v>3709</v>
      </c>
      <c r="E71" s="3466" t="s">
        <v>3710</v>
      </c>
      <c r="F71" s="3485">
        <v>60</v>
      </c>
      <c r="G71" s="3468">
        <v>29200</v>
      </c>
      <c r="H71" s="3467">
        <v>16</v>
      </c>
      <c r="I71" s="3467">
        <v>6040.75</v>
      </c>
      <c r="J71" s="3467">
        <v>3.31</v>
      </c>
      <c r="K71" s="3467">
        <f t="shared" si="0"/>
        <v>35240.75</v>
      </c>
      <c r="L71" s="3470">
        <v>44899</v>
      </c>
      <c r="M71" s="3470">
        <v>45263</v>
      </c>
      <c r="N71" s="3467" t="s">
        <v>3477</v>
      </c>
    </row>
    <row r="72" spans="1:14" s="3502" customFormat="1" ht="60">
      <c r="A72" s="3467">
        <v>69</v>
      </c>
      <c r="B72" s="3475" t="s">
        <v>3711</v>
      </c>
      <c r="C72" s="3471" t="s">
        <v>3712</v>
      </c>
      <c r="D72" s="3472" t="s">
        <v>3713</v>
      </c>
      <c r="E72" s="3466" t="s">
        <v>3714</v>
      </c>
      <c r="F72" s="3485">
        <v>123</v>
      </c>
      <c r="G72" s="3468">
        <v>0</v>
      </c>
      <c r="H72" s="3467">
        <v>0</v>
      </c>
      <c r="I72" s="3467">
        <v>0</v>
      </c>
      <c r="J72" s="3467">
        <v>0</v>
      </c>
      <c r="K72" s="3467">
        <f t="shared" si="0"/>
        <v>0</v>
      </c>
      <c r="L72" s="3470">
        <v>44387</v>
      </c>
      <c r="M72" s="3470">
        <v>45847</v>
      </c>
      <c r="N72" s="3467" t="s">
        <v>3477</v>
      </c>
    </row>
    <row r="73" spans="1:14" s="3502" customFormat="1" ht="36">
      <c r="A73" s="3467">
        <v>70</v>
      </c>
      <c r="B73" s="3475" t="s">
        <v>3715</v>
      </c>
      <c r="C73" s="3471" t="s">
        <v>3716</v>
      </c>
      <c r="D73" s="3472" t="s">
        <v>3717</v>
      </c>
      <c r="E73" s="3466" t="s">
        <v>3718</v>
      </c>
      <c r="F73" s="3485">
        <v>40</v>
      </c>
      <c r="G73" s="3468">
        <v>12166.67</v>
      </c>
      <c r="H73" s="3467">
        <v>10</v>
      </c>
      <c r="I73" s="3467">
        <v>4027.17</v>
      </c>
      <c r="J73" s="3467">
        <v>3.31</v>
      </c>
      <c r="K73" s="3467">
        <f t="shared" si="0"/>
        <v>16193.84</v>
      </c>
      <c r="L73" s="3470">
        <v>44520</v>
      </c>
      <c r="M73" s="3470">
        <v>45249</v>
      </c>
      <c r="N73" s="3467" t="s">
        <v>3469</v>
      </c>
    </row>
    <row r="74" spans="1:14" s="3502" customFormat="1" ht="48">
      <c r="A74" s="3467">
        <v>71</v>
      </c>
      <c r="B74" s="3473" t="s">
        <v>3719</v>
      </c>
      <c r="C74" s="3474" t="s">
        <v>3720</v>
      </c>
      <c r="D74" s="3465" t="s">
        <v>3721</v>
      </c>
      <c r="E74" s="3466" t="s">
        <v>3722</v>
      </c>
      <c r="F74" s="3486">
        <v>730</v>
      </c>
      <c r="G74" s="3468">
        <v>122122.92</v>
      </c>
      <c r="H74" s="3467">
        <v>5.5</v>
      </c>
      <c r="I74" s="3467">
        <v>66612.5</v>
      </c>
      <c r="J74" s="3467">
        <v>3</v>
      </c>
      <c r="K74" s="3467">
        <f t="shared" si="0"/>
        <v>188735.41999999998</v>
      </c>
      <c r="L74" s="3470">
        <v>43435</v>
      </c>
      <c r="M74" s="3470">
        <v>45260</v>
      </c>
      <c r="N74" s="3467" t="s">
        <v>3477</v>
      </c>
    </row>
    <row r="75" spans="1:14" s="3502" customFormat="1" ht="48">
      <c r="A75" s="3467">
        <v>72</v>
      </c>
      <c r="B75" s="3475" t="s">
        <v>3723</v>
      </c>
      <c r="C75" s="3471" t="s">
        <v>3724</v>
      </c>
      <c r="D75" s="3465" t="s">
        <v>3725</v>
      </c>
      <c r="E75" s="3466" t="s">
        <v>3726</v>
      </c>
      <c r="F75" s="3486">
        <v>667.29</v>
      </c>
      <c r="G75" s="3468">
        <v>113661.73</v>
      </c>
      <c r="H75" s="3467">
        <v>5.6</v>
      </c>
      <c r="I75" s="3467">
        <v>81186.95</v>
      </c>
      <c r="J75" s="3467">
        <v>4</v>
      </c>
      <c r="K75" s="3467">
        <f t="shared" si="0"/>
        <v>194848.68</v>
      </c>
      <c r="L75" s="3470">
        <v>44715</v>
      </c>
      <c r="M75" s="3470">
        <v>45657</v>
      </c>
      <c r="N75" s="3467" t="s">
        <v>3477</v>
      </c>
    </row>
    <row r="76" spans="1:14" s="3502" customFormat="1" ht="48">
      <c r="A76" s="3467">
        <v>73</v>
      </c>
      <c r="B76" s="3475" t="s">
        <v>3727</v>
      </c>
      <c r="C76" s="3471" t="s">
        <v>3724</v>
      </c>
      <c r="D76" s="3465" t="s">
        <v>3728</v>
      </c>
      <c r="E76" s="3466" t="s">
        <v>3729</v>
      </c>
      <c r="F76" s="3486">
        <v>216</v>
      </c>
      <c r="G76" s="3468">
        <v>36792</v>
      </c>
      <c r="H76" s="3467">
        <v>5.6</v>
      </c>
      <c r="I76" s="3467">
        <v>21024</v>
      </c>
      <c r="J76" s="3467">
        <v>4</v>
      </c>
      <c r="K76" s="3467">
        <v>26280</v>
      </c>
      <c r="L76" s="3470">
        <v>44715</v>
      </c>
      <c r="M76" s="3470">
        <v>45657</v>
      </c>
      <c r="N76" s="3467" t="s">
        <v>3477</v>
      </c>
    </row>
    <row r="77" spans="1:14" s="3502" customFormat="1" ht="48">
      <c r="A77" s="3467">
        <v>74</v>
      </c>
      <c r="B77" s="3475" t="s">
        <v>3730</v>
      </c>
      <c r="C77" s="3477" t="s">
        <v>3701</v>
      </c>
      <c r="D77" s="3472" t="s">
        <v>3731</v>
      </c>
      <c r="E77" s="3466" t="s">
        <v>3732</v>
      </c>
      <c r="F77" s="3486">
        <v>90</v>
      </c>
      <c r="G77" s="3468">
        <v>35587.5</v>
      </c>
      <c r="H77" s="3467">
        <v>13</v>
      </c>
      <c r="I77" s="3467">
        <v>9061.1299999999992</v>
      </c>
      <c r="J77" s="3467">
        <v>3.31</v>
      </c>
      <c r="K77" s="3467">
        <f t="shared" ref="K77:K140" si="1">G77+I77</f>
        <v>44648.63</v>
      </c>
      <c r="L77" s="3470">
        <v>44482</v>
      </c>
      <c r="M77" s="3470">
        <v>45577</v>
      </c>
      <c r="N77" s="3467" t="s">
        <v>3469</v>
      </c>
    </row>
    <row r="78" spans="1:14" s="3502" customFormat="1" ht="48">
      <c r="A78" s="3467">
        <v>75</v>
      </c>
      <c r="B78" s="3475" t="s">
        <v>3733</v>
      </c>
      <c r="C78" s="3471" t="s">
        <v>3734</v>
      </c>
      <c r="D78" s="3472" t="s">
        <v>3735</v>
      </c>
      <c r="E78" s="3466" t="s">
        <v>3736</v>
      </c>
      <c r="F78" s="3486">
        <v>272</v>
      </c>
      <c r="G78" s="3468">
        <v>47075.27</v>
      </c>
      <c r="H78" s="3467">
        <v>5.69</v>
      </c>
      <c r="I78" s="3467">
        <v>27384.73</v>
      </c>
      <c r="J78" s="3467">
        <v>3.31</v>
      </c>
      <c r="K78" s="3467">
        <f t="shared" si="1"/>
        <v>74460</v>
      </c>
      <c r="L78" s="3470">
        <v>44531</v>
      </c>
      <c r="M78" s="3470">
        <v>45626</v>
      </c>
      <c r="N78" s="3467" t="s">
        <v>3477</v>
      </c>
    </row>
    <row r="79" spans="1:14" s="3502" customFormat="1" ht="48">
      <c r="A79" s="3467">
        <v>76</v>
      </c>
      <c r="B79" s="3475" t="s">
        <v>3737</v>
      </c>
      <c r="C79" s="3471" t="s">
        <v>3738</v>
      </c>
      <c r="D79" s="3472" t="s">
        <v>3739</v>
      </c>
      <c r="E79" s="3466" t="s">
        <v>3740</v>
      </c>
      <c r="F79" s="3486">
        <v>148</v>
      </c>
      <c r="G79" s="3468">
        <v>38264.17</v>
      </c>
      <c r="H79" s="3467">
        <v>8.5</v>
      </c>
      <c r="I79" s="3467">
        <v>14900.52</v>
      </c>
      <c r="J79" s="3467">
        <v>3.31</v>
      </c>
      <c r="K79" s="3467">
        <f t="shared" si="1"/>
        <v>53164.69</v>
      </c>
      <c r="L79" s="3470">
        <v>44715</v>
      </c>
      <c r="M79" s="3470">
        <v>45079</v>
      </c>
      <c r="N79" s="3467" t="s">
        <v>3477</v>
      </c>
    </row>
    <row r="80" spans="1:14" s="3502" customFormat="1" ht="36">
      <c r="A80" s="3467">
        <v>77</v>
      </c>
      <c r="B80" s="3475" t="s">
        <v>3741</v>
      </c>
      <c r="C80" s="3471" t="s">
        <v>3742</v>
      </c>
      <c r="D80" s="3472" t="s">
        <v>3743</v>
      </c>
      <c r="E80" s="3466" t="s">
        <v>3744</v>
      </c>
      <c r="F80" s="3486">
        <v>63</v>
      </c>
      <c r="G80" s="3468">
        <v>19162.5</v>
      </c>
      <c r="H80" s="3467">
        <v>10</v>
      </c>
      <c r="I80" s="3467">
        <v>7300.91</v>
      </c>
      <c r="J80" s="3467">
        <v>3.81</v>
      </c>
      <c r="K80" s="3467">
        <f t="shared" si="1"/>
        <v>26463.41</v>
      </c>
      <c r="L80" s="3470">
        <v>44831</v>
      </c>
      <c r="M80" s="3470">
        <v>45561</v>
      </c>
      <c r="N80" s="3467" t="s">
        <v>3477</v>
      </c>
    </row>
    <row r="81" spans="1:14" s="3502" customFormat="1" ht="48">
      <c r="A81" s="3467">
        <v>78</v>
      </c>
      <c r="B81" s="3475" t="s">
        <v>3745</v>
      </c>
      <c r="C81" s="3471" t="s">
        <v>3746</v>
      </c>
      <c r="D81" s="3472" t="s">
        <v>3747</v>
      </c>
      <c r="E81" s="3466" t="s">
        <v>3748</v>
      </c>
      <c r="F81" s="3484">
        <v>81</v>
      </c>
      <c r="G81" s="3468">
        <v>36956.25</v>
      </c>
      <c r="H81" s="3467">
        <v>15</v>
      </c>
      <c r="I81" s="3467">
        <v>8155.01</v>
      </c>
      <c r="J81" s="3467">
        <v>3.31</v>
      </c>
      <c r="K81" s="3467">
        <f t="shared" si="1"/>
        <v>45111.26</v>
      </c>
      <c r="L81" s="3470">
        <v>44762</v>
      </c>
      <c r="M81" s="3470">
        <v>45126</v>
      </c>
      <c r="N81" s="3467" t="s">
        <v>3477</v>
      </c>
    </row>
    <row r="82" spans="1:14" s="3502" customFormat="1" ht="48">
      <c r="A82" s="3467">
        <v>79</v>
      </c>
      <c r="B82" s="3475" t="s">
        <v>3749</v>
      </c>
      <c r="C82" s="3471" t="s">
        <v>3750</v>
      </c>
      <c r="D82" s="3472" t="s">
        <v>3751</v>
      </c>
      <c r="E82" s="3466" t="s">
        <v>3752</v>
      </c>
      <c r="F82" s="3485">
        <v>52</v>
      </c>
      <c r="G82" s="3468">
        <v>16117.18</v>
      </c>
      <c r="H82" s="3467">
        <v>10.19</v>
      </c>
      <c r="I82" s="3467">
        <v>5235.32</v>
      </c>
      <c r="J82" s="3467">
        <v>3.31</v>
      </c>
      <c r="K82" s="3467">
        <f t="shared" si="1"/>
        <v>21352.5</v>
      </c>
      <c r="L82" s="3470">
        <v>44418</v>
      </c>
      <c r="M82" s="3470">
        <v>45261</v>
      </c>
      <c r="N82" s="3467" t="s">
        <v>3469</v>
      </c>
    </row>
    <row r="83" spans="1:14" s="3502" customFormat="1" ht="48">
      <c r="A83" s="3467">
        <v>80</v>
      </c>
      <c r="B83" s="3475" t="s">
        <v>3753</v>
      </c>
      <c r="C83" s="3471" t="s">
        <v>3750</v>
      </c>
      <c r="D83" s="3472" t="s">
        <v>3751</v>
      </c>
      <c r="E83" s="3466" t="s">
        <v>3754</v>
      </c>
      <c r="F83" s="3485">
        <v>115</v>
      </c>
      <c r="G83" s="3468">
        <v>35643.769999999997</v>
      </c>
      <c r="H83" s="3467">
        <v>10.19</v>
      </c>
      <c r="I83" s="3467">
        <v>11578.1</v>
      </c>
      <c r="J83" s="3467">
        <v>3.31</v>
      </c>
      <c r="K83" s="3467">
        <f t="shared" si="1"/>
        <v>47221.869999999995</v>
      </c>
      <c r="L83" s="3470">
        <v>44418</v>
      </c>
      <c r="M83" s="3470">
        <v>45261</v>
      </c>
      <c r="N83" s="3467" t="s">
        <v>3469</v>
      </c>
    </row>
    <row r="84" spans="1:14" s="3502" customFormat="1" ht="48">
      <c r="A84" s="3467">
        <v>81</v>
      </c>
      <c r="B84" s="3475" t="s">
        <v>3755</v>
      </c>
      <c r="C84" s="3471" t="s">
        <v>3750</v>
      </c>
      <c r="D84" s="3472" t="s">
        <v>3751</v>
      </c>
      <c r="E84" s="3466" t="s">
        <v>3756</v>
      </c>
      <c r="F84" s="3485">
        <v>115</v>
      </c>
      <c r="G84" s="3468">
        <v>35643.769999999997</v>
      </c>
      <c r="H84" s="3467">
        <v>10.19</v>
      </c>
      <c r="I84" s="3467">
        <v>11578.1</v>
      </c>
      <c r="J84" s="3467">
        <v>3.31</v>
      </c>
      <c r="K84" s="3467">
        <f t="shared" si="1"/>
        <v>47221.869999999995</v>
      </c>
      <c r="L84" s="3470">
        <v>44418</v>
      </c>
      <c r="M84" s="3470">
        <v>45261</v>
      </c>
      <c r="N84" s="3467" t="s">
        <v>3469</v>
      </c>
    </row>
    <row r="85" spans="1:14" s="3502" customFormat="1" ht="48">
      <c r="A85" s="3467">
        <v>82</v>
      </c>
      <c r="B85" s="3475" t="s">
        <v>3757</v>
      </c>
      <c r="C85" s="3471" t="s">
        <v>3758</v>
      </c>
      <c r="D85" s="3472" t="s">
        <v>3759</v>
      </c>
      <c r="E85" s="3466" t="s">
        <v>3760</v>
      </c>
      <c r="F85" s="3485">
        <v>20</v>
      </c>
      <c r="G85" s="3468">
        <v>11004.75</v>
      </c>
      <c r="H85" s="3467">
        <v>18.09</v>
      </c>
      <c r="I85" s="3467">
        <v>2317.75</v>
      </c>
      <c r="J85" s="3467">
        <v>3.81</v>
      </c>
      <c r="K85" s="3467">
        <f t="shared" si="1"/>
        <v>13322.5</v>
      </c>
      <c r="L85" s="3470">
        <v>44999</v>
      </c>
      <c r="M85" s="3470">
        <v>45364</v>
      </c>
      <c r="N85" s="3467" t="s">
        <v>3477</v>
      </c>
    </row>
    <row r="86" spans="1:14" s="3502" customFormat="1" ht="48">
      <c r="A86" s="3467">
        <v>83</v>
      </c>
      <c r="B86" s="3475" t="s">
        <v>3761</v>
      </c>
      <c r="C86" s="3477" t="s">
        <v>3762</v>
      </c>
      <c r="D86" s="3472" t="s">
        <v>3763</v>
      </c>
      <c r="E86" s="3466" t="s">
        <v>3764</v>
      </c>
      <c r="F86" s="3485">
        <v>549</v>
      </c>
      <c r="G86" s="3468">
        <v>104367.19</v>
      </c>
      <c r="H86" s="3467">
        <v>6.25</v>
      </c>
      <c r="I86" s="3467">
        <v>55272.86</v>
      </c>
      <c r="J86" s="3467">
        <v>3.31</v>
      </c>
      <c r="K86" s="3467">
        <f t="shared" si="1"/>
        <v>159640.04999999999</v>
      </c>
      <c r="L86" s="3470">
        <v>44435</v>
      </c>
      <c r="M86" s="3470">
        <v>46260</v>
      </c>
      <c r="N86" s="3467" t="s">
        <v>3477</v>
      </c>
    </row>
    <row r="87" spans="1:14" s="3502" customFormat="1" ht="48">
      <c r="A87" s="3467">
        <v>84</v>
      </c>
      <c r="B87" s="3475" t="s">
        <v>3765</v>
      </c>
      <c r="C87" s="3471" t="s">
        <v>3766</v>
      </c>
      <c r="D87" s="3472" t="s">
        <v>3767</v>
      </c>
      <c r="E87" s="3466" t="s">
        <v>3768</v>
      </c>
      <c r="F87" s="3486">
        <v>41</v>
      </c>
      <c r="G87" s="3468">
        <v>15871.63</v>
      </c>
      <c r="H87" s="3467">
        <v>12.727</v>
      </c>
      <c r="I87" s="3467">
        <v>4127.8500000000004</v>
      </c>
      <c r="J87" s="3467">
        <v>3.31</v>
      </c>
      <c r="K87" s="3467">
        <f t="shared" si="1"/>
        <v>19999.48</v>
      </c>
      <c r="L87" s="3470">
        <v>44392</v>
      </c>
      <c r="M87" s="3470">
        <v>45121</v>
      </c>
      <c r="N87" s="3467" t="s">
        <v>3477</v>
      </c>
    </row>
    <row r="88" spans="1:14" s="3502" customFormat="1" ht="48">
      <c r="A88" s="3467">
        <v>85</v>
      </c>
      <c r="B88" s="3475" t="s">
        <v>3769</v>
      </c>
      <c r="C88" s="3471" t="s">
        <v>3770</v>
      </c>
      <c r="D88" s="3472" t="s">
        <v>3771</v>
      </c>
      <c r="E88" s="3466" t="s">
        <v>3772</v>
      </c>
      <c r="F88" s="3486">
        <v>223</v>
      </c>
      <c r="G88" s="3468">
        <v>61046.25</v>
      </c>
      <c r="H88" s="3467">
        <v>9</v>
      </c>
      <c r="I88" s="3467">
        <v>22451.45</v>
      </c>
      <c r="J88" s="3467">
        <v>3.31</v>
      </c>
      <c r="K88" s="3467">
        <f t="shared" si="1"/>
        <v>83497.7</v>
      </c>
      <c r="L88" s="3470">
        <v>44512</v>
      </c>
      <c r="M88" s="3470">
        <v>45607</v>
      </c>
      <c r="N88" s="3467" t="s">
        <v>3469</v>
      </c>
    </row>
    <row r="89" spans="1:14" s="3502" customFormat="1" ht="48">
      <c r="A89" s="3467">
        <v>86</v>
      </c>
      <c r="B89" s="3475" t="s">
        <v>3773</v>
      </c>
      <c r="C89" s="3471" t="s">
        <v>3774</v>
      </c>
      <c r="D89" s="3472" t="s">
        <v>3775</v>
      </c>
      <c r="E89" s="3466" t="s">
        <v>3776</v>
      </c>
      <c r="F89" s="3486">
        <v>160</v>
      </c>
      <c r="G89" s="3468">
        <v>54458</v>
      </c>
      <c r="H89" s="3467">
        <v>11.19</v>
      </c>
      <c r="I89" s="3467">
        <v>16108.67</v>
      </c>
      <c r="J89" s="3467">
        <v>3.31</v>
      </c>
      <c r="K89" s="3467">
        <f t="shared" si="1"/>
        <v>70566.67</v>
      </c>
      <c r="L89" s="3470">
        <v>44512</v>
      </c>
      <c r="M89" s="3470">
        <v>45241</v>
      </c>
      <c r="N89" s="3467" t="s">
        <v>3477</v>
      </c>
    </row>
    <row r="90" spans="1:14" s="3502" customFormat="1" ht="72">
      <c r="A90" s="3467">
        <v>87</v>
      </c>
      <c r="B90" s="3487" t="s">
        <v>3777</v>
      </c>
      <c r="C90" s="3471" t="s">
        <v>3778</v>
      </c>
      <c r="D90" s="3472" t="s">
        <v>3779</v>
      </c>
      <c r="E90" s="3466" t="s">
        <v>3780</v>
      </c>
      <c r="F90" s="3488">
        <v>55</v>
      </c>
      <c r="G90" s="3468">
        <v>21229.31</v>
      </c>
      <c r="H90" s="3467">
        <v>12.69</v>
      </c>
      <c r="I90" s="3467">
        <v>5537.35</v>
      </c>
      <c r="J90" s="3467">
        <v>3.31</v>
      </c>
      <c r="K90" s="3467">
        <f t="shared" si="1"/>
        <v>26766.660000000003</v>
      </c>
      <c r="L90" s="3470">
        <v>44775</v>
      </c>
      <c r="M90" s="3470">
        <v>45139</v>
      </c>
      <c r="N90" s="3467" t="s">
        <v>3469</v>
      </c>
    </row>
    <row r="91" spans="1:14" s="3502" customFormat="1" ht="48">
      <c r="A91" s="3467">
        <v>88</v>
      </c>
      <c r="B91" s="3473" t="s">
        <v>3781</v>
      </c>
      <c r="C91" s="3474" t="s">
        <v>3782</v>
      </c>
      <c r="D91" s="3472" t="s">
        <v>3783</v>
      </c>
      <c r="E91" s="3466" t="s">
        <v>3784</v>
      </c>
      <c r="F91" s="3486">
        <v>10</v>
      </c>
      <c r="G91" s="3468">
        <v>5380.71</v>
      </c>
      <c r="H91" s="3467">
        <v>17.690000000000001</v>
      </c>
      <c r="I91" s="3467">
        <v>1006.79</v>
      </c>
      <c r="J91" s="3467">
        <v>3.31</v>
      </c>
      <c r="K91" s="3467">
        <f t="shared" si="1"/>
        <v>6387.5</v>
      </c>
      <c r="L91" s="3470">
        <v>44774</v>
      </c>
      <c r="M91" s="3470">
        <v>45138</v>
      </c>
      <c r="N91" s="3467" t="s">
        <v>3477</v>
      </c>
    </row>
    <row r="92" spans="1:14" s="3502" customFormat="1" ht="48">
      <c r="A92" s="3467">
        <v>89</v>
      </c>
      <c r="B92" s="3478" t="s">
        <v>3785</v>
      </c>
      <c r="C92" s="3479" t="s">
        <v>3786</v>
      </c>
      <c r="D92" s="3472" t="s">
        <v>3787</v>
      </c>
      <c r="E92" s="3466" t="s">
        <v>3788</v>
      </c>
      <c r="F92" s="3484">
        <v>118</v>
      </c>
      <c r="G92" s="3468">
        <v>29470.65</v>
      </c>
      <c r="H92" s="3467">
        <v>8.2110000000000003</v>
      </c>
      <c r="I92" s="3467">
        <v>11880.14</v>
      </c>
      <c r="J92" s="3467">
        <v>3.31</v>
      </c>
      <c r="K92" s="3467">
        <f t="shared" si="1"/>
        <v>41350.79</v>
      </c>
      <c r="L92" s="3470">
        <v>44414</v>
      </c>
      <c r="M92" s="3470">
        <v>45509</v>
      </c>
      <c r="N92" s="3467" t="s">
        <v>3477</v>
      </c>
    </row>
    <row r="93" spans="1:14" s="3502" customFormat="1" ht="48">
      <c r="A93" s="3467">
        <v>90</v>
      </c>
      <c r="B93" s="3475" t="s">
        <v>3789</v>
      </c>
      <c r="C93" s="3471" t="s">
        <v>3790</v>
      </c>
      <c r="D93" s="3472" t="s">
        <v>3791</v>
      </c>
      <c r="E93" s="3466" t="s">
        <v>3792</v>
      </c>
      <c r="F93" s="3488">
        <v>86</v>
      </c>
      <c r="G93" s="3468">
        <v>34005.83</v>
      </c>
      <c r="H93" s="3467">
        <v>13</v>
      </c>
      <c r="I93" s="3467">
        <v>8658.41</v>
      </c>
      <c r="J93" s="3467">
        <v>3.31</v>
      </c>
      <c r="K93" s="3467">
        <f t="shared" si="1"/>
        <v>42664.240000000005</v>
      </c>
      <c r="L93" s="3470">
        <v>44179</v>
      </c>
      <c r="M93" s="3470">
        <v>45273</v>
      </c>
      <c r="N93" s="3467" t="s">
        <v>3477</v>
      </c>
    </row>
    <row r="94" spans="1:14" s="3502" customFormat="1" ht="36">
      <c r="A94" s="3467">
        <v>91</v>
      </c>
      <c r="B94" s="3475" t="s">
        <v>3793</v>
      </c>
      <c r="C94" s="3477" t="s">
        <v>3794</v>
      </c>
      <c r="D94" s="3472" t="s">
        <v>3795</v>
      </c>
      <c r="E94" s="3466" t="s">
        <v>3796</v>
      </c>
      <c r="F94" s="3488">
        <v>7.7</v>
      </c>
      <c r="G94" s="3468">
        <v>7224.86</v>
      </c>
      <c r="H94" s="3467">
        <v>30.347999999999999</v>
      </c>
      <c r="I94" s="3467">
        <v>892.33</v>
      </c>
      <c r="J94" s="3467">
        <v>3.31</v>
      </c>
      <c r="K94" s="3467">
        <f t="shared" si="1"/>
        <v>8117.19</v>
      </c>
      <c r="L94" s="3470">
        <v>44896</v>
      </c>
      <c r="M94" s="3470">
        <v>45260</v>
      </c>
      <c r="N94" s="3467" t="s">
        <v>3469</v>
      </c>
    </row>
    <row r="95" spans="1:14" s="3502" customFormat="1" ht="60">
      <c r="A95" s="3467">
        <v>92</v>
      </c>
      <c r="B95" s="3475" t="s">
        <v>3797</v>
      </c>
      <c r="C95" s="3471" t="s">
        <v>3798</v>
      </c>
      <c r="D95" s="3472" t="s">
        <v>3799</v>
      </c>
      <c r="E95" s="3466" t="s">
        <v>3800</v>
      </c>
      <c r="F95" s="3488">
        <v>470</v>
      </c>
      <c r="G95" s="3468">
        <v>199569.83</v>
      </c>
      <c r="H95" s="3467">
        <v>13.96</v>
      </c>
      <c r="I95" s="3467">
        <v>47347.8</v>
      </c>
      <c r="J95" s="3467">
        <v>3.3119999999999998</v>
      </c>
      <c r="K95" s="3467">
        <f t="shared" si="1"/>
        <v>246917.63</v>
      </c>
      <c r="L95" s="3470">
        <v>44618</v>
      </c>
      <c r="M95" s="3470">
        <v>46228</v>
      </c>
      <c r="N95" s="3467" t="s">
        <v>3477</v>
      </c>
    </row>
    <row r="96" spans="1:14" s="3502" customFormat="1" ht="48">
      <c r="A96" s="3467">
        <v>93</v>
      </c>
      <c r="B96" s="3475" t="s">
        <v>3801</v>
      </c>
      <c r="C96" s="3471" t="s">
        <v>3802</v>
      </c>
      <c r="D96" s="3472" t="s">
        <v>3799</v>
      </c>
      <c r="E96" s="3466" t="s">
        <v>3803</v>
      </c>
      <c r="F96" s="3488">
        <v>40</v>
      </c>
      <c r="G96" s="3468">
        <v>16984.669999999998</v>
      </c>
      <c r="H96" s="3467">
        <v>13.96</v>
      </c>
      <c r="I96" s="3467">
        <v>4029.6</v>
      </c>
      <c r="J96" s="3467">
        <v>3.3119999999999998</v>
      </c>
      <c r="K96" s="3467">
        <f t="shared" si="1"/>
        <v>21014.269999999997</v>
      </c>
      <c r="L96" s="3470">
        <v>44618</v>
      </c>
      <c r="M96" s="3470">
        <v>46228</v>
      </c>
      <c r="N96" s="3467" t="s">
        <v>3477</v>
      </c>
    </row>
    <row r="97" spans="1:14" s="3502" customFormat="1" ht="36">
      <c r="A97" s="3467">
        <v>94</v>
      </c>
      <c r="B97" s="3475" t="s">
        <v>3804</v>
      </c>
      <c r="C97" s="3471" t="s">
        <v>3802</v>
      </c>
      <c r="D97" s="3472" t="s">
        <v>3799</v>
      </c>
      <c r="E97" s="3466" t="s">
        <v>3805</v>
      </c>
      <c r="F97" s="3488">
        <v>136</v>
      </c>
      <c r="G97" s="3468">
        <v>29742.63</v>
      </c>
      <c r="H97" s="3467">
        <v>7.19</v>
      </c>
      <c r="I97" s="3467">
        <v>15760.7</v>
      </c>
      <c r="J97" s="3467">
        <v>3.81</v>
      </c>
      <c r="K97" s="3467">
        <f t="shared" si="1"/>
        <v>45503.33</v>
      </c>
      <c r="L97" s="3470">
        <v>44784</v>
      </c>
      <c r="M97" s="3470">
        <v>45516</v>
      </c>
      <c r="N97" s="3467" t="s">
        <v>3477</v>
      </c>
    </row>
    <row r="98" spans="1:14" s="3502" customFormat="1" ht="48">
      <c r="A98" s="3467">
        <v>95</v>
      </c>
      <c r="B98" s="3475" t="s">
        <v>3806</v>
      </c>
      <c r="C98" s="3471" t="s">
        <v>3807</v>
      </c>
      <c r="D98" s="3465" t="s">
        <v>3808</v>
      </c>
      <c r="E98" s="3466" t="s">
        <v>3809</v>
      </c>
      <c r="F98" s="3486">
        <v>193</v>
      </c>
      <c r="G98" s="3468">
        <v>90756.64</v>
      </c>
      <c r="H98" s="3467">
        <v>15.46</v>
      </c>
      <c r="I98" s="3467">
        <v>18785.330000000002</v>
      </c>
      <c r="J98" s="3467">
        <v>3.2</v>
      </c>
      <c r="K98" s="3467">
        <f t="shared" si="1"/>
        <v>109541.97</v>
      </c>
      <c r="L98" s="3470">
        <v>43952</v>
      </c>
      <c r="M98" s="3470">
        <v>45046</v>
      </c>
      <c r="N98" s="3467" t="s">
        <v>3477</v>
      </c>
    </row>
    <row r="99" spans="1:14" s="3502" customFormat="1" ht="48">
      <c r="A99" s="3467">
        <v>96</v>
      </c>
      <c r="B99" s="3475" t="s">
        <v>3810</v>
      </c>
      <c r="C99" s="3477" t="s">
        <v>3811</v>
      </c>
      <c r="D99" s="3472" t="s">
        <v>3812</v>
      </c>
      <c r="E99" s="3466" t="s">
        <v>3813</v>
      </c>
      <c r="F99" s="3472">
        <v>73</v>
      </c>
      <c r="G99" s="3468">
        <v>35526.67</v>
      </c>
      <c r="H99" s="3467">
        <v>16</v>
      </c>
      <c r="I99" s="3467">
        <v>7349.58</v>
      </c>
      <c r="J99" s="3467">
        <v>3.31</v>
      </c>
      <c r="K99" s="3467">
        <f t="shared" si="1"/>
        <v>42876.25</v>
      </c>
      <c r="L99" s="3470">
        <v>44386</v>
      </c>
      <c r="M99" s="3470">
        <v>45115</v>
      </c>
      <c r="N99" s="3467" t="s">
        <v>3477</v>
      </c>
    </row>
    <row r="100" spans="1:14" s="3502" customFormat="1" ht="48">
      <c r="A100" s="3467">
        <v>97</v>
      </c>
      <c r="B100" s="3475" t="s">
        <v>3814</v>
      </c>
      <c r="C100" s="3477" t="s">
        <v>3815</v>
      </c>
      <c r="D100" s="3472" t="s">
        <v>3816</v>
      </c>
      <c r="E100" s="3466" t="s">
        <v>3817</v>
      </c>
      <c r="F100" s="3472">
        <v>77</v>
      </c>
      <c r="G100" s="3468">
        <v>30447.08</v>
      </c>
      <c r="H100" s="3467">
        <v>13</v>
      </c>
      <c r="I100" s="3467">
        <v>7752.3</v>
      </c>
      <c r="J100" s="3467">
        <v>3.31</v>
      </c>
      <c r="K100" s="3467">
        <f t="shared" si="1"/>
        <v>38199.380000000005</v>
      </c>
      <c r="L100" s="3470">
        <v>44532</v>
      </c>
      <c r="M100" s="3470">
        <v>45261</v>
      </c>
      <c r="N100" s="3467" t="s">
        <v>3477</v>
      </c>
    </row>
    <row r="101" spans="1:14" s="3502" customFormat="1" ht="48">
      <c r="A101" s="3467">
        <v>98</v>
      </c>
      <c r="B101" s="3475" t="s">
        <v>3818</v>
      </c>
      <c r="C101" s="3471" t="s">
        <v>3819</v>
      </c>
      <c r="D101" s="3472" t="s">
        <v>3820</v>
      </c>
      <c r="E101" s="3466" t="s">
        <v>3821</v>
      </c>
      <c r="F101" s="3472">
        <v>127</v>
      </c>
      <c r="G101" s="3468">
        <v>61806.67</v>
      </c>
      <c r="H101" s="3467">
        <v>16</v>
      </c>
      <c r="I101" s="3467">
        <v>12786.25</v>
      </c>
      <c r="J101" s="3467">
        <v>3.31</v>
      </c>
      <c r="K101" s="3467">
        <f t="shared" si="1"/>
        <v>74592.92</v>
      </c>
      <c r="L101" s="3470">
        <v>44692</v>
      </c>
      <c r="M101" s="3470">
        <v>45056</v>
      </c>
      <c r="N101" s="3467" t="s">
        <v>3469</v>
      </c>
    </row>
    <row r="102" spans="1:14" s="3502" customFormat="1" ht="48">
      <c r="A102" s="3467">
        <v>99</v>
      </c>
      <c r="B102" s="3475" t="s">
        <v>3822</v>
      </c>
      <c r="C102" s="3466" t="s">
        <v>3823</v>
      </c>
      <c r="D102" s="3467" t="s">
        <v>3824</v>
      </c>
      <c r="E102" s="3466" t="s">
        <v>3825</v>
      </c>
      <c r="F102" s="3472">
        <v>94</v>
      </c>
      <c r="G102" s="3468">
        <v>35739.58</v>
      </c>
      <c r="H102" s="3467">
        <v>12.5</v>
      </c>
      <c r="I102" s="3467">
        <v>9463.84</v>
      </c>
      <c r="J102" s="3467">
        <v>3.31</v>
      </c>
      <c r="K102" s="3467">
        <f t="shared" si="1"/>
        <v>45203.42</v>
      </c>
      <c r="L102" s="3470">
        <v>44501</v>
      </c>
      <c r="M102" s="3470">
        <v>45230</v>
      </c>
      <c r="N102" s="3467" t="s">
        <v>3477</v>
      </c>
    </row>
    <row r="103" spans="1:14" s="3502" customFormat="1" ht="48">
      <c r="A103" s="3467">
        <v>100</v>
      </c>
      <c r="B103" s="3487" t="s">
        <v>3826</v>
      </c>
      <c r="C103" s="3471" t="s">
        <v>3827</v>
      </c>
      <c r="D103" s="3489" t="s">
        <v>3828</v>
      </c>
      <c r="E103" s="3466" t="s">
        <v>3829</v>
      </c>
      <c r="F103" s="3472">
        <v>110</v>
      </c>
      <c r="G103" s="3468">
        <v>12955.07</v>
      </c>
      <c r="H103" s="3467">
        <v>3.8719999999999999</v>
      </c>
      <c r="I103" s="3467">
        <v>10706.67</v>
      </c>
      <c r="J103" s="3467">
        <v>3.2</v>
      </c>
      <c r="K103" s="3467">
        <f t="shared" si="1"/>
        <v>23661.739999999998</v>
      </c>
      <c r="L103" s="3470">
        <v>44747</v>
      </c>
      <c r="M103" s="3470">
        <v>45477</v>
      </c>
      <c r="N103" s="3467" t="s">
        <v>3477</v>
      </c>
    </row>
    <row r="104" spans="1:14" s="3502" customFormat="1" ht="48">
      <c r="A104" s="3467">
        <v>101</v>
      </c>
      <c r="B104" s="3487" t="s">
        <v>3830</v>
      </c>
      <c r="C104" s="3471" t="s">
        <v>3831</v>
      </c>
      <c r="D104" s="3489" t="s">
        <v>3832</v>
      </c>
      <c r="E104" s="3466" t="s">
        <v>3833</v>
      </c>
      <c r="F104" s="3472">
        <v>22</v>
      </c>
      <c r="G104" s="3468">
        <v>13383.33</v>
      </c>
      <c r="H104" s="3467">
        <v>20</v>
      </c>
      <c r="I104" s="3467">
        <v>2214.94</v>
      </c>
      <c r="J104" s="3467">
        <v>3.31</v>
      </c>
      <c r="K104" s="3467">
        <f t="shared" si="1"/>
        <v>15598.27</v>
      </c>
      <c r="L104" s="3470">
        <v>44778</v>
      </c>
      <c r="M104" s="3470">
        <v>45142</v>
      </c>
      <c r="N104" s="3467" t="s">
        <v>3834</v>
      </c>
    </row>
    <row r="105" spans="1:14" s="3502" customFormat="1" ht="48">
      <c r="A105" s="3467">
        <v>102</v>
      </c>
      <c r="B105" s="3487" t="s">
        <v>3835</v>
      </c>
      <c r="C105" s="3471" t="s">
        <v>3836</v>
      </c>
      <c r="D105" s="3489" t="s">
        <v>3837</v>
      </c>
      <c r="E105" s="3466" t="s">
        <v>3838</v>
      </c>
      <c r="F105" s="3472">
        <v>112</v>
      </c>
      <c r="G105" s="3468">
        <v>13188.62</v>
      </c>
      <c r="H105" s="3467">
        <v>3.8719999999999999</v>
      </c>
      <c r="I105" s="3467">
        <v>11276.07</v>
      </c>
      <c r="J105" s="3467">
        <v>3.31</v>
      </c>
      <c r="K105" s="3467">
        <f t="shared" si="1"/>
        <v>24464.690000000002</v>
      </c>
      <c r="L105" s="3470">
        <v>44383</v>
      </c>
      <c r="M105" s="3470">
        <v>45112</v>
      </c>
      <c r="N105" s="3467" t="s">
        <v>3477</v>
      </c>
    </row>
    <row r="106" spans="1:14" s="3502" customFormat="1" ht="48">
      <c r="A106" s="3467">
        <v>103</v>
      </c>
      <c r="B106" s="3475" t="s">
        <v>3839</v>
      </c>
      <c r="C106" s="3471" t="s">
        <v>3840</v>
      </c>
      <c r="D106" s="3472" t="s">
        <v>3841</v>
      </c>
      <c r="E106" s="3466" t="s">
        <v>3842</v>
      </c>
      <c r="F106" s="3472">
        <v>105</v>
      </c>
      <c r="G106" s="3468">
        <v>51100</v>
      </c>
      <c r="H106" s="3467">
        <v>16</v>
      </c>
      <c r="I106" s="3467">
        <v>10571.31</v>
      </c>
      <c r="J106" s="3467">
        <v>3.31</v>
      </c>
      <c r="K106" s="3467">
        <f t="shared" si="1"/>
        <v>61671.31</v>
      </c>
      <c r="L106" s="3470">
        <v>44692</v>
      </c>
      <c r="M106" s="3470">
        <v>45056</v>
      </c>
      <c r="N106" s="3467" t="s">
        <v>3477</v>
      </c>
    </row>
    <row r="107" spans="1:14" s="3502" customFormat="1" ht="36">
      <c r="A107" s="3467">
        <v>104</v>
      </c>
      <c r="B107" s="3475" t="s">
        <v>3843</v>
      </c>
      <c r="C107" s="3477" t="s">
        <v>3844</v>
      </c>
      <c r="D107" s="3467" t="s">
        <v>3845</v>
      </c>
      <c r="E107" s="3466" t="s">
        <v>3550</v>
      </c>
      <c r="F107" s="3465">
        <v>15</v>
      </c>
      <c r="G107" s="3468">
        <v>6262.03</v>
      </c>
      <c r="H107" s="3467">
        <v>13.725</v>
      </c>
      <c r="I107" s="3467">
        <v>1738.31</v>
      </c>
      <c r="J107" s="3467">
        <v>3.81</v>
      </c>
      <c r="K107" s="3467">
        <f t="shared" si="1"/>
        <v>8000.34</v>
      </c>
      <c r="L107" s="3470">
        <v>44986</v>
      </c>
      <c r="M107" s="3470">
        <v>45351</v>
      </c>
      <c r="N107" s="3467" t="s">
        <v>3477</v>
      </c>
    </row>
    <row r="108" spans="1:14" s="3502" customFormat="1" ht="36">
      <c r="A108" s="3467">
        <v>105</v>
      </c>
      <c r="B108" s="3475" t="s">
        <v>3846</v>
      </c>
      <c r="C108" s="3477" t="s">
        <v>3847</v>
      </c>
      <c r="D108" s="3467" t="s">
        <v>3848</v>
      </c>
      <c r="E108" s="3466" t="s">
        <v>3849</v>
      </c>
      <c r="F108" s="3465">
        <v>99</v>
      </c>
      <c r="G108" s="3468">
        <v>17134.009999999998</v>
      </c>
      <c r="H108" s="3467">
        <v>5.69</v>
      </c>
      <c r="I108" s="3467">
        <v>11472.86</v>
      </c>
      <c r="J108" s="3467">
        <v>3.81</v>
      </c>
      <c r="K108" s="3467">
        <f t="shared" si="1"/>
        <v>28606.87</v>
      </c>
      <c r="L108" s="3470">
        <v>44986</v>
      </c>
      <c r="M108" s="3470">
        <v>45716</v>
      </c>
      <c r="N108" s="3467" t="s">
        <v>3477</v>
      </c>
    </row>
    <row r="109" spans="1:14" s="3502" customFormat="1" ht="48">
      <c r="A109" s="3467">
        <v>106</v>
      </c>
      <c r="B109" s="3475" t="s">
        <v>3850</v>
      </c>
      <c r="C109" s="3471" t="s">
        <v>3851</v>
      </c>
      <c r="D109" s="3472" t="s">
        <v>3852</v>
      </c>
      <c r="E109" s="3466" t="s">
        <v>3853</v>
      </c>
      <c r="F109" s="3472">
        <v>84</v>
      </c>
      <c r="G109" s="3468">
        <v>31937.5</v>
      </c>
      <c r="H109" s="3467">
        <v>12.5</v>
      </c>
      <c r="I109" s="3467">
        <v>8457.0499999999993</v>
      </c>
      <c r="J109" s="3467">
        <v>3.31</v>
      </c>
      <c r="K109" s="3467">
        <f t="shared" si="1"/>
        <v>40394.550000000003</v>
      </c>
      <c r="L109" s="3470">
        <v>45005</v>
      </c>
      <c r="M109" s="3470">
        <v>45370</v>
      </c>
      <c r="N109" s="3467" t="s">
        <v>3477</v>
      </c>
    </row>
    <row r="110" spans="1:14" s="3502" customFormat="1" ht="36">
      <c r="A110" s="3467">
        <v>107</v>
      </c>
      <c r="B110" s="3475" t="s">
        <v>3854</v>
      </c>
      <c r="C110" s="3471" t="s">
        <v>3855</v>
      </c>
      <c r="D110" s="3472" t="s">
        <v>3856</v>
      </c>
      <c r="E110" s="3466" t="s">
        <v>3857</v>
      </c>
      <c r="F110" s="3472">
        <v>33</v>
      </c>
      <c r="G110" s="3468">
        <v>24190.38</v>
      </c>
      <c r="H110" s="3467">
        <v>24.1</v>
      </c>
      <c r="I110" s="3467">
        <v>3322.41</v>
      </c>
      <c r="J110" s="3467">
        <v>3.31</v>
      </c>
      <c r="K110" s="3467">
        <f t="shared" si="1"/>
        <v>27512.79</v>
      </c>
      <c r="L110" s="3470">
        <v>44757</v>
      </c>
      <c r="M110" s="3470">
        <v>45121</v>
      </c>
      <c r="N110" s="3467" t="s">
        <v>3469</v>
      </c>
    </row>
    <row r="111" spans="1:14" s="3502" customFormat="1" ht="48">
      <c r="A111" s="3467">
        <v>108</v>
      </c>
      <c r="B111" s="3475" t="s">
        <v>3858</v>
      </c>
      <c r="C111" s="3471" t="s">
        <v>3859</v>
      </c>
      <c r="D111" s="3472" t="s">
        <v>3860</v>
      </c>
      <c r="E111" s="3466" t="s">
        <v>3861</v>
      </c>
      <c r="F111" s="3472">
        <v>86</v>
      </c>
      <c r="G111" s="3468">
        <v>36621.67</v>
      </c>
      <c r="H111" s="3467">
        <v>14</v>
      </c>
      <c r="I111" s="3467">
        <v>9966.33</v>
      </c>
      <c r="J111" s="3467">
        <v>3.81</v>
      </c>
      <c r="K111" s="3467">
        <f t="shared" si="1"/>
        <v>46588</v>
      </c>
      <c r="L111" s="3470">
        <v>45001</v>
      </c>
      <c r="M111" s="3470">
        <v>45366</v>
      </c>
      <c r="N111" s="3467" t="s">
        <v>3477</v>
      </c>
    </row>
    <row r="112" spans="1:14" s="3502" customFormat="1" ht="48">
      <c r="A112" s="3467">
        <v>109</v>
      </c>
      <c r="B112" s="3475" t="s">
        <v>3862</v>
      </c>
      <c r="C112" s="3471" t="s">
        <v>3863</v>
      </c>
      <c r="D112" s="3467" t="s">
        <v>3864</v>
      </c>
      <c r="E112" s="3466" t="s">
        <v>3865</v>
      </c>
      <c r="F112" s="3472">
        <v>97</v>
      </c>
      <c r="G112" s="3468">
        <v>35405</v>
      </c>
      <c r="H112" s="3467">
        <v>12</v>
      </c>
      <c r="I112" s="3490">
        <v>9765.8799999999992</v>
      </c>
      <c r="J112" s="3491">
        <v>3.31</v>
      </c>
      <c r="K112" s="3467">
        <f t="shared" si="1"/>
        <v>45170.879999999997</v>
      </c>
      <c r="L112" s="3470">
        <v>44531</v>
      </c>
      <c r="M112" s="3470">
        <v>45260</v>
      </c>
      <c r="N112" s="3467" t="s">
        <v>3469</v>
      </c>
    </row>
    <row r="113" spans="1:14" s="3502" customFormat="1" ht="48">
      <c r="A113" s="3467">
        <v>110</v>
      </c>
      <c r="B113" s="3475" t="s">
        <v>3866</v>
      </c>
      <c r="C113" s="3474" t="s">
        <v>3867</v>
      </c>
      <c r="D113" s="3472" t="s">
        <v>3868</v>
      </c>
      <c r="E113" s="3466" t="s">
        <v>3869</v>
      </c>
      <c r="F113" s="3472">
        <v>126</v>
      </c>
      <c r="G113" s="3468">
        <v>50550.68</v>
      </c>
      <c r="H113" s="3467">
        <v>13.19</v>
      </c>
      <c r="I113" s="3490">
        <v>12685.58</v>
      </c>
      <c r="J113" s="3491">
        <v>3.31</v>
      </c>
      <c r="K113" s="3467">
        <f t="shared" si="1"/>
        <v>63236.26</v>
      </c>
      <c r="L113" s="3470">
        <v>44700</v>
      </c>
      <c r="M113" s="3470">
        <v>45064</v>
      </c>
      <c r="N113" s="3467" t="s">
        <v>3477</v>
      </c>
    </row>
    <row r="114" spans="1:14" s="3502" customFormat="1" ht="48">
      <c r="A114" s="3467">
        <v>111</v>
      </c>
      <c r="B114" s="3475" t="s">
        <v>3870</v>
      </c>
      <c r="C114" s="3471" t="s">
        <v>3871</v>
      </c>
      <c r="D114" s="3472" t="s">
        <v>3872</v>
      </c>
      <c r="E114" s="3466" t="s">
        <v>3522</v>
      </c>
      <c r="F114" s="3472">
        <v>194</v>
      </c>
      <c r="G114" s="3468">
        <v>17702.5</v>
      </c>
      <c r="H114" s="3467">
        <v>3</v>
      </c>
      <c r="I114" s="3490">
        <v>18882.669999999998</v>
      </c>
      <c r="J114" s="3491">
        <v>3.2</v>
      </c>
      <c r="K114" s="3467">
        <f t="shared" si="1"/>
        <v>36585.17</v>
      </c>
      <c r="L114" s="3470">
        <v>44768</v>
      </c>
      <c r="M114" s="3470">
        <v>45132</v>
      </c>
      <c r="N114" s="3467" t="s">
        <v>3477</v>
      </c>
    </row>
    <row r="115" spans="1:14" s="3502" customFormat="1" ht="48">
      <c r="A115" s="3467">
        <v>112</v>
      </c>
      <c r="B115" s="3475" t="s">
        <v>3873</v>
      </c>
      <c r="C115" s="3471" t="s">
        <v>3874</v>
      </c>
      <c r="D115" s="3472" t="s">
        <v>3875</v>
      </c>
      <c r="E115" s="3466" t="s">
        <v>3876</v>
      </c>
      <c r="F115" s="3472">
        <v>80</v>
      </c>
      <c r="G115" s="3468">
        <v>43800</v>
      </c>
      <c r="H115" s="3467">
        <v>18</v>
      </c>
      <c r="I115" s="3490">
        <v>8054.33</v>
      </c>
      <c r="J115" s="3491">
        <v>3.31</v>
      </c>
      <c r="K115" s="3467">
        <f t="shared" si="1"/>
        <v>51854.33</v>
      </c>
      <c r="L115" s="3470">
        <v>44692</v>
      </c>
      <c r="M115" s="3470">
        <v>45056</v>
      </c>
      <c r="N115" s="3467" t="s">
        <v>3477</v>
      </c>
    </row>
    <row r="116" spans="1:14" s="3502" customFormat="1" ht="48">
      <c r="A116" s="3467">
        <v>113</v>
      </c>
      <c r="B116" s="3473" t="s">
        <v>3877</v>
      </c>
      <c r="C116" s="3474" t="s">
        <v>3878</v>
      </c>
      <c r="D116" s="3465" t="s">
        <v>3879</v>
      </c>
      <c r="E116" s="3466" t="s">
        <v>3880</v>
      </c>
      <c r="F116" s="3465">
        <v>39</v>
      </c>
      <c r="G116" s="3468">
        <v>12681.01</v>
      </c>
      <c r="H116" s="3467">
        <v>10.69</v>
      </c>
      <c r="I116" s="3490">
        <v>3926.49</v>
      </c>
      <c r="J116" s="3491">
        <v>3.31</v>
      </c>
      <c r="K116" s="3467">
        <f t="shared" si="1"/>
        <v>16607.5</v>
      </c>
      <c r="L116" s="3470">
        <v>44774</v>
      </c>
      <c r="M116" s="3470">
        <v>45138</v>
      </c>
      <c r="N116" s="3467" t="s">
        <v>3469</v>
      </c>
    </row>
    <row r="117" spans="1:14" s="3502" customFormat="1" ht="48">
      <c r="A117" s="3467">
        <v>114</v>
      </c>
      <c r="B117" s="3473" t="s">
        <v>3881</v>
      </c>
      <c r="C117" s="3474" t="s">
        <v>3882</v>
      </c>
      <c r="D117" s="3465" t="s">
        <v>3883</v>
      </c>
      <c r="E117" s="3466" t="s">
        <v>3884</v>
      </c>
      <c r="F117" s="3465">
        <v>108</v>
      </c>
      <c r="G117" s="3468">
        <v>39420</v>
      </c>
      <c r="H117" s="3467">
        <v>12</v>
      </c>
      <c r="I117" s="3490">
        <v>10873.35</v>
      </c>
      <c r="J117" s="3491">
        <v>3.31</v>
      </c>
      <c r="K117" s="3467">
        <f t="shared" si="1"/>
        <v>50293.35</v>
      </c>
      <c r="L117" s="3470">
        <v>44730</v>
      </c>
      <c r="M117" s="3470">
        <v>45094</v>
      </c>
      <c r="N117" s="3467" t="s">
        <v>3477</v>
      </c>
    </row>
    <row r="118" spans="1:14" s="3502" customFormat="1" ht="48">
      <c r="A118" s="3467">
        <v>115</v>
      </c>
      <c r="B118" s="3475" t="s">
        <v>3885</v>
      </c>
      <c r="C118" s="3471" t="s">
        <v>3886</v>
      </c>
      <c r="D118" s="3472" t="s">
        <v>3887</v>
      </c>
      <c r="E118" s="3466" t="s">
        <v>4150</v>
      </c>
      <c r="F118" s="3472">
        <v>42</v>
      </c>
      <c r="G118" s="3468">
        <v>18766.48</v>
      </c>
      <c r="H118" s="3467">
        <v>14.69</v>
      </c>
      <c r="I118" s="3490">
        <v>4228.53</v>
      </c>
      <c r="J118" s="3491">
        <v>3.31</v>
      </c>
      <c r="K118" s="3467">
        <f t="shared" si="1"/>
        <v>22995.01</v>
      </c>
      <c r="L118" s="3470">
        <v>44866</v>
      </c>
      <c r="M118" s="3470">
        <v>45230</v>
      </c>
      <c r="N118" s="3467" t="s">
        <v>3477</v>
      </c>
    </row>
    <row r="119" spans="1:14" s="3502" customFormat="1" ht="48">
      <c r="A119" s="3467">
        <v>116</v>
      </c>
      <c r="B119" s="3475" t="s">
        <v>3888</v>
      </c>
      <c r="C119" s="3471" t="s">
        <v>3889</v>
      </c>
      <c r="D119" s="3472" t="s">
        <v>3890</v>
      </c>
      <c r="E119" s="3466" t="s">
        <v>3891</v>
      </c>
      <c r="F119" s="3472">
        <v>118</v>
      </c>
      <c r="G119" s="3468">
        <v>46659.17</v>
      </c>
      <c r="H119" s="3467">
        <v>13</v>
      </c>
      <c r="I119" s="3490">
        <v>11880.14</v>
      </c>
      <c r="J119" s="3491">
        <v>3.31</v>
      </c>
      <c r="K119" s="3467">
        <f t="shared" si="1"/>
        <v>58539.31</v>
      </c>
      <c r="L119" s="3470">
        <v>44783</v>
      </c>
      <c r="M119" s="3470">
        <v>45147</v>
      </c>
      <c r="N119" s="3467" t="s">
        <v>3477</v>
      </c>
    </row>
    <row r="120" spans="1:14" s="3502" customFormat="1" ht="36">
      <c r="A120" s="3467">
        <v>117</v>
      </c>
      <c r="B120" s="3475" t="s">
        <v>3892</v>
      </c>
      <c r="C120" s="3471" t="s">
        <v>3893</v>
      </c>
      <c r="D120" s="3472" t="s">
        <v>3894</v>
      </c>
      <c r="E120" s="3466" t="s">
        <v>3895</v>
      </c>
      <c r="F120" s="3472">
        <v>532</v>
      </c>
      <c r="G120" s="3468">
        <v>0</v>
      </c>
      <c r="H120" s="3467">
        <v>0</v>
      </c>
      <c r="I120" s="3490">
        <v>61652.15</v>
      </c>
      <c r="J120" s="3491">
        <v>3.81</v>
      </c>
      <c r="K120" s="3467">
        <f t="shared" si="1"/>
        <v>61652.15</v>
      </c>
      <c r="L120" s="3470">
        <v>45010</v>
      </c>
      <c r="M120" s="3470">
        <v>46105</v>
      </c>
      <c r="N120" s="3467" t="s">
        <v>3477</v>
      </c>
    </row>
    <row r="121" spans="1:14" s="3502" customFormat="1" ht="48">
      <c r="A121" s="3467">
        <v>118</v>
      </c>
      <c r="B121" s="3475" t="s">
        <v>3896</v>
      </c>
      <c r="C121" s="3471" t="s">
        <v>3897</v>
      </c>
      <c r="D121" s="3472" t="s">
        <v>3898</v>
      </c>
      <c r="E121" s="3466" t="s">
        <v>3899</v>
      </c>
      <c r="F121" s="3472">
        <v>129</v>
      </c>
      <c r="G121" s="3468">
        <v>43946</v>
      </c>
      <c r="H121" s="3467">
        <v>11.2</v>
      </c>
      <c r="I121" s="3492">
        <v>12987.61</v>
      </c>
      <c r="J121" s="3493">
        <v>3.31</v>
      </c>
      <c r="K121" s="3467">
        <f t="shared" si="1"/>
        <v>56933.61</v>
      </c>
      <c r="L121" s="3470">
        <v>44136</v>
      </c>
      <c r="M121" s="3470">
        <v>45230</v>
      </c>
      <c r="N121" s="3467" t="s">
        <v>3477</v>
      </c>
    </row>
    <row r="122" spans="1:14" s="3502" customFormat="1" ht="48">
      <c r="A122" s="3467">
        <v>119</v>
      </c>
      <c r="B122" s="3473" t="s">
        <v>3900</v>
      </c>
      <c r="C122" s="3474" t="s">
        <v>3790</v>
      </c>
      <c r="D122" s="3465" t="s">
        <v>3901</v>
      </c>
      <c r="E122" s="3466" t="s">
        <v>3902</v>
      </c>
      <c r="F122" s="3465">
        <v>122</v>
      </c>
      <c r="G122" s="3468">
        <v>62342</v>
      </c>
      <c r="H122" s="3467">
        <v>16.8</v>
      </c>
      <c r="I122" s="3490">
        <v>11874.67</v>
      </c>
      <c r="J122" s="3491">
        <v>3.2</v>
      </c>
      <c r="K122" s="3467">
        <f t="shared" si="1"/>
        <v>74216.67</v>
      </c>
      <c r="L122" s="3470">
        <v>44656</v>
      </c>
      <c r="M122" s="3470">
        <v>45386</v>
      </c>
      <c r="N122" s="3467" t="s">
        <v>3477</v>
      </c>
    </row>
    <row r="123" spans="1:14" s="3502" customFormat="1" ht="48">
      <c r="A123" s="3467">
        <v>120</v>
      </c>
      <c r="B123" s="3473" t="s">
        <v>3903</v>
      </c>
      <c r="C123" s="3474" t="s">
        <v>3904</v>
      </c>
      <c r="D123" s="3465" t="s">
        <v>3905</v>
      </c>
      <c r="E123" s="3466" t="s">
        <v>3906</v>
      </c>
      <c r="F123" s="3465">
        <v>186.4</v>
      </c>
      <c r="G123" s="3468">
        <v>85045</v>
      </c>
      <c r="H123" s="3467">
        <v>15</v>
      </c>
      <c r="I123" s="3492">
        <v>18766.599999999999</v>
      </c>
      <c r="J123" s="3493">
        <v>3.31</v>
      </c>
      <c r="K123" s="3467">
        <f t="shared" si="1"/>
        <v>103811.6</v>
      </c>
      <c r="L123" s="3470">
        <v>44136</v>
      </c>
      <c r="M123" s="3470">
        <v>45230</v>
      </c>
      <c r="N123" s="3467" t="s">
        <v>3477</v>
      </c>
    </row>
    <row r="124" spans="1:14" s="3502" customFormat="1" ht="48">
      <c r="A124" s="3467">
        <v>121</v>
      </c>
      <c r="B124" s="3473" t="s">
        <v>3907</v>
      </c>
      <c r="C124" s="3477" t="s">
        <v>3908</v>
      </c>
      <c r="D124" s="3465" t="s">
        <v>3909</v>
      </c>
      <c r="E124" s="3466" t="s">
        <v>3910</v>
      </c>
      <c r="F124" s="3465">
        <v>85</v>
      </c>
      <c r="G124" s="3468">
        <v>36971.46</v>
      </c>
      <c r="H124" s="3467">
        <v>14.3</v>
      </c>
      <c r="I124" s="3492">
        <v>8557.73</v>
      </c>
      <c r="J124" s="3493">
        <v>3.31</v>
      </c>
      <c r="K124" s="3467">
        <f t="shared" si="1"/>
        <v>45529.19</v>
      </c>
      <c r="L124" s="3470">
        <v>44324</v>
      </c>
      <c r="M124" s="3470">
        <v>45053</v>
      </c>
      <c r="N124" s="3467" t="s">
        <v>3469</v>
      </c>
    </row>
    <row r="125" spans="1:14" s="3502" customFormat="1" ht="72">
      <c r="A125" s="3467">
        <v>122</v>
      </c>
      <c r="B125" s="3475" t="s">
        <v>3911</v>
      </c>
      <c r="C125" s="3471" t="s">
        <v>3912</v>
      </c>
      <c r="D125" s="3494" t="s">
        <v>3913</v>
      </c>
      <c r="E125" s="3466" t="s">
        <v>3914</v>
      </c>
      <c r="F125" s="3495">
        <v>1018</v>
      </c>
      <c r="G125" s="3468">
        <v>0</v>
      </c>
      <c r="H125" s="3466">
        <v>0</v>
      </c>
      <c r="I125" s="3467">
        <v>0</v>
      </c>
      <c r="J125" s="3466">
        <v>0</v>
      </c>
      <c r="K125" s="3467">
        <f t="shared" si="1"/>
        <v>0</v>
      </c>
      <c r="L125" s="3470">
        <v>41852</v>
      </c>
      <c r="M125" s="3470">
        <v>45596</v>
      </c>
      <c r="N125" s="3467" t="s">
        <v>3477</v>
      </c>
    </row>
    <row r="126" spans="1:14" s="3502" customFormat="1" ht="84">
      <c r="A126" s="3467">
        <v>123</v>
      </c>
      <c r="B126" s="3475" t="s">
        <v>3915</v>
      </c>
      <c r="C126" s="3471" t="s">
        <v>3916</v>
      </c>
      <c r="D126" s="3494" t="s">
        <v>3917</v>
      </c>
      <c r="E126" s="3471" t="s">
        <v>3918</v>
      </c>
      <c r="F126" s="3495">
        <v>767</v>
      </c>
      <c r="G126" s="3468">
        <v>81420.25</v>
      </c>
      <c r="H126" s="3467">
        <v>3.49</v>
      </c>
      <c r="I126" s="3467">
        <v>44396.2</v>
      </c>
      <c r="J126" s="3467">
        <v>1.903</v>
      </c>
      <c r="K126" s="3467">
        <f t="shared" si="1"/>
        <v>125816.45</v>
      </c>
      <c r="L126" s="3470">
        <v>44880</v>
      </c>
      <c r="M126" s="3470">
        <v>47801</v>
      </c>
      <c r="N126" s="3467" t="s">
        <v>3477</v>
      </c>
    </row>
    <row r="127" spans="1:14" s="3502" customFormat="1" ht="96">
      <c r="A127" s="3467">
        <v>124</v>
      </c>
      <c r="B127" s="3475" t="s">
        <v>3919</v>
      </c>
      <c r="C127" s="3471" t="s">
        <v>3920</v>
      </c>
      <c r="D127" s="3494" t="s">
        <v>3921</v>
      </c>
      <c r="E127" s="3471" t="s">
        <v>3922</v>
      </c>
      <c r="F127" s="3495">
        <v>1456</v>
      </c>
      <c r="G127" s="3468">
        <v>244462.4</v>
      </c>
      <c r="H127" s="3467">
        <v>5.52</v>
      </c>
      <c r="I127" s="3467">
        <v>0</v>
      </c>
      <c r="J127" s="3466">
        <v>0</v>
      </c>
      <c r="K127" s="3467">
        <f t="shared" si="1"/>
        <v>244462.4</v>
      </c>
      <c r="L127" s="3470">
        <v>42521</v>
      </c>
      <c r="M127" s="3470">
        <v>46172</v>
      </c>
      <c r="N127" s="3467" t="s">
        <v>3477</v>
      </c>
    </row>
    <row r="128" spans="1:14" s="3502" customFormat="1" ht="48">
      <c r="A128" s="3467">
        <v>125</v>
      </c>
      <c r="B128" s="3481" t="s">
        <v>3923</v>
      </c>
      <c r="C128" s="3482" t="s">
        <v>3924</v>
      </c>
      <c r="D128" s="3483" t="s">
        <v>3925</v>
      </c>
      <c r="E128" s="3466" t="s">
        <v>3926</v>
      </c>
      <c r="F128" s="3483">
        <v>152</v>
      </c>
      <c r="G128" s="3468">
        <v>25187.919999999998</v>
      </c>
      <c r="H128" s="3467">
        <v>5.4480000000000004</v>
      </c>
      <c r="I128" s="3490">
        <v>6486.54</v>
      </c>
      <c r="J128" s="3496">
        <v>1.403</v>
      </c>
      <c r="K128" s="3467">
        <f t="shared" si="1"/>
        <v>31674.46</v>
      </c>
      <c r="L128" s="3470">
        <v>44673</v>
      </c>
      <c r="M128" s="3470">
        <v>45037</v>
      </c>
      <c r="N128" s="3467" t="s">
        <v>3469</v>
      </c>
    </row>
    <row r="129" spans="1:14" s="3502" customFormat="1" ht="48">
      <c r="A129" s="3467">
        <v>126</v>
      </c>
      <c r="B129" s="3481" t="s">
        <v>3927</v>
      </c>
      <c r="C129" s="3482" t="s">
        <v>3928</v>
      </c>
      <c r="D129" s="3483" t="s">
        <v>3929</v>
      </c>
      <c r="E129" s="3466" t="s">
        <v>3930</v>
      </c>
      <c r="F129" s="3483">
        <v>187</v>
      </c>
      <c r="G129" s="3468">
        <v>62567.08</v>
      </c>
      <c r="H129" s="3467">
        <v>11</v>
      </c>
      <c r="I129" s="3492">
        <v>18827</v>
      </c>
      <c r="J129" s="3497">
        <v>3.31</v>
      </c>
      <c r="K129" s="3467">
        <f t="shared" si="1"/>
        <v>81394.080000000002</v>
      </c>
      <c r="L129" s="3470">
        <v>44067</v>
      </c>
      <c r="M129" s="3470">
        <v>45161</v>
      </c>
      <c r="N129" s="3467" t="s">
        <v>3477</v>
      </c>
    </row>
    <row r="130" spans="1:14" s="3502" customFormat="1" ht="48">
      <c r="A130" s="3467">
        <v>127</v>
      </c>
      <c r="B130" s="3475" t="s">
        <v>3931</v>
      </c>
      <c r="C130" s="3471" t="s">
        <v>3932</v>
      </c>
      <c r="D130" s="3520" t="s">
        <v>3933</v>
      </c>
      <c r="E130" s="3466" t="s">
        <v>3934</v>
      </c>
      <c r="F130" s="3472">
        <v>40</v>
      </c>
      <c r="G130" s="3468">
        <v>21522.83</v>
      </c>
      <c r="H130" s="3467">
        <v>17.690000000000001</v>
      </c>
      <c r="I130" s="3490">
        <v>4027.17</v>
      </c>
      <c r="J130" s="3465">
        <v>3.31</v>
      </c>
      <c r="K130" s="3467">
        <f t="shared" si="1"/>
        <v>25550</v>
      </c>
      <c r="L130" s="3470">
        <v>44409</v>
      </c>
      <c r="M130" s="3470">
        <v>45138</v>
      </c>
      <c r="N130" s="3467" t="s">
        <v>3469</v>
      </c>
    </row>
    <row r="131" spans="1:14" s="3502" customFormat="1" ht="48">
      <c r="A131" s="3467">
        <v>128</v>
      </c>
      <c r="B131" s="3475" t="s">
        <v>3935</v>
      </c>
      <c r="C131" s="3471" t="s">
        <v>3936</v>
      </c>
      <c r="D131" s="3472" t="s">
        <v>3937</v>
      </c>
      <c r="E131" s="3466" t="s">
        <v>3938</v>
      </c>
      <c r="F131" s="3472">
        <v>7</v>
      </c>
      <c r="G131" s="3468">
        <v>12106.65</v>
      </c>
      <c r="H131" s="3467">
        <v>56.860999999999997</v>
      </c>
      <c r="I131" s="3490">
        <v>3000.21</v>
      </c>
      <c r="J131" s="3465">
        <v>14.090999999999999</v>
      </c>
      <c r="K131" s="3467">
        <f t="shared" si="1"/>
        <v>15106.86</v>
      </c>
      <c r="L131" s="3470">
        <v>44794</v>
      </c>
      <c r="M131" s="3470">
        <v>45158</v>
      </c>
      <c r="N131" s="3467" t="s">
        <v>3469</v>
      </c>
    </row>
    <row r="132" spans="1:14" s="3502" customFormat="1" ht="48">
      <c r="A132" s="3467">
        <v>129</v>
      </c>
      <c r="B132" s="3475" t="s">
        <v>3939</v>
      </c>
      <c r="C132" s="3477" t="s">
        <v>3940</v>
      </c>
      <c r="D132" s="3472" t="s">
        <v>3941</v>
      </c>
      <c r="E132" s="3466" t="s">
        <v>3942</v>
      </c>
      <c r="F132" s="3472">
        <v>545</v>
      </c>
      <c r="G132" s="3468">
        <v>79681.899999999994</v>
      </c>
      <c r="H132" s="3467">
        <v>4.8070000000000004</v>
      </c>
      <c r="I132" s="3490">
        <v>54870.15</v>
      </c>
      <c r="J132" s="3465">
        <v>3.31</v>
      </c>
      <c r="K132" s="3467">
        <f t="shared" si="1"/>
        <v>134552.04999999999</v>
      </c>
      <c r="L132" s="3470">
        <v>44440</v>
      </c>
      <c r="M132" s="3470">
        <v>46265</v>
      </c>
      <c r="N132" s="3467" t="s">
        <v>3469</v>
      </c>
    </row>
    <row r="133" spans="1:14" s="3502" customFormat="1" ht="36">
      <c r="A133" s="3467">
        <v>130</v>
      </c>
      <c r="B133" s="3475" t="s">
        <v>3700</v>
      </c>
      <c r="C133" s="3477" t="s">
        <v>3943</v>
      </c>
      <c r="D133" s="3472" t="s">
        <v>3944</v>
      </c>
      <c r="E133" s="3466" t="s">
        <v>3699</v>
      </c>
      <c r="F133" s="3472">
        <v>28</v>
      </c>
      <c r="G133" s="3468">
        <v>7755.28</v>
      </c>
      <c r="H133" s="3467">
        <v>9.1059999999999999</v>
      </c>
      <c r="I133" s="3490">
        <v>3244.85</v>
      </c>
      <c r="J133" s="3465">
        <v>3.81</v>
      </c>
      <c r="K133" s="3467">
        <f t="shared" si="1"/>
        <v>11000.13</v>
      </c>
      <c r="L133" s="3470">
        <v>44927</v>
      </c>
      <c r="M133" s="3470">
        <v>45107</v>
      </c>
      <c r="N133" s="3467" t="s">
        <v>3477</v>
      </c>
    </row>
    <row r="134" spans="1:14" s="3502" customFormat="1" ht="36">
      <c r="A134" s="3467">
        <v>131</v>
      </c>
      <c r="B134" s="3473" t="s">
        <v>3945</v>
      </c>
      <c r="C134" s="3474" t="s">
        <v>3946</v>
      </c>
      <c r="D134" s="3465" t="s">
        <v>3947</v>
      </c>
      <c r="E134" s="3466" t="s">
        <v>3948</v>
      </c>
      <c r="F134" s="3465">
        <v>20</v>
      </c>
      <c r="G134" s="3468">
        <v>4191.42</v>
      </c>
      <c r="H134" s="3467">
        <v>6.89</v>
      </c>
      <c r="I134" s="3490">
        <v>2317.75</v>
      </c>
      <c r="J134" s="3498">
        <v>3.81</v>
      </c>
      <c r="K134" s="3467">
        <f t="shared" si="1"/>
        <v>6509.17</v>
      </c>
      <c r="L134" s="3470">
        <v>45010</v>
      </c>
      <c r="M134" s="3470">
        <v>45375</v>
      </c>
      <c r="N134" s="3467" t="s">
        <v>3477</v>
      </c>
    </row>
    <row r="135" spans="1:14" s="3502" customFormat="1" ht="36">
      <c r="A135" s="3467">
        <v>132</v>
      </c>
      <c r="B135" s="3473" t="s">
        <v>3519</v>
      </c>
      <c r="C135" s="3474" t="s">
        <v>3949</v>
      </c>
      <c r="D135" s="3465" t="s">
        <v>3950</v>
      </c>
      <c r="E135" s="3466" t="s">
        <v>3522</v>
      </c>
      <c r="F135" s="3465">
        <v>195</v>
      </c>
      <c r="G135" s="3468">
        <v>83037.5</v>
      </c>
      <c r="H135" s="3467">
        <v>14</v>
      </c>
      <c r="I135" s="3490">
        <v>19632.439999999999</v>
      </c>
      <c r="J135" s="3498">
        <v>3.31</v>
      </c>
      <c r="K135" s="3467">
        <f t="shared" si="1"/>
        <v>102669.94</v>
      </c>
      <c r="L135" s="3470">
        <v>44755</v>
      </c>
      <c r="M135" s="3470">
        <v>46580</v>
      </c>
      <c r="N135" s="3467" t="s">
        <v>3477</v>
      </c>
    </row>
    <row r="136" spans="1:14" s="3502" customFormat="1" ht="36">
      <c r="A136" s="3467">
        <v>133</v>
      </c>
      <c r="B136" s="3473" t="s">
        <v>3951</v>
      </c>
      <c r="C136" s="3474" t="s">
        <v>3949</v>
      </c>
      <c r="D136" s="3465" t="s">
        <v>3950</v>
      </c>
      <c r="E136" s="3466" t="s">
        <v>3952</v>
      </c>
      <c r="F136" s="3465">
        <v>35</v>
      </c>
      <c r="G136" s="3468">
        <v>3726.04</v>
      </c>
      <c r="H136" s="3467">
        <v>3.5</v>
      </c>
      <c r="I136" s="3490">
        <v>3523.77</v>
      </c>
      <c r="J136" s="3498">
        <v>3.31</v>
      </c>
      <c r="K136" s="3467">
        <f t="shared" si="1"/>
        <v>7249.8099999999995</v>
      </c>
      <c r="L136" s="3470">
        <v>44755</v>
      </c>
      <c r="M136" s="3470">
        <v>46580</v>
      </c>
      <c r="N136" s="3467" t="s">
        <v>3477</v>
      </c>
    </row>
    <row r="137" spans="1:14" s="3502" customFormat="1" ht="48">
      <c r="A137" s="3467">
        <v>134</v>
      </c>
      <c r="B137" s="3481" t="s">
        <v>3953</v>
      </c>
      <c r="C137" s="3499" t="s">
        <v>3954</v>
      </c>
      <c r="D137" s="3483" t="s">
        <v>3955</v>
      </c>
      <c r="E137" s="3466" t="s">
        <v>3956</v>
      </c>
      <c r="F137" s="3483">
        <v>151</v>
      </c>
      <c r="G137" s="3468">
        <v>82672.5</v>
      </c>
      <c r="H137" s="3467">
        <v>18</v>
      </c>
      <c r="I137" s="3490">
        <v>15202.55</v>
      </c>
      <c r="J137" s="3496">
        <v>3.31</v>
      </c>
      <c r="K137" s="3467">
        <f t="shared" si="1"/>
        <v>97875.05</v>
      </c>
      <c r="L137" s="3470">
        <v>44666</v>
      </c>
      <c r="M137" s="3470">
        <v>45030</v>
      </c>
      <c r="N137" s="3467" t="s">
        <v>3477</v>
      </c>
    </row>
    <row r="138" spans="1:14" s="3502" customFormat="1" ht="48">
      <c r="A138" s="3467">
        <v>135</v>
      </c>
      <c r="B138" s="3481" t="s">
        <v>3957</v>
      </c>
      <c r="C138" s="3482" t="s">
        <v>3958</v>
      </c>
      <c r="D138" s="3483" t="s">
        <v>3959</v>
      </c>
      <c r="E138" s="3466" t="s">
        <v>3960</v>
      </c>
      <c r="F138" s="3483">
        <v>150</v>
      </c>
      <c r="G138" s="3468">
        <v>79341.88</v>
      </c>
      <c r="H138" s="3467">
        <v>17.39</v>
      </c>
      <c r="I138" s="3490">
        <v>15101.88</v>
      </c>
      <c r="J138" s="3496">
        <v>3.31</v>
      </c>
      <c r="K138" s="3467">
        <f t="shared" si="1"/>
        <v>94443.760000000009</v>
      </c>
      <c r="L138" s="3470">
        <v>44666</v>
      </c>
      <c r="M138" s="3470">
        <v>45396</v>
      </c>
      <c r="N138" s="3467" t="s">
        <v>3469</v>
      </c>
    </row>
    <row r="139" spans="1:14" s="3502" customFormat="1" ht="48">
      <c r="A139" s="3467">
        <v>136</v>
      </c>
      <c r="B139" s="3475" t="s">
        <v>3961</v>
      </c>
      <c r="C139" s="3477" t="s">
        <v>3962</v>
      </c>
      <c r="D139" s="3521" t="s">
        <v>3963</v>
      </c>
      <c r="E139" s="3466" t="s">
        <v>3964</v>
      </c>
      <c r="F139" s="3483">
        <v>35</v>
      </c>
      <c r="G139" s="3468">
        <v>14072.73</v>
      </c>
      <c r="H139" s="3467">
        <v>13.218999999999999</v>
      </c>
      <c r="I139" s="3490">
        <v>3523.77</v>
      </c>
      <c r="J139" s="3496">
        <v>3.31</v>
      </c>
      <c r="K139" s="3467">
        <f t="shared" si="1"/>
        <v>17596.5</v>
      </c>
      <c r="L139" s="3470">
        <v>44536</v>
      </c>
      <c r="M139" s="3470">
        <v>45631</v>
      </c>
      <c r="N139" s="3467" t="s">
        <v>3469</v>
      </c>
    </row>
    <row r="140" spans="1:14" s="3502" customFormat="1" ht="36">
      <c r="A140" s="3467">
        <v>137</v>
      </c>
      <c r="B140" s="3475" t="s">
        <v>3547</v>
      </c>
      <c r="C140" s="3477" t="s">
        <v>3965</v>
      </c>
      <c r="D140" s="3521" t="s">
        <v>3966</v>
      </c>
      <c r="E140" s="3466" t="s">
        <v>3550</v>
      </c>
      <c r="F140" s="3483">
        <v>572</v>
      </c>
      <c r="G140" s="3468">
        <v>71333.17</v>
      </c>
      <c r="H140" s="3467">
        <v>4.0999999999999996</v>
      </c>
      <c r="I140" s="3490">
        <v>66287.649999999994</v>
      </c>
      <c r="J140" s="3496">
        <v>3.81</v>
      </c>
      <c r="K140" s="3467">
        <f t="shared" si="1"/>
        <v>137620.82</v>
      </c>
      <c r="L140" s="3470">
        <v>45010</v>
      </c>
      <c r="M140" s="3470">
        <v>46836</v>
      </c>
      <c r="N140" s="3467" t="s">
        <v>3477</v>
      </c>
    </row>
    <row r="141" spans="1:14" s="3502" customFormat="1" ht="48">
      <c r="A141" s="3467">
        <v>138</v>
      </c>
      <c r="B141" s="3475" t="s">
        <v>3967</v>
      </c>
      <c r="C141" s="3471" t="s">
        <v>3968</v>
      </c>
      <c r="D141" s="3472" t="s">
        <v>3969</v>
      </c>
      <c r="E141" s="3466" t="s">
        <v>3970</v>
      </c>
      <c r="F141" s="3472">
        <v>294</v>
      </c>
      <c r="G141" s="3468">
        <v>0</v>
      </c>
      <c r="H141" s="3466">
        <v>0</v>
      </c>
      <c r="I141" s="3490">
        <v>0</v>
      </c>
      <c r="J141" s="3490">
        <v>0</v>
      </c>
      <c r="K141" s="3467">
        <f t="shared" ref="K141:K188" si="2">G141+I141</f>
        <v>0</v>
      </c>
      <c r="L141" s="3470">
        <v>42917</v>
      </c>
      <c r="M141" s="3470">
        <v>45107</v>
      </c>
      <c r="N141" s="3467" t="s">
        <v>3477</v>
      </c>
    </row>
    <row r="142" spans="1:14" s="3502" customFormat="1" ht="48">
      <c r="A142" s="3467">
        <v>139</v>
      </c>
      <c r="B142" s="3473" t="s">
        <v>3971</v>
      </c>
      <c r="C142" s="3474" t="s">
        <v>3972</v>
      </c>
      <c r="D142" s="3465" t="s">
        <v>3973</v>
      </c>
      <c r="E142" s="3466" t="s">
        <v>3974</v>
      </c>
      <c r="F142" s="3465">
        <v>263</v>
      </c>
      <c r="G142" s="3468">
        <v>111994.14</v>
      </c>
      <c r="H142" s="3467">
        <v>14</v>
      </c>
      <c r="I142" s="3490">
        <v>25598.67</v>
      </c>
      <c r="J142" s="3498">
        <v>3.2</v>
      </c>
      <c r="K142" s="3467">
        <f t="shared" si="2"/>
        <v>137592.81</v>
      </c>
      <c r="L142" s="3470">
        <v>43634</v>
      </c>
      <c r="M142" s="3470">
        <v>45094</v>
      </c>
      <c r="N142" s="3467" t="s">
        <v>3469</v>
      </c>
    </row>
    <row r="143" spans="1:14" s="3502" customFormat="1" ht="48">
      <c r="A143" s="3467">
        <v>140</v>
      </c>
      <c r="B143" s="3473" t="s">
        <v>3975</v>
      </c>
      <c r="C143" s="3474" t="s">
        <v>3976</v>
      </c>
      <c r="D143" s="3465" t="s">
        <v>3977</v>
      </c>
      <c r="E143" s="3466" t="s">
        <v>3978</v>
      </c>
      <c r="F143" s="3465">
        <v>15</v>
      </c>
      <c r="G143" s="3468">
        <v>11862.5</v>
      </c>
      <c r="H143" s="3467">
        <v>26</v>
      </c>
      <c r="I143" s="3490">
        <v>1510.19</v>
      </c>
      <c r="J143" s="3498">
        <v>3.31</v>
      </c>
      <c r="K143" s="3467">
        <f t="shared" si="2"/>
        <v>13372.69</v>
      </c>
      <c r="L143" s="3470">
        <v>44866</v>
      </c>
      <c r="M143" s="3470">
        <v>45230</v>
      </c>
      <c r="N143" s="3467" t="s">
        <v>3469</v>
      </c>
    </row>
    <row r="144" spans="1:14" s="3502" customFormat="1" ht="48">
      <c r="A144" s="3467">
        <v>141</v>
      </c>
      <c r="B144" s="3473" t="s">
        <v>3979</v>
      </c>
      <c r="C144" s="3474" t="s">
        <v>3980</v>
      </c>
      <c r="D144" s="3465" t="s">
        <v>3981</v>
      </c>
      <c r="E144" s="3466" t="s">
        <v>3982</v>
      </c>
      <c r="F144" s="3465">
        <v>14</v>
      </c>
      <c r="G144" s="3468">
        <v>11284.58</v>
      </c>
      <c r="H144" s="3467">
        <v>26.5</v>
      </c>
      <c r="I144" s="3492">
        <v>1409.51</v>
      </c>
      <c r="J144" s="3467">
        <v>3.31</v>
      </c>
      <c r="K144" s="3467">
        <f t="shared" si="2"/>
        <v>12694.09</v>
      </c>
      <c r="L144" s="3470">
        <v>44893</v>
      </c>
      <c r="M144" s="3470">
        <v>45257</v>
      </c>
      <c r="N144" s="3467" t="s">
        <v>3469</v>
      </c>
    </row>
    <row r="145" spans="1:14" s="3502" customFormat="1" ht="48">
      <c r="A145" s="3467">
        <v>142</v>
      </c>
      <c r="B145" s="3475" t="s">
        <v>3983</v>
      </c>
      <c r="C145" s="3471" t="s">
        <v>3984</v>
      </c>
      <c r="D145" s="3472" t="s">
        <v>3985</v>
      </c>
      <c r="E145" s="3466" t="s">
        <v>3986</v>
      </c>
      <c r="F145" s="3472">
        <v>8</v>
      </c>
      <c r="G145" s="3468">
        <v>6494.57</v>
      </c>
      <c r="H145" s="3467">
        <v>26.69</v>
      </c>
      <c r="I145" s="3490">
        <v>805.43</v>
      </c>
      <c r="J145" s="3465">
        <v>3.31</v>
      </c>
      <c r="K145" s="3467">
        <f t="shared" si="2"/>
        <v>7300</v>
      </c>
      <c r="L145" s="3470">
        <v>44864</v>
      </c>
      <c r="M145" s="3470">
        <v>45228</v>
      </c>
      <c r="N145" s="3467" t="s">
        <v>3477</v>
      </c>
    </row>
    <row r="146" spans="1:14" s="3502" customFormat="1" ht="48">
      <c r="A146" s="3467">
        <v>143</v>
      </c>
      <c r="B146" s="3473" t="s">
        <v>3987</v>
      </c>
      <c r="C146" s="3474" t="s">
        <v>3988</v>
      </c>
      <c r="D146" s="3465" t="s">
        <v>3989</v>
      </c>
      <c r="E146" s="3466" t="s">
        <v>3990</v>
      </c>
      <c r="F146" s="3465">
        <v>45</v>
      </c>
      <c r="G146" s="3468">
        <v>32699.439999999999</v>
      </c>
      <c r="H146" s="3467">
        <v>23.89</v>
      </c>
      <c r="I146" s="3490">
        <v>4530.5600000000004</v>
      </c>
      <c r="J146" s="3465">
        <v>3.31</v>
      </c>
      <c r="K146" s="3467">
        <f t="shared" si="2"/>
        <v>37230</v>
      </c>
      <c r="L146" s="3470">
        <v>44481</v>
      </c>
      <c r="M146" s="3470">
        <v>45210</v>
      </c>
      <c r="N146" s="3467" t="s">
        <v>3477</v>
      </c>
    </row>
    <row r="147" spans="1:14" s="3502" customFormat="1" ht="60">
      <c r="A147" s="3467">
        <v>144</v>
      </c>
      <c r="B147" s="3487" t="s">
        <v>3991</v>
      </c>
      <c r="C147" s="3471" t="s">
        <v>3992</v>
      </c>
      <c r="D147" s="3472" t="s">
        <v>3993</v>
      </c>
      <c r="E147" s="3466" t="s">
        <v>3994</v>
      </c>
      <c r="F147" s="3472">
        <v>116</v>
      </c>
      <c r="G147" s="3468">
        <v>24698.33</v>
      </c>
      <c r="H147" s="3467">
        <v>7</v>
      </c>
      <c r="I147" s="3490">
        <v>11678.78</v>
      </c>
      <c r="J147" s="3498">
        <v>3.31</v>
      </c>
      <c r="K147" s="3467">
        <f t="shared" si="2"/>
        <v>36377.11</v>
      </c>
      <c r="L147" s="3470">
        <v>44124</v>
      </c>
      <c r="M147" s="3470">
        <v>45584</v>
      </c>
      <c r="N147" s="3467" t="s">
        <v>3477</v>
      </c>
    </row>
    <row r="148" spans="1:14" s="3502" customFormat="1" ht="60">
      <c r="A148" s="3467">
        <v>145</v>
      </c>
      <c r="B148" s="3475" t="s">
        <v>3995</v>
      </c>
      <c r="C148" s="3471" t="s">
        <v>3996</v>
      </c>
      <c r="D148" s="3472" t="s">
        <v>3997</v>
      </c>
      <c r="E148" s="3466" t="s">
        <v>3998</v>
      </c>
      <c r="F148" s="3472">
        <v>114</v>
      </c>
      <c r="G148" s="3468">
        <v>83220</v>
      </c>
      <c r="H148" s="3467">
        <v>24</v>
      </c>
      <c r="I148" s="3490">
        <v>11477.43</v>
      </c>
      <c r="J148" s="3465">
        <v>3.31</v>
      </c>
      <c r="K148" s="3467">
        <f t="shared" si="2"/>
        <v>94697.43</v>
      </c>
      <c r="L148" s="3470">
        <v>44429</v>
      </c>
      <c r="M148" s="3470">
        <v>45158</v>
      </c>
      <c r="N148" s="3467" t="s">
        <v>3469</v>
      </c>
    </row>
    <row r="149" spans="1:14" s="3502" customFormat="1" ht="48">
      <c r="A149" s="3467">
        <v>146</v>
      </c>
      <c r="B149" s="3475" t="s">
        <v>3999</v>
      </c>
      <c r="C149" s="3471" t="s">
        <v>4000</v>
      </c>
      <c r="D149" s="3472" t="s">
        <v>4001</v>
      </c>
      <c r="E149" s="3466" t="s">
        <v>4002</v>
      </c>
      <c r="F149" s="3472">
        <v>2</v>
      </c>
      <c r="G149" s="3468">
        <v>3500</v>
      </c>
      <c r="H149" s="3467">
        <v>4.79</v>
      </c>
      <c r="I149" s="3490">
        <v>0</v>
      </c>
      <c r="J149" s="3466">
        <v>0</v>
      </c>
      <c r="K149" s="3467">
        <f t="shared" si="2"/>
        <v>3500</v>
      </c>
      <c r="L149" s="3470">
        <v>44743</v>
      </c>
      <c r="M149" s="3470">
        <v>45107</v>
      </c>
      <c r="N149" s="3467" t="s">
        <v>4003</v>
      </c>
    </row>
    <row r="150" spans="1:14" s="3502" customFormat="1" ht="48">
      <c r="A150" s="3467">
        <v>147</v>
      </c>
      <c r="B150" s="3475" t="s">
        <v>4004</v>
      </c>
      <c r="C150" s="3471" t="s">
        <v>4005</v>
      </c>
      <c r="D150" s="3472" t="s">
        <v>4006</v>
      </c>
      <c r="E150" s="3466" t="s">
        <v>4007</v>
      </c>
      <c r="F150" s="3472">
        <v>58</v>
      </c>
      <c r="G150" s="3468">
        <v>54398.080000000002</v>
      </c>
      <c r="H150" s="3467">
        <v>30.835000000000001</v>
      </c>
      <c r="I150" s="3490">
        <v>5839.39</v>
      </c>
      <c r="J150" s="3465">
        <v>3.31</v>
      </c>
      <c r="K150" s="3467">
        <f t="shared" si="2"/>
        <v>60237.47</v>
      </c>
      <c r="L150" s="3470">
        <v>44678</v>
      </c>
      <c r="M150" s="3470">
        <v>45042</v>
      </c>
      <c r="N150" s="3467" t="s">
        <v>3469</v>
      </c>
    </row>
    <row r="151" spans="1:14" s="3502" customFormat="1" ht="36">
      <c r="A151" s="3467">
        <v>148</v>
      </c>
      <c r="B151" s="3475" t="s">
        <v>4008</v>
      </c>
      <c r="C151" s="3499" t="s">
        <v>4009</v>
      </c>
      <c r="D151" s="3472" t="s">
        <v>4010</v>
      </c>
      <c r="E151" s="3466" t="s">
        <v>4011</v>
      </c>
      <c r="F151" s="3472">
        <v>15</v>
      </c>
      <c r="G151" s="3468">
        <v>13000.39</v>
      </c>
      <c r="H151" s="3467">
        <v>28.494</v>
      </c>
      <c r="I151" s="3490">
        <v>1510.19</v>
      </c>
      <c r="J151" s="3465">
        <v>3.31</v>
      </c>
      <c r="K151" s="3467">
        <f t="shared" si="2"/>
        <v>14510.58</v>
      </c>
      <c r="L151" s="3470">
        <v>44679</v>
      </c>
      <c r="M151" s="3470">
        <v>45043</v>
      </c>
      <c r="N151" s="3467" t="s">
        <v>3477</v>
      </c>
    </row>
    <row r="152" spans="1:14" s="3502" customFormat="1" ht="48">
      <c r="A152" s="3467">
        <v>149</v>
      </c>
      <c r="B152" s="3475" t="s">
        <v>4012</v>
      </c>
      <c r="C152" s="3471" t="s">
        <v>4013</v>
      </c>
      <c r="D152" s="3472" t="s">
        <v>4014</v>
      </c>
      <c r="E152" s="3466" t="s">
        <v>4015</v>
      </c>
      <c r="F152" s="3472">
        <v>642.66</v>
      </c>
      <c r="G152" s="3468">
        <v>287349.34999999998</v>
      </c>
      <c r="H152" s="3467">
        <v>14.7</v>
      </c>
      <c r="I152" s="3490">
        <v>0</v>
      </c>
      <c r="J152" s="3466">
        <v>0</v>
      </c>
      <c r="K152" s="3467">
        <f t="shared" si="2"/>
        <v>287349.34999999998</v>
      </c>
      <c r="L152" s="3470">
        <v>41974</v>
      </c>
      <c r="M152" s="3470">
        <v>45260</v>
      </c>
      <c r="N152" s="3467" t="s">
        <v>4016</v>
      </c>
    </row>
    <row r="153" spans="1:14" s="3502" customFormat="1" ht="48">
      <c r="A153" s="3467">
        <v>150</v>
      </c>
      <c r="B153" s="3473" t="s">
        <v>4017</v>
      </c>
      <c r="C153" s="3474" t="s">
        <v>3807</v>
      </c>
      <c r="D153" s="3465" t="s">
        <v>4018</v>
      </c>
      <c r="E153" s="3466" t="s">
        <v>4019</v>
      </c>
      <c r="F153" s="3465">
        <v>160</v>
      </c>
      <c r="G153" s="3468">
        <v>78840</v>
      </c>
      <c r="H153" s="3467">
        <v>16.2</v>
      </c>
      <c r="I153" s="3490">
        <v>16108.67</v>
      </c>
      <c r="J153" s="3465">
        <v>3.31</v>
      </c>
      <c r="K153" s="3467">
        <f t="shared" si="2"/>
        <v>94948.67</v>
      </c>
      <c r="L153" s="3470">
        <v>44866</v>
      </c>
      <c r="M153" s="3470">
        <v>45230</v>
      </c>
      <c r="N153" s="3467" t="s">
        <v>3477</v>
      </c>
    </row>
    <row r="154" spans="1:14" s="3502" customFormat="1" ht="48">
      <c r="A154" s="3467">
        <v>151</v>
      </c>
      <c r="B154" s="3475" t="s">
        <v>4020</v>
      </c>
      <c r="C154" s="3477" t="s">
        <v>4021</v>
      </c>
      <c r="D154" s="3472" t="s">
        <v>4022</v>
      </c>
      <c r="E154" s="3466" t="s">
        <v>4023</v>
      </c>
      <c r="F154" s="3472">
        <v>5</v>
      </c>
      <c r="G154" s="3468">
        <v>5923.95</v>
      </c>
      <c r="H154" s="3467">
        <v>38.951999999999998</v>
      </c>
      <c r="I154" s="3490">
        <v>579.44000000000005</v>
      </c>
      <c r="J154" s="3465">
        <v>3.81</v>
      </c>
      <c r="K154" s="3467">
        <f t="shared" si="2"/>
        <v>6503.3899999999994</v>
      </c>
      <c r="L154" s="3470">
        <v>44851</v>
      </c>
      <c r="M154" s="3470">
        <v>45032</v>
      </c>
      <c r="N154" s="3467" t="s">
        <v>3469</v>
      </c>
    </row>
    <row r="155" spans="1:14" s="3502" customFormat="1" ht="36">
      <c r="A155" s="3467">
        <v>152</v>
      </c>
      <c r="B155" s="3475" t="s">
        <v>4024</v>
      </c>
      <c r="C155" s="3471" t="s">
        <v>4025</v>
      </c>
      <c r="D155" s="3472" t="s">
        <v>4026</v>
      </c>
      <c r="E155" s="3466" t="s">
        <v>4027</v>
      </c>
      <c r="F155" s="3472">
        <v>47</v>
      </c>
      <c r="G155" s="3468">
        <v>20271.490000000002</v>
      </c>
      <c r="H155" s="3467">
        <v>14.18</v>
      </c>
      <c r="I155" s="3490">
        <v>4731.92</v>
      </c>
      <c r="J155" s="3498">
        <v>3.31</v>
      </c>
      <c r="K155" s="3467">
        <f t="shared" si="2"/>
        <v>25003.410000000003</v>
      </c>
      <c r="L155" s="3470">
        <v>44179</v>
      </c>
      <c r="M155" s="3470">
        <v>45273</v>
      </c>
      <c r="N155" s="3467" t="s">
        <v>3469</v>
      </c>
    </row>
    <row r="156" spans="1:14" s="3502" customFormat="1" ht="48">
      <c r="A156" s="3467">
        <v>153</v>
      </c>
      <c r="B156" s="3475" t="s">
        <v>3892</v>
      </c>
      <c r="C156" s="3471" t="s">
        <v>4028</v>
      </c>
      <c r="D156" s="3472" t="s">
        <v>4029</v>
      </c>
      <c r="E156" s="3466" t="s">
        <v>3895</v>
      </c>
      <c r="F156" s="3472">
        <v>200</v>
      </c>
      <c r="G156" s="3468">
        <v>149041.67000000001</v>
      </c>
      <c r="H156" s="3467">
        <v>24.5</v>
      </c>
      <c r="I156" s="3490">
        <v>6752.5</v>
      </c>
      <c r="J156" s="3498">
        <v>1.1000000000000001</v>
      </c>
      <c r="K156" s="3467">
        <f t="shared" si="2"/>
        <v>155794.17000000001</v>
      </c>
      <c r="L156" s="3470">
        <v>44774</v>
      </c>
      <c r="M156" s="3470">
        <v>45504</v>
      </c>
      <c r="N156" s="3467" t="s">
        <v>3469</v>
      </c>
    </row>
    <row r="157" spans="1:14" s="3502" customFormat="1" ht="36">
      <c r="A157" s="3467">
        <v>154</v>
      </c>
      <c r="B157" s="3475" t="s">
        <v>4030</v>
      </c>
      <c r="C157" s="3471" t="s">
        <v>4031</v>
      </c>
      <c r="D157" s="3472" t="s">
        <v>4032</v>
      </c>
      <c r="E157" s="3466" t="s">
        <v>4033</v>
      </c>
      <c r="F157" s="3472">
        <v>198</v>
      </c>
      <c r="G157" s="3468">
        <v>144540</v>
      </c>
      <c r="H157" s="3467">
        <v>24</v>
      </c>
      <c r="I157" s="3490">
        <v>19934.48</v>
      </c>
      <c r="J157" s="3498">
        <v>3.31</v>
      </c>
      <c r="K157" s="3467">
        <f t="shared" si="2"/>
        <v>164474.48000000001</v>
      </c>
      <c r="L157" s="3470">
        <v>44682</v>
      </c>
      <c r="M157" s="3470">
        <v>45406</v>
      </c>
      <c r="N157" s="3467" t="s">
        <v>3477</v>
      </c>
    </row>
    <row r="158" spans="1:14" s="3502" customFormat="1" ht="48">
      <c r="A158" s="3467">
        <v>155</v>
      </c>
      <c r="B158" s="3475" t="s">
        <v>4034</v>
      </c>
      <c r="C158" s="3471" t="s">
        <v>4035</v>
      </c>
      <c r="D158" s="3472" t="s">
        <v>4036</v>
      </c>
      <c r="E158" s="3466" t="s">
        <v>4037</v>
      </c>
      <c r="F158" s="3472">
        <v>226.48</v>
      </c>
      <c r="G158" s="3468">
        <v>53732.38</v>
      </c>
      <c r="H158" s="3467">
        <v>7.8</v>
      </c>
      <c r="I158" s="3490">
        <v>26246.2</v>
      </c>
      <c r="J158" s="3498">
        <v>3.81</v>
      </c>
      <c r="K158" s="3467">
        <f t="shared" si="2"/>
        <v>79978.58</v>
      </c>
      <c r="L158" s="3470">
        <v>45000</v>
      </c>
      <c r="M158" s="3470">
        <v>45730</v>
      </c>
      <c r="N158" s="3467" t="s">
        <v>3469</v>
      </c>
    </row>
    <row r="159" spans="1:14" s="3502" customFormat="1" ht="48">
      <c r="A159" s="3467">
        <v>156</v>
      </c>
      <c r="B159" s="3475" t="s">
        <v>4038</v>
      </c>
      <c r="C159" s="3471" t="s">
        <v>4039</v>
      </c>
      <c r="D159" s="3472" t="s">
        <v>4040</v>
      </c>
      <c r="E159" s="3466" t="s">
        <v>4041</v>
      </c>
      <c r="F159" s="3472">
        <v>479</v>
      </c>
      <c r="G159" s="3468">
        <v>142781.32</v>
      </c>
      <c r="H159" s="3467">
        <v>9.8000000000000007</v>
      </c>
      <c r="I159" s="3492">
        <v>27303</v>
      </c>
      <c r="J159" s="3472">
        <v>1.8740000000000001</v>
      </c>
      <c r="K159" s="3467">
        <f t="shared" si="2"/>
        <v>170084.32</v>
      </c>
      <c r="L159" s="3470">
        <v>44793</v>
      </c>
      <c r="M159" s="3470">
        <v>48445</v>
      </c>
      <c r="N159" s="3467" t="s">
        <v>4016</v>
      </c>
    </row>
    <row r="160" spans="1:14" s="3502" customFormat="1" ht="36">
      <c r="A160" s="3467">
        <v>157</v>
      </c>
      <c r="B160" s="3475" t="s">
        <v>4042</v>
      </c>
      <c r="C160" s="3477" t="s">
        <v>4043</v>
      </c>
      <c r="D160" s="3467" t="s">
        <v>4044</v>
      </c>
      <c r="E160" s="3466" t="s">
        <v>3805</v>
      </c>
      <c r="F160" s="3472">
        <v>155</v>
      </c>
      <c r="G160" s="3468">
        <v>94291.67</v>
      </c>
      <c r="H160" s="3467">
        <v>20</v>
      </c>
      <c r="I160" s="3492">
        <v>15605.27</v>
      </c>
      <c r="J160" s="3472">
        <v>3.31</v>
      </c>
      <c r="K160" s="3467">
        <f t="shared" si="2"/>
        <v>109896.94</v>
      </c>
      <c r="L160" s="3470">
        <v>44687</v>
      </c>
      <c r="M160" s="3470">
        <v>46512</v>
      </c>
      <c r="N160" s="3467" t="s">
        <v>3469</v>
      </c>
    </row>
    <row r="161" spans="1:14" s="3502" customFormat="1" ht="48">
      <c r="A161" s="3467">
        <v>158</v>
      </c>
      <c r="B161" s="3473" t="s">
        <v>4045</v>
      </c>
      <c r="C161" s="3474" t="s">
        <v>4046</v>
      </c>
      <c r="D161" s="3465" t="s">
        <v>4047</v>
      </c>
      <c r="E161" s="3466" t="s">
        <v>4048</v>
      </c>
      <c r="F161" s="3465">
        <v>100</v>
      </c>
      <c r="G161" s="3468">
        <v>33458.33</v>
      </c>
      <c r="H161" s="3467">
        <v>11</v>
      </c>
      <c r="I161" s="3490">
        <v>10113.540000000001</v>
      </c>
      <c r="J161" s="3465">
        <v>3.3250000000000002</v>
      </c>
      <c r="K161" s="3467">
        <f t="shared" si="2"/>
        <v>43571.87</v>
      </c>
      <c r="L161" s="3470">
        <v>44743</v>
      </c>
      <c r="M161" s="3470">
        <v>45107</v>
      </c>
      <c r="N161" s="3467" t="s">
        <v>3469</v>
      </c>
    </row>
    <row r="162" spans="1:14" s="3502" customFormat="1" ht="48">
      <c r="A162" s="3467">
        <v>159</v>
      </c>
      <c r="B162" s="3473" t="s">
        <v>4049</v>
      </c>
      <c r="C162" s="3474" t="s">
        <v>4050</v>
      </c>
      <c r="D162" s="3465" t="s">
        <v>4051</v>
      </c>
      <c r="E162" s="3466" t="s">
        <v>4052</v>
      </c>
      <c r="F162" s="3465">
        <v>36</v>
      </c>
      <c r="G162" s="3468">
        <v>12045</v>
      </c>
      <c r="H162" s="3467">
        <v>11</v>
      </c>
      <c r="I162" s="3490">
        <v>3640.88</v>
      </c>
      <c r="J162" s="3465">
        <v>3.3250000000000002</v>
      </c>
      <c r="K162" s="3467">
        <f t="shared" si="2"/>
        <v>15685.880000000001</v>
      </c>
      <c r="L162" s="3470">
        <v>44743</v>
      </c>
      <c r="M162" s="3470">
        <v>45107</v>
      </c>
      <c r="N162" s="3467" t="s">
        <v>3469</v>
      </c>
    </row>
    <row r="163" spans="1:14" s="3502" customFormat="1" ht="48">
      <c r="A163" s="3467">
        <v>160</v>
      </c>
      <c r="B163" s="3475" t="s">
        <v>4053</v>
      </c>
      <c r="C163" s="3471" t="s">
        <v>4054</v>
      </c>
      <c r="D163" s="3472" t="s">
        <v>4055</v>
      </c>
      <c r="E163" s="3466" t="s">
        <v>4056</v>
      </c>
      <c r="F163" s="3472">
        <v>98</v>
      </c>
      <c r="G163" s="3468">
        <v>55974.27</v>
      </c>
      <c r="H163" s="3467">
        <v>18.777999999999999</v>
      </c>
      <c r="I163" s="3490">
        <v>4125.47</v>
      </c>
      <c r="J163" s="3465">
        <v>1.3839999999999999</v>
      </c>
      <c r="K163" s="3467">
        <f t="shared" si="2"/>
        <v>60099.74</v>
      </c>
      <c r="L163" s="3470">
        <v>44743</v>
      </c>
      <c r="M163" s="3470">
        <v>45107</v>
      </c>
      <c r="N163" s="3467" t="s">
        <v>4003</v>
      </c>
    </row>
    <row r="164" spans="1:14" s="3502" customFormat="1" ht="36">
      <c r="A164" s="3467">
        <v>161</v>
      </c>
      <c r="B164" s="3475" t="s">
        <v>4057</v>
      </c>
      <c r="C164" s="3471" t="s">
        <v>4058</v>
      </c>
      <c r="D164" s="3494" t="s">
        <v>4059</v>
      </c>
      <c r="E164" s="3466" t="s">
        <v>4060</v>
      </c>
      <c r="F164" s="3472">
        <v>100</v>
      </c>
      <c r="G164" s="3468">
        <v>48666.67</v>
      </c>
      <c r="H164" s="3467">
        <v>16</v>
      </c>
      <c r="I164" s="3490">
        <v>5633.17</v>
      </c>
      <c r="J164" s="3465">
        <v>1.8520000000000001</v>
      </c>
      <c r="K164" s="3467">
        <f t="shared" si="2"/>
        <v>54299.839999999997</v>
      </c>
      <c r="L164" s="3470">
        <v>43997</v>
      </c>
      <c r="M164" s="3470">
        <v>46187</v>
      </c>
      <c r="N164" s="3467" t="s">
        <v>3469</v>
      </c>
    </row>
    <row r="165" spans="1:14" s="3502" customFormat="1" ht="48">
      <c r="A165" s="3467">
        <v>162</v>
      </c>
      <c r="B165" s="3473" t="s">
        <v>4061</v>
      </c>
      <c r="C165" s="3474" t="s">
        <v>4062</v>
      </c>
      <c r="D165" s="3465" t="s">
        <v>4063</v>
      </c>
      <c r="E165" s="3466" t="s">
        <v>4064</v>
      </c>
      <c r="F165" s="3465">
        <v>78</v>
      </c>
      <c r="G165" s="3468">
        <v>46097.675000000003</v>
      </c>
      <c r="H165" s="3467">
        <v>19.43</v>
      </c>
      <c r="I165" s="3492">
        <v>0</v>
      </c>
      <c r="J165" s="3466">
        <v>0</v>
      </c>
      <c r="K165" s="3522">
        <f t="shared" si="2"/>
        <v>46097.675000000003</v>
      </c>
      <c r="L165" s="3470">
        <v>44743</v>
      </c>
      <c r="M165" s="3470">
        <v>45107</v>
      </c>
      <c r="N165" s="3467" t="s">
        <v>4016</v>
      </c>
    </row>
    <row r="166" spans="1:14" s="3502" customFormat="1" ht="48">
      <c r="A166" s="3467">
        <v>163</v>
      </c>
      <c r="B166" s="3475" t="s">
        <v>4065</v>
      </c>
      <c r="C166" s="3471" t="s">
        <v>4066</v>
      </c>
      <c r="D166" s="3472" t="s">
        <v>4067</v>
      </c>
      <c r="E166" s="3466" t="s">
        <v>4068</v>
      </c>
      <c r="F166" s="3467">
        <v>313</v>
      </c>
      <c r="G166" s="3468">
        <v>0</v>
      </c>
      <c r="H166" s="3466">
        <v>0</v>
      </c>
      <c r="I166" s="3500">
        <v>13176.35</v>
      </c>
      <c r="J166" s="3466">
        <v>1.8</v>
      </c>
      <c r="K166" s="3467">
        <f t="shared" si="2"/>
        <v>13176.35</v>
      </c>
      <c r="L166" s="3470">
        <v>42446</v>
      </c>
      <c r="M166" s="3470">
        <v>45732</v>
      </c>
      <c r="N166" s="3467" t="s">
        <v>3477</v>
      </c>
    </row>
    <row r="167" spans="1:14" s="3502" customFormat="1" ht="48">
      <c r="A167" s="3467">
        <v>164</v>
      </c>
      <c r="B167" s="3473" t="s">
        <v>4069</v>
      </c>
      <c r="C167" s="3474" t="s">
        <v>4070</v>
      </c>
      <c r="D167" s="3465" t="s">
        <v>4071</v>
      </c>
      <c r="E167" s="3466" t="s">
        <v>4072</v>
      </c>
      <c r="F167" s="3465">
        <v>24</v>
      </c>
      <c r="G167" s="3468">
        <v>17520</v>
      </c>
      <c r="H167" s="3467">
        <v>24</v>
      </c>
      <c r="I167" s="3500">
        <v>2416.3000000000002</v>
      </c>
      <c r="J167" s="3498">
        <v>3.31</v>
      </c>
      <c r="K167" s="3467">
        <f t="shared" si="2"/>
        <v>19936.3</v>
      </c>
      <c r="L167" s="3470">
        <v>44392</v>
      </c>
      <c r="M167" s="3470">
        <v>45121</v>
      </c>
      <c r="N167" s="3467" t="s">
        <v>3469</v>
      </c>
    </row>
    <row r="168" spans="1:14" s="3502" customFormat="1" ht="36">
      <c r="A168" s="3467">
        <v>165</v>
      </c>
      <c r="B168" s="3473" t="s">
        <v>3892</v>
      </c>
      <c r="C168" s="3474" t="s">
        <v>4073</v>
      </c>
      <c r="D168" s="3465" t="s">
        <v>4074</v>
      </c>
      <c r="E168" s="3466" t="s">
        <v>3895</v>
      </c>
      <c r="F168" s="3465">
        <v>88</v>
      </c>
      <c r="G168" s="3468">
        <v>93683.33</v>
      </c>
      <c r="H168" s="3467">
        <v>35</v>
      </c>
      <c r="I168" s="3500">
        <v>8859.77</v>
      </c>
      <c r="J168" s="3498">
        <v>3.31</v>
      </c>
      <c r="K168" s="3467">
        <f t="shared" si="2"/>
        <v>102543.1</v>
      </c>
      <c r="L168" s="3470">
        <v>44718</v>
      </c>
      <c r="M168" s="3470">
        <v>45448</v>
      </c>
      <c r="N168" s="3467" t="s">
        <v>3469</v>
      </c>
    </row>
    <row r="169" spans="1:14" s="3502" customFormat="1" ht="36">
      <c r="A169" s="3467">
        <v>166</v>
      </c>
      <c r="B169" s="3473" t="s">
        <v>3502</v>
      </c>
      <c r="C169" s="3474" t="s">
        <v>4075</v>
      </c>
      <c r="D169" s="3465" t="s">
        <v>4076</v>
      </c>
      <c r="E169" s="3466" t="s">
        <v>3505</v>
      </c>
      <c r="F169" s="3465">
        <v>12</v>
      </c>
      <c r="G169" s="3468">
        <v>9000.9</v>
      </c>
      <c r="H169" s="3467">
        <v>24.66</v>
      </c>
      <c r="I169" s="3500">
        <v>1208.1500000000001</v>
      </c>
      <c r="J169" s="3498">
        <v>3.31</v>
      </c>
      <c r="K169" s="3467">
        <f t="shared" si="2"/>
        <v>10209.049999999999</v>
      </c>
      <c r="L169" s="3470">
        <v>44727</v>
      </c>
      <c r="M169" s="3470">
        <v>45091</v>
      </c>
      <c r="N169" s="3467" t="s">
        <v>3477</v>
      </c>
    </row>
    <row r="170" spans="1:14" s="3502" customFormat="1" ht="48">
      <c r="A170" s="3467">
        <v>167</v>
      </c>
      <c r="B170" s="3473" t="s">
        <v>3502</v>
      </c>
      <c r="C170" s="3474" t="s">
        <v>4077</v>
      </c>
      <c r="D170" s="3465" t="s">
        <v>4078</v>
      </c>
      <c r="E170" s="3466" t="s">
        <v>3505</v>
      </c>
      <c r="F170" s="3465">
        <v>54</v>
      </c>
      <c r="G170" s="3468">
        <v>31749.53</v>
      </c>
      <c r="H170" s="3467">
        <v>19.329999999999998</v>
      </c>
      <c r="I170" s="3500">
        <v>6257.93</v>
      </c>
      <c r="J170" s="3498">
        <v>3.81</v>
      </c>
      <c r="K170" s="3467">
        <f t="shared" si="2"/>
        <v>38007.46</v>
      </c>
      <c r="L170" s="3470">
        <v>44909</v>
      </c>
      <c r="M170" s="3470">
        <v>45639</v>
      </c>
      <c r="N170" s="3467" t="s">
        <v>3469</v>
      </c>
    </row>
    <row r="171" spans="1:14" s="3502" customFormat="1" ht="48">
      <c r="A171" s="3467">
        <v>168</v>
      </c>
      <c r="B171" s="3475" t="s">
        <v>4079</v>
      </c>
      <c r="C171" s="3471" t="s">
        <v>4080</v>
      </c>
      <c r="D171" s="3472" t="s">
        <v>4081</v>
      </c>
      <c r="E171" s="3466" t="s">
        <v>4082</v>
      </c>
      <c r="F171" s="3472">
        <v>105</v>
      </c>
      <c r="G171" s="3468">
        <v>69272.44</v>
      </c>
      <c r="H171" s="3467">
        <v>21.69</v>
      </c>
      <c r="I171" s="3500">
        <v>10571.31</v>
      </c>
      <c r="J171" s="3498">
        <v>3.31</v>
      </c>
      <c r="K171" s="3467">
        <f t="shared" si="2"/>
        <v>79843.75</v>
      </c>
      <c r="L171" s="3470">
        <v>44713</v>
      </c>
      <c r="M171" s="3470">
        <v>45077</v>
      </c>
      <c r="N171" s="3467" t="s">
        <v>3477</v>
      </c>
    </row>
    <row r="172" spans="1:14" s="3504" customFormat="1" ht="48">
      <c r="A172" s="3505">
        <v>169</v>
      </c>
      <c r="B172" s="3506" t="s">
        <v>4083</v>
      </c>
      <c r="C172" s="3512" t="s">
        <v>4084</v>
      </c>
      <c r="D172" s="3513" t="s">
        <v>4085</v>
      </c>
      <c r="E172" s="3509" t="s">
        <v>4086</v>
      </c>
      <c r="F172" s="3513">
        <v>70</v>
      </c>
      <c r="G172" s="3510">
        <v>36195.83</v>
      </c>
      <c r="H172" s="3505">
        <v>17</v>
      </c>
      <c r="I172" s="3515">
        <v>7047.54</v>
      </c>
      <c r="J172" s="3516">
        <v>3.31</v>
      </c>
      <c r="K172" s="3505">
        <f t="shared" si="2"/>
        <v>43243.37</v>
      </c>
      <c r="L172" s="3511">
        <v>44697</v>
      </c>
      <c r="M172" s="3511">
        <v>45792</v>
      </c>
      <c r="N172" s="3505" t="s">
        <v>3477</v>
      </c>
    </row>
    <row r="173" spans="1:14" s="3504" customFormat="1" ht="48">
      <c r="A173" s="3505">
        <v>170</v>
      </c>
      <c r="B173" s="3514" t="s">
        <v>4087</v>
      </c>
      <c r="C173" s="3507" t="s">
        <v>4088</v>
      </c>
      <c r="D173" s="3508" t="s">
        <v>4089</v>
      </c>
      <c r="E173" s="3509" t="s">
        <v>4090</v>
      </c>
      <c r="F173" s="3508">
        <v>12</v>
      </c>
      <c r="G173" s="3510">
        <v>13833.5</v>
      </c>
      <c r="H173" s="3505">
        <v>37.9</v>
      </c>
      <c r="I173" s="3515">
        <v>1390.65</v>
      </c>
      <c r="J173" s="3508">
        <v>3.81</v>
      </c>
      <c r="K173" s="3505">
        <f t="shared" si="2"/>
        <v>15224.15</v>
      </c>
      <c r="L173" s="3511">
        <v>45000</v>
      </c>
      <c r="M173" s="3511">
        <v>45365</v>
      </c>
      <c r="N173" s="3505" t="s">
        <v>3477</v>
      </c>
    </row>
    <row r="174" spans="1:14" s="3502" customFormat="1" ht="72">
      <c r="A174" s="3467">
        <v>171</v>
      </c>
      <c r="B174" s="3475" t="s">
        <v>4091</v>
      </c>
      <c r="C174" s="3477" t="s">
        <v>4092</v>
      </c>
      <c r="D174" s="3483" t="s">
        <v>4093</v>
      </c>
      <c r="E174" s="3466" t="s">
        <v>4094</v>
      </c>
      <c r="F174" s="3483">
        <v>123</v>
      </c>
      <c r="G174" s="3468">
        <v>59860</v>
      </c>
      <c r="H174" s="3467">
        <v>16</v>
      </c>
      <c r="I174" s="3490">
        <v>12383.54</v>
      </c>
      <c r="J174" s="3496">
        <v>3.31</v>
      </c>
      <c r="K174" s="3467">
        <f t="shared" si="2"/>
        <v>72243.540000000008</v>
      </c>
      <c r="L174" s="3470">
        <v>44423</v>
      </c>
      <c r="M174" s="3470">
        <v>45152</v>
      </c>
      <c r="N174" s="3467" t="s">
        <v>3477</v>
      </c>
    </row>
    <row r="175" spans="1:14" s="3502" customFormat="1" ht="84">
      <c r="A175" s="3467">
        <v>172</v>
      </c>
      <c r="B175" s="3475" t="s">
        <v>4095</v>
      </c>
      <c r="C175" s="3471" t="s">
        <v>4096</v>
      </c>
      <c r="D175" s="3472" t="s">
        <v>4097</v>
      </c>
      <c r="E175" s="3466" t="s">
        <v>4098</v>
      </c>
      <c r="F175" s="3467">
        <v>3021</v>
      </c>
      <c r="G175" s="3468">
        <v>220591.3</v>
      </c>
      <c r="H175" s="3467">
        <v>2.4</v>
      </c>
      <c r="I175" s="3490">
        <v>0</v>
      </c>
      <c r="J175" s="3466">
        <v>0</v>
      </c>
      <c r="K175" s="3467">
        <f t="shared" si="2"/>
        <v>220591.3</v>
      </c>
      <c r="L175" s="3470">
        <v>42720</v>
      </c>
      <c r="M175" s="3470">
        <v>48197</v>
      </c>
      <c r="N175" s="3467" t="s">
        <v>3469</v>
      </c>
    </row>
    <row r="176" spans="1:14" s="3502" customFormat="1" ht="48">
      <c r="A176" s="3467">
        <v>173</v>
      </c>
      <c r="B176" s="3481" t="s">
        <v>4099</v>
      </c>
      <c r="C176" s="3482" t="s">
        <v>4100</v>
      </c>
      <c r="D176" s="3483" t="s">
        <v>4101</v>
      </c>
      <c r="E176" s="3466" t="s">
        <v>4102</v>
      </c>
      <c r="F176" s="3483">
        <v>2.0299999999999998</v>
      </c>
      <c r="G176" s="3468">
        <v>9508.86</v>
      </c>
      <c r="H176" s="3467">
        <v>154</v>
      </c>
      <c r="I176" s="3490">
        <v>204.38</v>
      </c>
      <c r="J176" s="3496">
        <v>3.31</v>
      </c>
      <c r="K176" s="3467">
        <f t="shared" si="2"/>
        <v>9713.24</v>
      </c>
      <c r="L176" s="3470">
        <v>44762</v>
      </c>
      <c r="M176" s="3470">
        <v>45126</v>
      </c>
      <c r="N176" s="3467" t="s">
        <v>3477</v>
      </c>
    </row>
    <row r="177" spans="1:14" s="3502" customFormat="1" ht="48">
      <c r="A177" s="3467">
        <v>174</v>
      </c>
      <c r="B177" s="3475" t="s">
        <v>4103</v>
      </c>
      <c r="C177" s="3471" t="s">
        <v>4104</v>
      </c>
      <c r="D177" s="3472" t="s">
        <v>4105</v>
      </c>
      <c r="E177" s="3466" t="s">
        <v>4106</v>
      </c>
      <c r="F177" s="3472">
        <v>12</v>
      </c>
      <c r="G177" s="3468">
        <v>14669.35</v>
      </c>
      <c r="H177" s="3467">
        <v>40.19</v>
      </c>
      <c r="I177" s="3490">
        <v>1208.1500000000001</v>
      </c>
      <c r="J177" s="3498">
        <v>3.31</v>
      </c>
      <c r="K177" s="3467">
        <f t="shared" si="2"/>
        <v>15877.5</v>
      </c>
      <c r="L177" s="3470">
        <v>44757</v>
      </c>
      <c r="M177" s="3470">
        <v>45121</v>
      </c>
      <c r="N177" s="3467" t="s">
        <v>3469</v>
      </c>
    </row>
    <row r="178" spans="1:14" s="3502" customFormat="1" ht="36">
      <c r="A178" s="3467">
        <v>175</v>
      </c>
      <c r="B178" s="3475" t="s">
        <v>4107</v>
      </c>
      <c r="C178" s="3477" t="s">
        <v>4104</v>
      </c>
      <c r="D178" s="3483" t="s">
        <v>4105</v>
      </c>
      <c r="E178" s="3466" t="s">
        <v>4108</v>
      </c>
      <c r="F178" s="3483">
        <v>30</v>
      </c>
      <c r="G178" s="3468">
        <v>6104.63</v>
      </c>
      <c r="H178" s="3467">
        <v>6.69</v>
      </c>
      <c r="I178" s="3490">
        <v>3020.38</v>
      </c>
      <c r="J178" s="3498">
        <v>3.31</v>
      </c>
      <c r="K178" s="3467">
        <f t="shared" si="2"/>
        <v>9125.01</v>
      </c>
      <c r="L178" s="3470">
        <v>44757</v>
      </c>
      <c r="M178" s="3470">
        <v>45121</v>
      </c>
      <c r="N178" s="3467" t="s">
        <v>3469</v>
      </c>
    </row>
    <row r="179" spans="1:14" s="3502" customFormat="1" ht="48">
      <c r="A179" s="3467">
        <v>176</v>
      </c>
      <c r="B179" s="3475" t="s">
        <v>4109</v>
      </c>
      <c r="C179" s="3471" t="s">
        <v>4110</v>
      </c>
      <c r="D179" s="3501" t="s">
        <v>4111</v>
      </c>
      <c r="E179" s="3466" t="s">
        <v>4112</v>
      </c>
      <c r="F179" s="3472">
        <v>39</v>
      </c>
      <c r="G179" s="3468">
        <v>24911.25</v>
      </c>
      <c r="H179" s="3467">
        <v>21</v>
      </c>
      <c r="I179" s="3490">
        <v>3926.49</v>
      </c>
      <c r="J179" s="3465">
        <v>3.31</v>
      </c>
      <c r="K179" s="3467">
        <f t="shared" si="2"/>
        <v>28837.739999999998</v>
      </c>
      <c r="L179" s="3470">
        <v>44697</v>
      </c>
      <c r="M179" s="3470">
        <v>45427</v>
      </c>
      <c r="N179" s="3467" t="s">
        <v>3469</v>
      </c>
    </row>
    <row r="180" spans="1:14" s="3502" customFormat="1" ht="48">
      <c r="A180" s="3467">
        <v>177</v>
      </c>
      <c r="B180" s="3473" t="s">
        <v>4113</v>
      </c>
      <c r="C180" s="3474" t="s">
        <v>4114</v>
      </c>
      <c r="D180" s="3465" t="s">
        <v>4115</v>
      </c>
      <c r="E180" s="3466" t="s">
        <v>4116</v>
      </c>
      <c r="F180" s="3465">
        <v>90</v>
      </c>
      <c r="G180" s="3468">
        <v>65700</v>
      </c>
      <c r="H180" s="3467">
        <v>24</v>
      </c>
      <c r="I180" s="3490">
        <v>9061.1299999999992</v>
      </c>
      <c r="J180" s="3465">
        <v>3.31</v>
      </c>
      <c r="K180" s="3467">
        <f t="shared" si="2"/>
        <v>74761.13</v>
      </c>
      <c r="L180" s="3470">
        <v>44417</v>
      </c>
      <c r="M180" s="3470">
        <v>45146</v>
      </c>
      <c r="N180" s="3467" t="s">
        <v>3477</v>
      </c>
    </row>
    <row r="181" spans="1:14" s="3502" customFormat="1" ht="48">
      <c r="A181" s="3467">
        <v>178</v>
      </c>
      <c r="B181" s="3475" t="s">
        <v>4117</v>
      </c>
      <c r="C181" s="3471" t="s">
        <v>4118</v>
      </c>
      <c r="D181" s="3472" t="s">
        <v>4119</v>
      </c>
      <c r="E181" s="3466" t="s">
        <v>4120</v>
      </c>
      <c r="F181" s="3472">
        <v>383</v>
      </c>
      <c r="G181" s="3468">
        <v>69897.5</v>
      </c>
      <c r="H181" s="3467">
        <v>6</v>
      </c>
      <c r="I181" s="3490">
        <v>21575.03</v>
      </c>
      <c r="J181" s="3465">
        <v>1.8520000000000001</v>
      </c>
      <c r="K181" s="3467">
        <f t="shared" si="2"/>
        <v>91472.53</v>
      </c>
      <c r="L181" s="3470">
        <v>44120</v>
      </c>
      <c r="M181" s="3470">
        <v>45214</v>
      </c>
      <c r="N181" s="3467" t="s">
        <v>3469</v>
      </c>
    </row>
    <row r="182" spans="1:14" s="3502" customFormat="1" ht="48">
      <c r="A182" s="3467">
        <v>179</v>
      </c>
      <c r="B182" s="3475" t="s">
        <v>4121</v>
      </c>
      <c r="C182" s="3477" t="s">
        <v>4122</v>
      </c>
      <c r="D182" s="3467" t="s">
        <v>4123</v>
      </c>
      <c r="E182" s="3466" t="s">
        <v>4124</v>
      </c>
      <c r="F182" s="3472">
        <v>452</v>
      </c>
      <c r="G182" s="3468">
        <v>146573.01999999999</v>
      </c>
      <c r="H182" s="3467">
        <v>10.661</v>
      </c>
      <c r="I182" s="3490">
        <v>45506.98</v>
      </c>
      <c r="J182" s="3465">
        <v>3.31</v>
      </c>
      <c r="K182" s="3467">
        <f t="shared" si="2"/>
        <v>192080</v>
      </c>
      <c r="L182" s="3470">
        <v>44531</v>
      </c>
      <c r="M182" s="3470">
        <v>45260</v>
      </c>
      <c r="N182" s="3467" t="s">
        <v>3469</v>
      </c>
    </row>
    <row r="183" spans="1:14" s="3502" customFormat="1" ht="48">
      <c r="A183" s="3467">
        <v>180</v>
      </c>
      <c r="B183" s="3475" t="s">
        <v>4125</v>
      </c>
      <c r="C183" s="3477" t="s">
        <v>4126</v>
      </c>
      <c r="D183" s="3467" t="s">
        <v>4127</v>
      </c>
      <c r="E183" s="3466" t="s">
        <v>4128</v>
      </c>
      <c r="F183" s="3472">
        <v>120</v>
      </c>
      <c r="G183" s="3468">
        <v>31568.85</v>
      </c>
      <c r="H183" s="3467">
        <v>8.6489999999999991</v>
      </c>
      <c r="I183" s="3490">
        <v>12081.5</v>
      </c>
      <c r="J183" s="3465">
        <v>3.31</v>
      </c>
      <c r="K183" s="3467">
        <f t="shared" si="2"/>
        <v>43650.35</v>
      </c>
      <c r="L183" s="3470">
        <v>44550</v>
      </c>
      <c r="M183" s="3470">
        <v>45645</v>
      </c>
      <c r="N183" s="3467" t="s">
        <v>3477</v>
      </c>
    </row>
    <row r="184" spans="1:14" s="3502" customFormat="1" ht="48">
      <c r="A184" s="3467">
        <v>181</v>
      </c>
      <c r="B184" s="3475" t="s">
        <v>4129</v>
      </c>
      <c r="C184" s="3471" t="s">
        <v>4130</v>
      </c>
      <c r="D184" s="3472" t="s">
        <v>4131</v>
      </c>
      <c r="E184" s="3466" t="s">
        <v>4132</v>
      </c>
      <c r="F184" s="3472">
        <v>10</v>
      </c>
      <c r="G184" s="3468">
        <v>3598.29</v>
      </c>
      <c r="H184" s="3467">
        <v>11.83</v>
      </c>
      <c r="I184" s="3490">
        <v>1006.79</v>
      </c>
      <c r="J184" s="3465">
        <v>3.31</v>
      </c>
      <c r="K184" s="3467">
        <f t="shared" si="2"/>
        <v>4605.08</v>
      </c>
      <c r="L184" s="3470">
        <v>44876</v>
      </c>
      <c r="M184" s="3470">
        <v>45240</v>
      </c>
      <c r="N184" s="3467" t="s">
        <v>3477</v>
      </c>
    </row>
    <row r="185" spans="1:14" s="3502" customFormat="1" ht="60">
      <c r="A185" s="3467">
        <v>182</v>
      </c>
      <c r="B185" s="3481" t="s">
        <v>4133</v>
      </c>
      <c r="C185" s="3482" t="s">
        <v>4134</v>
      </c>
      <c r="D185" s="3483" t="s">
        <v>4135</v>
      </c>
      <c r="E185" s="3466" t="s">
        <v>4136</v>
      </c>
      <c r="F185" s="3467">
        <v>268</v>
      </c>
      <c r="G185" s="3468">
        <v>27715.8</v>
      </c>
      <c r="H185" s="3467">
        <v>3.4</v>
      </c>
      <c r="I185" s="3490">
        <v>8217.31</v>
      </c>
      <c r="J185" s="3496">
        <v>1.01</v>
      </c>
      <c r="K185" s="3467">
        <f t="shared" si="2"/>
        <v>35933.11</v>
      </c>
      <c r="L185" s="3470">
        <v>43344</v>
      </c>
      <c r="M185" s="3470">
        <v>45169</v>
      </c>
      <c r="N185" s="3467" t="s">
        <v>3469</v>
      </c>
    </row>
    <row r="186" spans="1:14" s="3502" customFormat="1" ht="48">
      <c r="A186" s="3467">
        <v>183</v>
      </c>
      <c r="B186" s="3481" t="s">
        <v>4137</v>
      </c>
      <c r="C186" s="3482" t="s">
        <v>4138</v>
      </c>
      <c r="D186" s="3483" t="s">
        <v>4135</v>
      </c>
      <c r="E186" s="3466" t="s">
        <v>4139</v>
      </c>
      <c r="F186" s="3467">
        <v>299</v>
      </c>
      <c r="G186" s="3468">
        <v>19917.14</v>
      </c>
      <c r="H186" s="3467">
        <v>2.19</v>
      </c>
      <c r="I186" s="3490">
        <v>17306.990000000002</v>
      </c>
      <c r="J186" s="3496">
        <v>1.903</v>
      </c>
      <c r="K186" s="3467">
        <f t="shared" si="2"/>
        <v>37224.130000000005</v>
      </c>
      <c r="L186" s="3470">
        <v>44985</v>
      </c>
      <c r="M186" s="3470">
        <v>46996</v>
      </c>
      <c r="N186" s="3467" t="s">
        <v>3469</v>
      </c>
    </row>
    <row r="187" spans="1:14" s="3502" customFormat="1" ht="48">
      <c r="A187" s="3467">
        <v>184</v>
      </c>
      <c r="B187" s="3481" t="s">
        <v>4140</v>
      </c>
      <c r="C187" s="3482" t="s">
        <v>4141</v>
      </c>
      <c r="D187" s="3483" t="s">
        <v>4142</v>
      </c>
      <c r="E187" s="3466" t="s">
        <v>4143</v>
      </c>
      <c r="F187" s="3483">
        <v>25</v>
      </c>
      <c r="G187" s="3468">
        <v>20531.25</v>
      </c>
      <c r="H187" s="3467">
        <v>27</v>
      </c>
      <c r="I187" s="3490">
        <v>2516.98</v>
      </c>
      <c r="J187" s="3496">
        <v>3.31</v>
      </c>
      <c r="K187" s="3467">
        <f t="shared" si="2"/>
        <v>23048.23</v>
      </c>
      <c r="L187" s="3470">
        <v>44713</v>
      </c>
      <c r="M187" s="3470">
        <v>45077</v>
      </c>
      <c r="N187" s="3467" t="s">
        <v>3477</v>
      </c>
    </row>
    <row r="188" spans="1:14" s="3502" customFormat="1" ht="48">
      <c r="A188" s="3467">
        <v>185</v>
      </c>
      <c r="B188" s="3481" t="s">
        <v>4144</v>
      </c>
      <c r="C188" s="3499" t="s">
        <v>4145</v>
      </c>
      <c r="D188" s="3483" t="s">
        <v>4146</v>
      </c>
      <c r="E188" s="3466" t="s">
        <v>4147</v>
      </c>
      <c r="F188" s="3483">
        <v>10</v>
      </c>
      <c r="G188" s="3468">
        <v>10153.08</v>
      </c>
      <c r="H188" s="3467">
        <v>33.380000000000003</v>
      </c>
      <c r="I188" s="3490">
        <v>1006.79</v>
      </c>
      <c r="J188" s="3496">
        <v>3.31</v>
      </c>
      <c r="K188" s="3467">
        <f t="shared" si="2"/>
        <v>11159.869999999999</v>
      </c>
      <c r="L188" s="3470">
        <v>44743</v>
      </c>
      <c r="M188" s="3470">
        <v>45107</v>
      </c>
      <c r="N188" s="3467" t="s">
        <v>3469</v>
      </c>
    </row>
    <row r="189" spans="1:14">
      <c r="K189" s="3554">
        <f>SUM(K4:K188)</f>
        <v>12674925.268000005</v>
      </c>
    </row>
    <row r="191" spans="1:14">
      <c r="K191">
        <f>K189/30/'数据-基础表'!B3</f>
        <v>7.35391016990563</v>
      </c>
    </row>
    <row r="193" spans="1:1" ht="409.5">
      <c r="A193" s="3523" t="s">
        <v>4152</v>
      </c>
    </row>
  </sheetData>
  <autoFilter ref="A3:N188"/>
  <phoneticPr fontId="134" type="noConversion"/>
  <dataValidations count="3">
    <dataValidation type="list" allowBlank="1" showInputMessage="1" showErrorMessage="1" sqref="E1">
      <formula1>"12,24,36,48,60,72,84,96,108,120,132,144,156,168,180"</formula1>
    </dataValidation>
    <dataValidation type="list" allowBlank="1" showInputMessage="1" showErrorMessage="1" sqref="N4">
      <formula1>"按月,按季,按半年,按年"</formula1>
    </dataValidation>
    <dataValidation allowBlank="1" showInputMessage="1" showErrorMessage="1" promptTitle="填写说明：" prompt="请输入该笔授信的授信用途" sqref="C1"/>
  </dataValidations>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6"/>
  <sheetViews>
    <sheetView workbookViewId="0">
      <pane xSplit="1" ySplit="1" topLeftCell="B17" activePane="bottomRight" state="frozen"/>
      <selection pane="topRight" activeCell="B1" sqref="B1"/>
      <selection pane="bottomLeft" activeCell="A2" sqref="A2"/>
      <selection pane="bottomRight" activeCell="K16" sqref="K16"/>
    </sheetView>
  </sheetViews>
  <sheetFormatPr defaultRowHeight="13.5"/>
  <cols>
    <col min="3" max="3" width="17.25" customWidth="1"/>
    <col min="13" max="13" width="27" customWidth="1"/>
    <col min="15" max="15" width="37.625" customWidth="1"/>
    <col min="16" max="16" width="23.625" customWidth="1"/>
    <col min="17" max="17" width="30.875" customWidth="1"/>
  </cols>
  <sheetData>
    <row r="1" spans="1:41" ht="42.75">
      <c r="A1" s="3524" t="s">
        <v>4156</v>
      </c>
      <c r="B1" s="3524" t="s">
        <v>4157</v>
      </c>
      <c r="C1" s="3524" t="s">
        <v>4158</v>
      </c>
      <c r="D1" s="3524" t="s">
        <v>4159</v>
      </c>
      <c r="E1" s="3524" t="s">
        <v>4160</v>
      </c>
      <c r="F1" s="3524" t="s">
        <v>4161</v>
      </c>
      <c r="G1" s="3524" t="s">
        <v>4162</v>
      </c>
      <c r="H1" s="3524" t="s">
        <v>4163</v>
      </c>
      <c r="I1" s="3524" t="s">
        <v>4164</v>
      </c>
      <c r="J1" s="3524" t="s">
        <v>4165</v>
      </c>
      <c r="K1" s="3524" t="s">
        <v>4166</v>
      </c>
      <c r="L1" s="3524" t="s">
        <v>4167</v>
      </c>
      <c r="M1" s="3524" t="s">
        <v>4168</v>
      </c>
      <c r="N1" s="3524" t="s">
        <v>4169</v>
      </c>
      <c r="O1" s="3524" t="s">
        <v>4170</v>
      </c>
      <c r="P1" s="3524" t="s">
        <v>4171</v>
      </c>
      <c r="Q1" s="3525" t="s">
        <v>4172</v>
      </c>
      <c r="R1" s="3524"/>
      <c r="S1" s="3524"/>
      <c r="T1" s="3524"/>
      <c r="U1" s="3524"/>
      <c r="V1" s="3524"/>
      <c r="W1" s="3524"/>
      <c r="X1" s="3524"/>
      <c r="Y1" s="3524"/>
      <c r="Z1" s="3524"/>
      <c r="AA1" s="3524"/>
      <c r="AB1" s="3524"/>
      <c r="AC1" s="3524"/>
      <c r="AD1" s="3524"/>
      <c r="AE1" s="3524"/>
      <c r="AF1" s="3524"/>
      <c r="AG1" s="3524"/>
      <c r="AH1" s="3524"/>
      <c r="AI1" s="3524"/>
      <c r="AJ1" s="3524"/>
      <c r="AK1" s="3524"/>
      <c r="AL1" s="3524"/>
      <c r="AM1" s="3524"/>
      <c r="AN1" s="3524"/>
      <c r="AO1" s="3524"/>
    </row>
    <row r="2" spans="1:41" s="3539" customFormat="1" ht="28.5">
      <c r="A2" s="3536">
        <v>44896</v>
      </c>
      <c r="B2" s="3537" t="s">
        <v>4173</v>
      </c>
      <c r="C2" s="3537" t="s">
        <v>4174</v>
      </c>
      <c r="D2" s="3537" t="s">
        <v>4175</v>
      </c>
      <c r="E2" s="3537">
        <v>1.49</v>
      </c>
      <c r="F2" s="3537">
        <v>3300</v>
      </c>
      <c r="G2" s="3537"/>
      <c r="H2" s="3537"/>
      <c r="I2" s="3537">
        <v>45000</v>
      </c>
      <c r="J2" s="3537"/>
      <c r="K2" s="3537" t="s">
        <v>4176</v>
      </c>
      <c r="L2" s="3537" t="s">
        <v>4177</v>
      </c>
      <c r="M2" s="3537" t="s">
        <v>4178</v>
      </c>
      <c r="N2" s="3537"/>
      <c r="O2" s="3537" t="s">
        <v>4179</v>
      </c>
      <c r="P2" s="3537"/>
      <c r="Q2" s="3538" t="s">
        <v>4180</v>
      </c>
      <c r="R2" s="3537"/>
      <c r="S2" s="3537"/>
      <c r="T2" s="3537"/>
      <c r="U2" s="3537"/>
      <c r="V2" s="3537"/>
      <c r="W2" s="3537"/>
      <c r="X2" s="3537"/>
      <c r="Y2" s="3537"/>
      <c r="Z2" s="3537"/>
      <c r="AA2" s="3537"/>
      <c r="AB2" s="3537"/>
      <c r="AC2" s="3537"/>
      <c r="AD2" s="3537"/>
      <c r="AE2" s="3537"/>
      <c r="AF2" s="3537"/>
      <c r="AG2" s="3537"/>
      <c r="AH2" s="3537"/>
      <c r="AI2" s="3537"/>
      <c r="AJ2" s="3537"/>
      <c r="AK2" s="3537"/>
      <c r="AL2" s="3537"/>
      <c r="AM2" s="3537"/>
      <c r="AN2" s="3537"/>
      <c r="AO2" s="3537"/>
    </row>
    <row r="3" spans="1:41" ht="28.5">
      <c r="A3" s="3529">
        <v>44896</v>
      </c>
      <c r="B3" s="3524" t="s">
        <v>4173</v>
      </c>
      <c r="C3" s="3524" t="s">
        <v>4181</v>
      </c>
      <c r="D3" s="3524" t="s">
        <v>4182</v>
      </c>
      <c r="E3" s="3524">
        <v>2.2999999999999998</v>
      </c>
      <c r="F3" s="3524">
        <v>17000</v>
      </c>
      <c r="G3" s="3524"/>
      <c r="H3" s="3524"/>
      <c r="I3" s="3524">
        <v>13529</v>
      </c>
      <c r="J3" s="3524"/>
      <c r="K3" s="3524" t="s">
        <v>4183</v>
      </c>
      <c r="L3" s="3524" t="s">
        <v>4184</v>
      </c>
      <c r="M3" s="3524" t="s">
        <v>4185</v>
      </c>
      <c r="N3" s="3524"/>
      <c r="O3" s="3524" t="s">
        <v>4179</v>
      </c>
      <c r="P3" s="3524"/>
      <c r="Q3" s="3525"/>
      <c r="R3" s="3524"/>
      <c r="S3" s="3524"/>
      <c r="T3" s="3524"/>
      <c r="U3" s="3524"/>
      <c r="V3" s="3524"/>
      <c r="W3" s="3524"/>
      <c r="X3" s="3524"/>
      <c r="Y3" s="3524"/>
      <c r="Z3" s="3524"/>
      <c r="AA3" s="3524"/>
      <c r="AB3" s="3524"/>
      <c r="AC3" s="3524"/>
      <c r="AD3" s="3524"/>
      <c r="AE3" s="3524"/>
      <c r="AF3" s="3524"/>
      <c r="AG3" s="3524"/>
      <c r="AH3" s="3524"/>
      <c r="AI3" s="3524"/>
      <c r="AJ3" s="3524"/>
      <c r="AK3" s="3524"/>
      <c r="AL3" s="3524"/>
      <c r="AM3" s="3524"/>
      <c r="AN3" s="3524"/>
      <c r="AO3" s="3524"/>
    </row>
    <row r="4" spans="1:41" ht="14.25">
      <c r="A4" s="3529">
        <v>44805</v>
      </c>
      <c r="B4" s="3524" t="s">
        <v>4186</v>
      </c>
      <c r="C4" s="3524" t="s">
        <v>4187</v>
      </c>
      <c r="D4" s="3524" t="s">
        <v>4188</v>
      </c>
      <c r="E4" s="3524">
        <v>5.6</v>
      </c>
      <c r="F4" s="3524"/>
      <c r="G4" s="3524">
        <v>11530</v>
      </c>
      <c r="H4" s="3524"/>
      <c r="I4" s="3524"/>
      <c r="J4" s="3524">
        <v>48571</v>
      </c>
      <c r="K4" s="3524" t="s">
        <v>4189</v>
      </c>
      <c r="L4" s="3524" t="s">
        <v>4190</v>
      </c>
      <c r="M4" s="3524" t="s">
        <v>4191</v>
      </c>
      <c r="N4" s="3524" t="s">
        <v>4192</v>
      </c>
      <c r="O4" s="3524" t="s">
        <v>4193</v>
      </c>
      <c r="P4" s="3524" t="s">
        <v>4194</v>
      </c>
      <c r="Q4" s="3525"/>
      <c r="R4" s="3524"/>
      <c r="S4" s="3524"/>
      <c r="T4" s="3524"/>
      <c r="U4" s="3524"/>
      <c r="V4" s="3524"/>
      <c r="W4" s="3524"/>
      <c r="X4" s="3524"/>
      <c r="Y4" s="3524"/>
      <c r="Z4" s="3524"/>
      <c r="AA4" s="3524"/>
      <c r="AB4" s="3524"/>
      <c r="AC4" s="3524"/>
      <c r="AD4" s="3524"/>
      <c r="AE4" s="3524"/>
      <c r="AF4" s="3524"/>
      <c r="AG4" s="3524"/>
      <c r="AH4" s="3524"/>
      <c r="AI4" s="3524"/>
      <c r="AJ4" s="3524"/>
      <c r="AK4" s="3524"/>
      <c r="AL4" s="3524"/>
      <c r="AM4" s="3524"/>
      <c r="AN4" s="3524"/>
      <c r="AO4" s="3524"/>
    </row>
    <row r="5" spans="1:41" ht="14.25">
      <c r="A5" s="3529">
        <v>44805</v>
      </c>
      <c r="B5" s="3524" t="s">
        <v>4186</v>
      </c>
      <c r="C5" s="3524" t="s">
        <v>4195</v>
      </c>
      <c r="D5" s="3524" t="s">
        <v>4196</v>
      </c>
      <c r="E5" s="3524">
        <v>1.02</v>
      </c>
      <c r="F5" s="3524"/>
      <c r="G5" s="3524">
        <v>6164</v>
      </c>
      <c r="H5" s="3524"/>
      <c r="I5" s="3524"/>
      <c r="J5" s="3524">
        <v>16547</v>
      </c>
      <c r="K5" s="3524" t="s">
        <v>4189</v>
      </c>
      <c r="L5" s="3524" t="s">
        <v>4197</v>
      </c>
      <c r="M5" s="3524" t="s">
        <v>4198</v>
      </c>
      <c r="N5" s="3524"/>
      <c r="O5" s="3524" t="s">
        <v>4193</v>
      </c>
      <c r="P5" s="3524"/>
      <c r="Q5" s="3525"/>
      <c r="R5" s="3524"/>
      <c r="S5" s="3524"/>
      <c r="T5" s="3524"/>
      <c r="U5" s="3524"/>
      <c r="V5" s="3524"/>
      <c r="W5" s="3524"/>
      <c r="X5" s="3524"/>
      <c r="Y5" s="3524"/>
      <c r="Z5" s="3524"/>
      <c r="AA5" s="3524"/>
      <c r="AB5" s="3524"/>
      <c r="AC5" s="3524"/>
      <c r="AD5" s="3524"/>
      <c r="AE5" s="3524"/>
      <c r="AF5" s="3524"/>
      <c r="AG5" s="3524"/>
      <c r="AH5" s="3524"/>
      <c r="AI5" s="3524"/>
      <c r="AJ5" s="3524"/>
      <c r="AK5" s="3524"/>
      <c r="AL5" s="3524"/>
      <c r="AM5" s="3524"/>
      <c r="AN5" s="3524"/>
      <c r="AO5" s="3524"/>
    </row>
    <row r="6" spans="1:41" ht="14.25">
      <c r="A6" s="3529">
        <v>44743</v>
      </c>
      <c r="B6" s="3524" t="s">
        <v>4186</v>
      </c>
      <c r="C6" s="3524" t="s">
        <v>4199</v>
      </c>
      <c r="D6" s="3524" t="s">
        <v>4200</v>
      </c>
      <c r="E6" s="3524">
        <v>1.87</v>
      </c>
      <c r="F6" s="3524"/>
      <c r="G6" s="3524">
        <v>6296</v>
      </c>
      <c r="H6" s="3524"/>
      <c r="I6" s="3524"/>
      <c r="J6" s="3524">
        <v>29684</v>
      </c>
      <c r="K6" s="3524" t="s">
        <v>4189</v>
      </c>
      <c r="L6" s="3524" t="s">
        <v>4201</v>
      </c>
      <c r="M6" s="3524" t="s">
        <v>4202</v>
      </c>
      <c r="N6" s="3524" t="s">
        <v>4203</v>
      </c>
      <c r="O6" s="3524" t="s">
        <v>4193</v>
      </c>
      <c r="P6" s="3524" t="s">
        <v>4204</v>
      </c>
      <c r="Q6" s="3525"/>
      <c r="R6" s="3524"/>
      <c r="S6" s="3524"/>
      <c r="T6" s="3524"/>
      <c r="U6" s="3524"/>
      <c r="V6" s="3524"/>
      <c r="W6" s="3524"/>
      <c r="X6" s="3524"/>
      <c r="Y6" s="3524"/>
      <c r="Z6" s="3524"/>
      <c r="AA6" s="3524"/>
      <c r="AB6" s="3524"/>
      <c r="AC6" s="3524"/>
      <c r="AD6" s="3524"/>
      <c r="AE6" s="3524"/>
      <c r="AF6" s="3524"/>
      <c r="AG6" s="3524"/>
      <c r="AH6" s="3524"/>
      <c r="AI6" s="3524"/>
      <c r="AJ6" s="3524"/>
      <c r="AK6" s="3524"/>
      <c r="AL6" s="3524"/>
      <c r="AM6" s="3524"/>
      <c r="AN6" s="3524"/>
      <c r="AO6" s="3524"/>
    </row>
    <row r="7" spans="1:41" ht="28.5">
      <c r="A7" s="3529">
        <v>44743</v>
      </c>
      <c r="B7" s="3524" t="s">
        <v>4186</v>
      </c>
      <c r="C7" s="3524" t="s">
        <v>4205</v>
      </c>
      <c r="D7" s="3524" t="s">
        <v>4206</v>
      </c>
      <c r="E7" s="3524">
        <v>2.29</v>
      </c>
      <c r="F7" s="3524"/>
      <c r="G7" s="3524">
        <v>16520</v>
      </c>
      <c r="H7" s="3524"/>
      <c r="I7" s="3524"/>
      <c r="J7" s="3524">
        <v>13833</v>
      </c>
      <c r="K7" s="3524" t="s">
        <v>4189</v>
      </c>
      <c r="L7" s="3524" t="s">
        <v>4207</v>
      </c>
      <c r="M7" s="3524" t="s">
        <v>4208</v>
      </c>
      <c r="N7" s="3524" t="s">
        <v>4209</v>
      </c>
      <c r="O7" s="3524" t="s">
        <v>4193</v>
      </c>
      <c r="P7" s="3524"/>
      <c r="Q7" s="3525"/>
      <c r="R7" s="3524"/>
      <c r="S7" s="3524"/>
      <c r="T7" s="3524"/>
      <c r="U7" s="3524"/>
      <c r="V7" s="3524"/>
      <c r="W7" s="3524"/>
      <c r="X7" s="3524"/>
      <c r="Y7" s="3524"/>
      <c r="Z7" s="3524"/>
      <c r="AA7" s="3524"/>
      <c r="AB7" s="3524"/>
      <c r="AC7" s="3524"/>
      <c r="AD7" s="3524"/>
      <c r="AE7" s="3524"/>
      <c r="AF7" s="3524"/>
      <c r="AG7" s="3524"/>
      <c r="AH7" s="3524"/>
      <c r="AI7" s="3524"/>
      <c r="AJ7" s="3524"/>
      <c r="AK7" s="3524"/>
      <c r="AL7" s="3524"/>
      <c r="AM7" s="3524"/>
      <c r="AN7" s="3524"/>
      <c r="AO7" s="3524"/>
    </row>
    <row r="8" spans="1:41" ht="14.25">
      <c r="A8" s="3529">
        <v>44682</v>
      </c>
      <c r="B8" s="3524" t="s">
        <v>4186</v>
      </c>
      <c r="C8" s="3524" t="s">
        <v>4210</v>
      </c>
      <c r="D8" s="3524" t="s">
        <v>4196</v>
      </c>
      <c r="E8" s="3524">
        <v>1.55</v>
      </c>
      <c r="F8" s="3524"/>
      <c r="G8" s="3524">
        <v>5007</v>
      </c>
      <c r="H8" s="3524"/>
      <c r="I8" s="3524"/>
      <c r="J8" s="3524">
        <v>30874</v>
      </c>
      <c r="K8" s="3524" t="s">
        <v>4189</v>
      </c>
      <c r="L8" s="3524" t="s">
        <v>4197</v>
      </c>
      <c r="M8" s="3524" t="s">
        <v>4198</v>
      </c>
      <c r="N8" s="3524" t="s">
        <v>4203</v>
      </c>
      <c r="O8" s="3524" t="s">
        <v>4193</v>
      </c>
      <c r="P8" s="3524"/>
      <c r="Q8" s="3525"/>
      <c r="R8" s="3524"/>
      <c r="S8" s="3524"/>
      <c r="T8" s="3524"/>
      <c r="U8" s="3524"/>
      <c r="V8" s="3524"/>
      <c r="W8" s="3524"/>
      <c r="X8" s="3524"/>
      <c r="Y8" s="3524"/>
      <c r="Z8" s="3524"/>
      <c r="AA8" s="3524"/>
      <c r="AB8" s="3524"/>
      <c r="AC8" s="3524"/>
      <c r="AD8" s="3524"/>
      <c r="AE8" s="3524"/>
      <c r="AF8" s="3524"/>
      <c r="AG8" s="3524"/>
      <c r="AH8" s="3524"/>
      <c r="AI8" s="3524"/>
      <c r="AJ8" s="3524"/>
      <c r="AK8" s="3524"/>
      <c r="AL8" s="3524"/>
      <c r="AM8" s="3524"/>
      <c r="AN8" s="3524"/>
      <c r="AO8" s="3524"/>
    </row>
    <row r="9" spans="1:41" ht="28.5">
      <c r="A9" s="3530">
        <v>44652</v>
      </c>
      <c r="B9" s="3531" t="s">
        <v>4211</v>
      </c>
      <c r="C9" s="3531" t="s">
        <v>4212</v>
      </c>
      <c r="D9" s="3531" t="s">
        <v>4213</v>
      </c>
      <c r="E9" s="3531">
        <v>30</v>
      </c>
      <c r="F9" s="3531">
        <v>175969</v>
      </c>
      <c r="G9" s="3531"/>
      <c r="H9" s="3531"/>
      <c r="I9" s="3531">
        <v>34097</v>
      </c>
      <c r="J9" s="3531"/>
      <c r="K9" s="3531" t="s">
        <v>4183</v>
      </c>
      <c r="L9" s="3531" t="s">
        <v>4214</v>
      </c>
      <c r="M9" s="3531" t="s">
        <v>4215</v>
      </c>
      <c r="N9" s="3531"/>
      <c r="O9" s="3531" t="s">
        <v>4179</v>
      </c>
      <c r="P9" s="3531" t="s">
        <v>4204</v>
      </c>
      <c r="Q9" s="3532" t="s">
        <v>4216</v>
      </c>
      <c r="R9" s="3531"/>
      <c r="S9" s="3531"/>
      <c r="T9" s="3531"/>
      <c r="U9" s="3531"/>
      <c r="V9" s="3531"/>
      <c r="W9" s="3531"/>
      <c r="X9" s="3531"/>
      <c r="Y9" s="3531"/>
      <c r="Z9" s="3531"/>
      <c r="AA9" s="3531"/>
      <c r="AB9" s="3531"/>
      <c r="AC9" s="3531"/>
      <c r="AD9" s="3531"/>
      <c r="AE9" s="3531"/>
      <c r="AF9" s="3531"/>
      <c r="AG9" s="3531"/>
      <c r="AH9" s="3531"/>
      <c r="AI9" s="3531"/>
      <c r="AJ9" s="3531"/>
      <c r="AK9" s="3531"/>
      <c r="AL9" s="3531"/>
      <c r="AM9" s="3531"/>
      <c r="AN9" s="3531"/>
      <c r="AO9" s="3531"/>
    </row>
    <row r="10" spans="1:41" s="3539" customFormat="1" ht="28.5">
      <c r="A10" s="3536">
        <v>44713</v>
      </c>
      <c r="B10" s="3537" t="s">
        <v>4204</v>
      </c>
      <c r="C10" s="3537" t="s">
        <v>4217</v>
      </c>
      <c r="D10" s="3537" t="s">
        <v>4218</v>
      </c>
      <c r="E10" s="3537">
        <v>50.15</v>
      </c>
      <c r="F10" s="3537"/>
      <c r="G10" s="3537">
        <v>119000</v>
      </c>
      <c r="H10" s="3537"/>
      <c r="I10" s="3537"/>
      <c r="J10" s="3537">
        <v>42143</v>
      </c>
      <c r="K10" s="3537" t="s">
        <v>4183</v>
      </c>
      <c r="L10" s="3537" t="s">
        <v>4214</v>
      </c>
      <c r="M10" s="3537" t="s">
        <v>4219</v>
      </c>
      <c r="N10" s="3537"/>
      <c r="O10" s="3537" t="s">
        <v>4179</v>
      </c>
      <c r="P10" s="3537" t="s">
        <v>4204</v>
      </c>
      <c r="Q10" s="3538" t="s">
        <v>4220</v>
      </c>
      <c r="R10" s="3537"/>
      <c r="S10" s="3537"/>
      <c r="T10" s="3537"/>
      <c r="U10" s="3537"/>
      <c r="V10" s="3537"/>
      <c r="W10" s="3537"/>
      <c r="X10" s="3537"/>
      <c r="Y10" s="3537"/>
      <c r="Z10" s="3537"/>
      <c r="AA10" s="3537"/>
      <c r="AB10" s="3537"/>
      <c r="AC10" s="3537"/>
      <c r="AD10" s="3537"/>
      <c r="AE10" s="3537"/>
      <c r="AF10" s="3537"/>
      <c r="AG10" s="3537"/>
      <c r="AH10" s="3537"/>
      <c r="AI10" s="3537"/>
      <c r="AJ10" s="3537"/>
      <c r="AK10" s="3537"/>
      <c r="AL10" s="3537"/>
      <c r="AM10" s="3537"/>
      <c r="AN10" s="3537"/>
      <c r="AO10" s="3537"/>
    </row>
    <row r="11" spans="1:41" ht="42.75">
      <c r="A11" s="3529">
        <v>44562</v>
      </c>
      <c r="B11" s="3524" t="s">
        <v>4186</v>
      </c>
      <c r="C11" s="3524" t="s">
        <v>4221</v>
      </c>
      <c r="D11" s="3524" t="s">
        <v>4222</v>
      </c>
      <c r="E11" s="3524">
        <v>1.63</v>
      </c>
      <c r="F11" s="3524"/>
      <c r="G11" s="3524">
        <v>17264</v>
      </c>
      <c r="H11" s="3524"/>
      <c r="I11" s="3524"/>
      <c r="J11" s="3524">
        <v>9439</v>
      </c>
      <c r="K11" s="3524" t="s">
        <v>4189</v>
      </c>
      <c r="L11" s="3524" t="s">
        <v>4223</v>
      </c>
      <c r="M11" s="3524" t="s">
        <v>4224</v>
      </c>
      <c r="N11" s="3524" t="s">
        <v>4203</v>
      </c>
      <c r="O11" s="3524" t="s">
        <v>4193</v>
      </c>
      <c r="P11" s="3524"/>
      <c r="Q11" s="3525"/>
      <c r="R11" s="3524"/>
      <c r="S11" s="3524"/>
      <c r="T11" s="3524"/>
      <c r="U11" s="3524"/>
      <c r="V11" s="3524"/>
      <c r="W11" s="3524"/>
      <c r="X11" s="3524"/>
      <c r="Y11" s="3524"/>
      <c r="Z11" s="3524"/>
      <c r="AA11" s="3524"/>
      <c r="AB11" s="3524"/>
      <c r="AC11" s="3524"/>
      <c r="AD11" s="3524"/>
      <c r="AE11" s="3524"/>
      <c r="AF11" s="3524"/>
      <c r="AG11" s="3524"/>
      <c r="AH11" s="3524"/>
      <c r="AI11" s="3524"/>
      <c r="AJ11" s="3524"/>
      <c r="AK11" s="3524"/>
      <c r="AL11" s="3524"/>
      <c r="AM11" s="3524"/>
      <c r="AN11" s="3524"/>
      <c r="AO11" s="3524"/>
    </row>
    <row r="12" spans="1:41" ht="14.25">
      <c r="A12" s="3526">
        <v>44378</v>
      </c>
      <c r="B12" s="3527" t="s">
        <v>4173</v>
      </c>
      <c r="C12" s="3527" t="s">
        <v>4225</v>
      </c>
      <c r="D12" s="3527" t="s">
        <v>4213</v>
      </c>
      <c r="E12" s="3527">
        <v>16.45</v>
      </c>
      <c r="F12" s="3527"/>
      <c r="G12" s="3527">
        <v>41197</v>
      </c>
      <c r="H12" s="3527"/>
      <c r="I12" s="3527"/>
      <c r="J12" s="3527">
        <v>39930</v>
      </c>
      <c r="K12" s="3527"/>
      <c r="L12" s="3527"/>
      <c r="M12" s="3527"/>
      <c r="N12" s="3527"/>
      <c r="O12" s="3527" t="s">
        <v>4226</v>
      </c>
      <c r="P12" s="3527"/>
      <c r="Q12" t="s">
        <v>4227</v>
      </c>
      <c r="R12" s="3527"/>
      <c r="S12" s="3527"/>
      <c r="T12" s="3527"/>
      <c r="U12" s="3527"/>
      <c r="V12" s="3527"/>
      <c r="W12" s="3527"/>
      <c r="X12" s="3527"/>
      <c r="Y12" s="3527"/>
      <c r="Z12" s="3527"/>
      <c r="AA12" s="3527"/>
      <c r="AB12" s="3527"/>
      <c r="AC12" s="3527"/>
      <c r="AD12" s="3527"/>
      <c r="AE12" s="3527"/>
      <c r="AF12" s="3527"/>
      <c r="AG12" s="3527"/>
      <c r="AH12" s="3527"/>
      <c r="AI12" s="3527"/>
      <c r="AJ12" s="3527"/>
      <c r="AK12" s="3527"/>
      <c r="AL12" s="3527"/>
      <c r="AM12" s="3527"/>
      <c r="AN12" s="3527"/>
      <c r="AO12" s="3527"/>
    </row>
    <row r="13" spans="1:41" ht="28.5">
      <c r="A13" s="3526">
        <v>44348</v>
      </c>
      <c r="B13" s="3527" t="s">
        <v>4211</v>
      </c>
      <c r="C13" s="3527" t="s">
        <v>4228</v>
      </c>
      <c r="D13" s="3527" t="s">
        <v>4229</v>
      </c>
      <c r="E13" s="3527">
        <v>43.3</v>
      </c>
      <c r="F13" s="3527"/>
      <c r="G13" s="3527">
        <v>110996</v>
      </c>
      <c r="H13" s="3527"/>
      <c r="I13" s="3527"/>
      <c r="J13" s="3527">
        <v>55732</v>
      </c>
      <c r="K13" s="3527"/>
      <c r="L13" s="3527"/>
      <c r="M13" s="3527"/>
      <c r="N13" s="3527"/>
      <c r="O13" s="3527" t="s">
        <v>4226</v>
      </c>
      <c r="P13" s="3527" t="s">
        <v>4230</v>
      </c>
      <c r="Q13" s="3528" t="s">
        <v>4231</v>
      </c>
      <c r="R13" s="3527"/>
      <c r="S13" s="3527"/>
      <c r="T13" s="3527"/>
      <c r="U13" s="3527"/>
      <c r="V13" s="3527"/>
      <c r="W13" s="3527"/>
      <c r="X13" s="3527"/>
      <c r="Y13" s="3527"/>
      <c r="Z13" s="3527"/>
      <c r="AA13" s="3527"/>
      <c r="AB13" s="3527"/>
      <c r="AC13" s="3527"/>
      <c r="AD13" s="3527"/>
      <c r="AE13" s="3527"/>
      <c r="AF13" s="3527"/>
      <c r="AG13" s="3527"/>
      <c r="AH13" s="3527"/>
      <c r="AI13" s="3527"/>
      <c r="AJ13" s="3527"/>
      <c r="AK13" s="3527"/>
      <c r="AL13" s="3527"/>
      <c r="AM13" s="3527"/>
      <c r="AN13" s="3527"/>
      <c r="AO13" s="3527"/>
    </row>
    <row r="14" spans="1:41" ht="54">
      <c r="A14" s="3526">
        <v>44317</v>
      </c>
      <c r="B14" s="3527" t="s">
        <v>4173</v>
      </c>
      <c r="C14" s="3527" t="s">
        <v>4232</v>
      </c>
      <c r="D14" s="3527" t="s">
        <v>4233</v>
      </c>
      <c r="E14" s="3527">
        <v>40</v>
      </c>
      <c r="F14" s="3527"/>
      <c r="G14" s="3527">
        <v>100030</v>
      </c>
      <c r="H14" s="3527"/>
      <c r="I14" s="3527"/>
      <c r="J14" s="3527">
        <v>40000</v>
      </c>
      <c r="K14" s="3527"/>
      <c r="L14" s="3527"/>
      <c r="M14" s="3527"/>
      <c r="N14" s="3527"/>
      <c r="O14" s="3527" t="s">
        <v>4226</v>
      </c>
      <c r="P14" s="3527"/>
      <c r="Q14" s="3533" t="s">
        <v>4234</v>
      </c>
      <c r="R14" s="3527"/>
      <c r="S14" s="3527"/>
      <c r="T14" s="3527"/>
      <c r="U14" s="3527"/>
      <c r="V14" s="3527"/>
      <c r="W14" s="3527"/>
      <c r="X14" s="3527"/>
      <c r="Y14" s="3527"/>
      <c r="Z14" s="3527"/>
      <c r="AA14" s="3527"/>
      <c r="AB14" s="3527"/>
      <c r="AC14" s="3527"/>
      <c r="AD14" s="3527"/>
      <c r="AE14" s="3527"/>
      <c r="AF14" s="3527"/>
      <c r="AG14" s="3527"/>
      <c r="AH14" s="3527"/>
      <c r="AI14" s="3527"/>
      <c r="AJ14" s="3527"/>
      <c r="AK14" s="3527"/>
      <c r="AL14" s="3527"/>
      <c r="AM14" s="3527"/>
      <c r="AN14" s="3527"/>
      <c r="AO14" s="3527"/>
    </row>
    <row r="15" spans="1:41" ht="28.5">
      <c r="A15" s="3529">
        <v>44228</v>
      </c>
      <c r="B15" s="3524" t="s">
        <v>4173</v>
      </c>
      <c r="C15" s="3524" t="s">
        <v>4235</v>
      </c>
      <c r="D15" s="3524" t="s">
        <v>4236</v>
      </c>
      <c r="E15" s="3524">
        <v>25.64</v>
      </c>
      <c r="F15" s="3524"/>
      <c r="G15" s="3524"/>
      <c r="H15" s="3524"/>
      <c r="I15" s="3524"/>
      <c r="J15" s="3524"/>
      <c r="K15" s="3524"/>
      <c r="L15" s="3524"/>
      <c r="M15" s="3524"/>
      <c r="N15" s="3524"/>
      <c r="O15" s="3524" t="s">
        <v>4226</v>
      </c>
      <c r="P15" s="3524"/>
      <c r="Q15" s="3525"/>
      <c r="R15" s="3524"/>
      <c r="S15" s="3524"/>
      <c r="T15" s="3524"/>
      <c r="U15" s="3524"/>
      <c r="V15" s="3524"/>
      <c r="W15" s="3524"/>
      <c r="X15" s="3524"/>
      <c r="Y15" s="3524"/>
      <c r="Z15" s="3524"/>
      <c r="AA15" s="3524"/>
      <c r="AB15" s="3524"/>
      <c r="AC15" s="3524"/>
      <c r="AD15" s="3524"/>
      <c r="AE15" s="3524"/>
      <c r="AF15" s="3524"/>
      <c r="AG15" s="3524"/>
      <c r="AH15" s="3524"/>
      <c r="AI15" s="3524"/>
      <c r="AJ15" s="3524"/>
      <c r="AK15" s="3524"/>
      <c r="AL15" s="3524"/>
      <c r="AM15" s="3524"/>
      <c r="AN15" s="3524"/>
      <c r="AO15" s="3524"/>
    </row>
    <row r="16" spans="1:41" ht="57">
      <c r="A16" s="3529">
        <v>44193</v>
      </c>
      <c r="B16" s="3524" t="s">
        <v>4237</v>
      </c>
      <c r="C16" s="3524" t="s">
        <v>4238</v>
      </c>
      <c r="D16" s="3524" t="s">
        <v>4239</v>
      </c>
      <c r="E16" s="3524">
        <v>9</v>
      </c>
      <c r="F16" s="3524">
        <v>31811.75</v>
      </c>
      <c r="G16" s="3524">
        <v>20772.5</v>
      </c>
      <c r="H16" s="3524">
        <v>11039.25</v>
      </c>
      <c r="I16" s="3524">
        <v>28291</v>
      </c>
      <c r="J16" s="3524">
        <v>43327</v>
      </c>
      <c r="K16" s="3524"/>
      <c r="L16" s="3524" t="s">
        <v>4240</v>
      </c>
      <c r="M16" s="3524" t="s">
        <v>4241</v>
      </c>
      <c r="N16" s="3524"/>
      <c r="O16" s="3524" t="s">
        <v>4242</v>
      </c>
      <c r="P16" s="3524" t="s">
        <v>4243</v>
      </c>
      <c r="Q16" s="3525" t="s">
        <v>4244</v>
      </c>
      <c r="R16" s="3524"/>
      <c r="S16" s="3524"/>
      <c r="T16" s="3524"/>
      <c r="U16" s="3524"/>
      <c r="V16" s="3524"/>
      <c r="W16" s="3524"/>
      <c r="X16" s="3524"/>
      <c r="Y16" s="3524"/>
      <c r="Z16" s="3524"/>
      <c r="AA16" s="3524"/>
      <c r="AB16" s="3524"/>
      <c r="AC16" s="3524"/>
      <c r="AD16" s="3524"/>
      <c r="AE16" s="3524"/>
      <c r="AF16" s="3524"/>
      <c r="AG16" s="3524"/>
      <c r="AH16" s="3524"/>
      <c r="AI16" s="3524"/>
      <c r="AJ16" s="3524"/>
      <c r="AK16" s="3524"/>
      <c r="AL16" s="3524"/>
      <c r="AM16" s="3524"/>
      <c r="AN16" s="3524"/>
      <c r="AO16" s="3524"/>
    </row>
    <row r="17" spans="1:41" s="3502" customFormat="1" ht="28.5">
      <c r="A17" s="3530">
        <v>44187</v>
      </c>
      <c r="B17" s="3531" t="s">
        <v>4245</v>
      </c>
      <c r="C17" s="3531" t="s">
        <v>4246</v>
      </c>
      <c r="D17" s="3531" t="s">
        <v>4247</v>
      </c>
      <c r="E17" s="3531">
        <v>0</v>
      </c>
      <c r="F17" s="3531">
        <v>138263.04000000001</v>
      </c>
      <c r="G17" s="3531">
        <v>109309.91</v>
      </c>
      <c r="H17" s="3531">
        <v>28953.13</v>
      </c>
      <c r="I17" s="3531">
        <v>0</v>
      </c>
      <c r="J17" s="3531">
        <v>0</v>
      </c>
      <c r="K17" s="3531"/>
      <c r="L17" s="3531" t="s">
        <v>4248</v>
      </c>
      <c r="M17" s="3531" t="s">
        <v>4249</v>
      </c>
      <c r="N17" s="3531"/>
      <c r="O17" s="3531" t="s">
        <v>4242</v>
      </c>
      <c r="P17" s="3531" t="s">
        <v>4204</v>
      </c>
      <c r="Q17" s="3532" t="s">
        <v>4250</v>
      </c>
      <c r="R17" s="3531"/>
      <c r="S17" s="3531"/>
      <c r="T17" s="3531"/>
      <c r="U17" s="3531"/>
      <c r="V17" s="3531"/>
      <c r="W17" s="3531"/>
      <c r="X17" s="3531"/>
      <c r="Y17" s="3531"/>
      <c r="Z17" s="3531"/>
      <c r="AA17" s="3531"/>
      <c r="AB17" s="3531"/>
      <c r="AC17" s="3531"/>
      <c r="AD17" s="3531"/>
      <c r="AE17" s="3531"/>
      <c r="AF17" s="3531"/>
      <c r="AG17" s="3531"/>
      <c r="AH17" s="3531"/>
      <c r="AI17" s="3531"/>
      <c r="AJ17" s="3531"/>
      <c r="AK17" s="3531"/>
      <c r="AL17" s="3531"/>
      <c r="AM17" s="3531"/>
      <c r="AN17" s="3531"/>
      <c r="AO17" s="3531"/>
    </row>
    <row r="18" spans="1:41" s="3502" customFormat="1" ht="14.25">
      <c r="A18" s="3530">
        <v>44176</v>
      </c>
      <c r="B18" s="3531" t="s">
        <v>4251</v>
      </c>
      <c r="C18" s="3531" t="s">
        <v>4252</v>
      </c>
      <c r="D18" s="3531" t="s">
        <v>4253</v>
      </c>
      <c r="E18" s="3531">
        <v>0.38577940999999999</v>
      </c>
      <c r="F18" s="3531">
        <v>1204.4000000000001</v>
      </c>
      <c r="G18" s="3531">
        <v>802.93333333333339</v>
      </c>
      <c r="H18" s="3531">
        <v>401.4666666666667</v>
      </c>
      <c r="I18" s="3531">
        <v>32031</v>
      </c>
      <c r="J18" s="3531">
        <v>48046</v>
      </c>
      <c r="K18" s="3531"/>
      <c r="L18" s="3531" t="s">
        <v>4254</v>
      </c>
      <c r="M18" s="3531" t="s">
        <v>4255</v>
      </c>
      <c r="N18" s="3531"/>
      <c r="O18" s="3531" t="s">
        <v>4242</v>
      </c>
      <c r="P18" s="3531" t="s">
        <v>4256</v>
      </c>
      <c r="Q18" s="3532" t="s">
        <v>4257</v>
      </c>
      <c r="R18" s="3531"/>
      <c r="S18" s="3531"/>
      <c r="T18" s="3531"/>
      <c r="U18" s="3531"/>
      <c r="V18" s="3531"/>
      <c r="W18" s="3531"/>
      <c r="X18" s="3531"/>
      <c r="Y18" s="3531"/>
      <c r="Z18" s="3531"/>
      <c r="AA18" s="3531"/>
      <c r="AB18" s="3531"/>
      <c r="AC18" s="3531"/>
      <c r="AD18" s="3531"/>
      <c r="AE18" s="3531"/>
      <c r="AF18" s="3531"/>
      <c r="AG18" s="3531"/>
      <c r="AH18" s="3531"/>
      <c r="AI18" s="3531"/>
      <c r="AJ18" s="3531"/>
      <c r="AK18" s="3531"/>
      <c r="AL18" s="3531"/>
      <c r="AM18" s="3531"/>
      <c r="AN18" s="3531"/>
      <c r="AO18" s="3531"/>
    </row>
    <row r="19" spans="1:41" s="3502" customFormat="1" ht="42.75">
      <c r="A19" s="3530">
        <v>44170</v>
      </c>
      <c r="B19" s="3531" t="s">
        <v>4258</v>
      </c>
      <c r="C19" s="3531" t="s">
        <v>4259</v>
      </c>
      <c r="D19" s="3531" t="s">
        <v>4260</v>
      </c>
      <c r="E19" s="3531">
        <v>6.4594258399999998</v>
      </c>
      <c r="F19" s="3531">
        <v>29304.19</v>
      </c>
      <c r="G19" s="3531">
        <v>6574.91</v>
      </c>
      <c r="H19" s="3531">
        <v>22729.279999999999</v>
      </c>
      <c r="I19" s="3531">
        <v>22043</v>
      </c>
      <c r="J19" s="3531">
        <v>98244</v>
      </c>
      <c r="K19" s="3531"/>
      <c r="L19" s="3531" t="s">
        <v>4261</v>
      </c>
      <c r="M19" s="3531" t="s">
        <v>4262</v>
      </c>
      <c r="N19" s="3531"/>
      <c r="O19" s="3531" t="s">
        <v>4242</v>
      </c>
      <c r="P19" s="3531"/>
      <c r="Q19" s="3532" t="s">
        <v>4263</v>
      </c>
      <c r="R19" s="3531"/>
      <c r="S19" s="3531"/>
      <c r="T19" s="3531"/>
      <c r="U19" s="3531"/>
      <c r="V19" s="3531"/>
      <c r="W19" s="3531"/>
      <c r="X19" s="3531"/>
      <c r="Y19" s="3531"/>
      <c r="Z19" s="3531"/>
      <c r="AA19" s="3531"/>
      <c r="AB19" s="3531"/>
      <c r="AC19" s="3531"/>
      <c r="AD19" s="3531"/>
      <c r="AE19" s="3531"/>
      <c r="AF19" s="3531"/>
      <c r="AG19" s="3531"/>
      <c r="AH19" s="3531"/>
      <c r="AI19" s="3531"/>
      <c r="AJ19" s="3531"/>
      <c r="AK19" s="3531"/>
      <c r="AL19" s="3531"/>
      <c r="AM19" s="3531"/>
      <c r="AN19" s="3531"/>
      <c r="AO19" s="3531"/>
    </row>
    <row r="20" spans="1:41" ht="28.5">
      <c r="A20" s="3529">
        <v>44166</v>
      </c>
      <c r="B20" s="3524" t="s">
        <v>4264</v>
      </c>
      <c r="C20" s="3524" t="s">
        <v>4265</v>
      </c>
      <c r="D20" s="3524" t="s">
        <v>4266</v>
      </c>
      <c r="E20" s="3524">
        <v>9.8000000000000007</v>
      </c>
      <c r="F20" s="3534">
        <v>368625</v>
      </c>
      <c r="G20" s="3524"/>
      <c r="H20" s="3534"/>
      <c r="I20" s="3524" t="s">
        <v>4267</v>
      </c>
      <c r="J20" s="3524"/>
      <c r="K20" s="3524" t="s">
        <v>4268</v>
      </c>
      <c r="L20" s="3524" t="s">
        <v>4269</v>
      </c>
      <c r="M20" s="3524" t="s">
        <v>4270</v>
      </c>
      <c r="N20" s="3524"/>
      <c r="O20" s="3524" t="s">
        <v>4271</v>
      </c>
      <c r="P20" s="3524"/>
      <c r="Q20" s="3525"/>
      <c r="R20" s="3524"/>
      <c r="S20" s="3524"/>
      <c r="T20" s="3524"/>
      <c r="U20" s="3524"/>
      <c r="V20" s="3524"/>
      <c r="W20" s="3524"/>
      <c r="X20" s="3524"/>
      <c r="Y20" s="3524"/>
      <c r="Z20" s="3524"/>
      <c r="AA20" s="3524"/>
      <c r="AB20" s="3524"/>
      <c r="AC20" s="3524"/>
      <c r="AD20" s="3524"/>
      <c r="AE20" s="3524"/>
      <c r="AF20" s="3524"/>
      <c r="AG20" s="3524"/>
      <c r="AH20" s="3524"/>
      <c r="AI20" s="3524"/>
      <c r="AJ20" s="3524"/>
      <c r="AK20" s="3524"/>
      <c r="AL20" s="3524"/>
      <c r="AM20" s="3524"/>
      <c r="AN20" s="3524"/>
      <c r="AO20" s="3524"/>
    </row>
    <row r="21" spans="1:41" ht="14.25">
      <c r="A21" s="3529">
        <v>44152</v>
      </c>
      <c r="B21" s="3524" t="s">
        <v>673</v>
      </c>
      <c r="C21" s="3524" t="s">
        <v>4272</v>
      </c>
      <c r="D21" s="3524" t="s">
        <v>4273</v>
      </c>
      <c r="E21" s="3524">
        <v>0.21031</v>
      </c>
      <c r="F21" s="3524">
        <v>341.81</v>
      </c>
      <c r="G21" s="3524">
        <v>341.81</v>
      </c>
      <c r="H21" s="3524"/>
      <c r="I21" s="3524">
        <v>61528</v>
      </c>
      <c r="J21" s="3524">
        <v>61528</v>
      </c>
      <c r="K21" s="3524"/>
      <c r="L21" s="3524" t="s">
        <v>4254</v>
      </c>
      <c r="M21" s="3524" t="s">
        <v>4254</v>
      </c>
      <c r="N21" s="3524"/>
      <c r="O21" s="3524" t="s">
        <v>4242</v>
      </c>
      <c r="P21" s="3524"/>
      <c r="Q21" s="3525" t="s">
        <v>4274</v>
      </c>
      <c r="R21" s="3524"/>
      <c r="S21" s="3524"/>
      <c r="T21" s="3524"/>
      <c r="U21" s="3524"/>
      <c r="V21" s="3524"/>
      <c r="W21" s="3524"/>
      <c r="X21" s="3524"/>
      <c r="Y21" s="3524"/>
      <c r="Z21" s="3524"/>
      <c r="AA21" s="3524"/>
      <c r="AB21" s="3524"/>
      <c r="AC21" s="3524"/>
      <c r="AD21" s="3524"/>
      <c r="AE21" s="3524"/>
      <c r="AF21" s="3524"/>
      <c r="AG21" s="3524"/>
      <c r="AH21" s="3524"/>
      <c r="AI21" s="3524"/>
      <c r="AJ21" s="3524"/>
      <c r="AK21" s="3524"/>
      <c r="AL21" s="3524"/>
      <c r="AM21" s="3524"/>
      <c r="AN21" s="3524"/>
      <c r="AO21" s="3524"/>
    </row>
    <row r="22" spans="1:41" ht="14.25">
      <c r="A22" s="3529">
        <v>44152</v>
      </c>
      <c r="B22" s="3524" t="s">
        <v>673</v>
      </c>
      <c r="C22" s="3524" t="s">
        <v>4275</v>
      </c>
      <c r="D22" s="3524" t="s">
        <v>4273</v>
      </c>
      <c r="E22" s="3524">
        <v>0.14023473</v>
      </c>
      <c r="F22" s="3524">
        <v>148.19999999999999</v>
      </c>
      <c r="G22" s="3524">
        <v>148.19999999999999</v>
      </c>
      <c r="H22" s="3524"/>
      <c r="I22" s="3524">
        <v>94625</v>
      </c>
      <c r="J22" s="3524">
        <v>94625</v>
      </c>
      <c r="K22" s="3524"/>
      <c r="L22" s="3524" t="s">
        <v>4254</v>
      </c>
      <c r="M22" s="3524" t="s">
        <v>4254</v>
      </c>
      <c r="N22" s="3524"/>
      <c r="O22" s="3524" t="s">
        <v>4242</v>
      </c>
      <c r="P22" s="3524"/>
      <c r="Q22" s="3525"/>
      <c r="R22" s="3524"/>
      <c r="S22" s="3524"/>
      <c r="T22" s="3524"/>
      <c r="U22" s="3524"/>
      <c r="V22" s="3524"/>
      <c r="W22" s="3524"/>
      <c r="X22" s="3524"/>
      <c r="Y22" s="3524"/>
      <c r="Z22" s="3524"/>
      <c r="AA22" s="3524"/>
      <c r="AB22" s="3524"/>
      <c r="AC22" s="3524"/>
      <c r="AD22" s="3524"/>
      <c r="AE22" s="3524"/>
      <c r="AF22" s="3524"/>
      <c r="AG22" s="3524"/>
      <c r="AH22" s="3524"/>
      <c r="AI22" s="3524"/>
      <c r="AJ22" s="3524"/>
      <c r="AK22" s="3524"/>
      <c r="AL22" s="3524"/>
      <c r="AM22" s="3524"/>
      <c r="AN22" s="3524"/>
      <c r="AO22" s="3524"/>
    </row>
    <row r="23" spans="1:41" ht="42.75">
      <c r="A23" s="3529">
        <v>44044</v>
      </c>
      <c r="B23" s="3524" t="s">
        <v>4264</v>
      </c>
      <c r="C23" s="3524" t="s">
        <v>4276</v>
      </c>
      <c r="D23" s="3524" t="s">
        <v>4267</v>
      </c>
      <c r="E23" s="3524">
        <v>33.909566999999996</v>
      </c>
      <c r="F23" s="3534">
        <v>60700</v>
      </c>
      <c r="G23" s="3524"/>
      <c r="H23" s="3534"/>
      <c r="I23" s="3534">
        <v>55800</v>
      </c>
      <c r="J23" s="3524"/>
      <c r="K23" s="3524" t="s">
        <v>4277</v>
      </c>
      <c r="L23" s="3524" t="s">
        <v>4278</v>
      </c>
      <c r="M23" s="3524" t="s">
        <v>4279</v>
      </c>
      <c r="N23" s="3524"/>
      <c r="O23" s="3524" t="s">
        <v>4271</v>
      </c>
      <c r="P23" s="3524"/>
      <c r="Q23" s="3525"/>
      <c r="R23" s="3524"/>
      <c r="S23" s="3524"/>
      <c r="T23" s="3524"/>
      <c r="U23" s="3524"/>
      <c r="V23" s="3524"/>
      <c r="W23" s="3524"/>
      <c r="X23" s="3524"/>
      <c r="Y23" s="3524"/>
      <c r="Z23" s="3524"/>
      <c r="AA23" s="3524"/>
      <c r="AB23" s="3524"/>
      <c r="AC23" s="3524"/>
      <c r="AD23" s="3524"/>
      <c r="AE23" s="3524"/>
      <c r="AF23" s="3524"/>
      <c r="AG23" s="3524"/>
      <c r="AH23" s="3524"/>
      <c r="AI23" s="3524"/>
      <c r="AJ23" s="3524"/>
      <c r="AK23" s="3524"/>
      <c r="AL23" s="3524"/>
      <c r="AM23" s="3524"/>
      <c r="AN23" s="3524"/>
      <c r="AO23" s="3524"/>
    </row>
    <row r="24" spans="1:41" ht="28.5">
      <c r="A24" s="3530">
        <v>44044</v>
      </c>
      <c r="B24" s="3531" t="s">
        <v>4211</v>
      </c>
      <c r="C24" s="3531" t="s">
        <v>4280</v>
      </c>
      <c r="D24" s="3531" t="s">
        <v>4182</v>
      </c>
      <c r="E24" s="3531">
        <v>30</v>
      </c>
      <c r="F24" s="3531">
        <v>107339</v>
      </c>
      <c r="G24" s="3531"/>
      <c r="H24" s="3531"/>
      <c r="I24" s="3531">
        <v>27949</v>
      </c>
      <c r="J24" s="3531"/>
      <c r="K24" s="3531" t="s">
        <v>4183</v>
      </c>
      <c r="L24" s="3531" t="s">
        <v>4281</v>
      </c>
      <c r="M24" s="3531" t="s">
        <v>4282</v>
      </c>
      <c r="N24" s="3531"/>
      <c r="O24" s="3531" t="s">
        <v>4283</v>
      </c>
      <c r="P24" s="3531"/>
      <c r="Q24" s="3532" t="s">
        <v>4284</v>
      </c>
      <c r="R24" s="3531"/>
      <c r="S24" s="3524"/>
      <c r="T24" s="3524"/>
      <c r="U24" s="3524"/>
      <c r="V24" s="3524"/>
      <c r="W24" s="3524"/>
      <c r="X24" s="3524"/>
      <c r="Y24" s="3524"/>
      <c r="Z24" s="3524"/>
      <c r="AA24" s="3524"/>
      <c r="AB24" s="3524"/>
      <c r="AC24" s="3524"/>
      <c r="AD24" s="3524"/>
      <c r="AE24" s="3524"/>
      <c r="AF24" s="3524"/>
      <c r="AG24" s="3524"/>
      <c r="AH24" s="3524"/>
      <c r="AI24" s="3524"/>
      <c r="AJ24" s="3524"/>
      <c r="AK24" s="3524"/>
      <c r="AL24" s="3524"/>
      <c r="AM24" s="3524"/>
      <c r="AN24" s="3524"/>
      <c r="AO24" s="3524"/>
    </row>
    <row r="25" spans="1:41" s="3539" customFormat="1" ht="28.5">
      <c r="A25" s="3536">
        <v>44043</v>
      </c>
      <c r="B25" s="3537" t="s">
        <v>4285</v>
      </c>
      <c r="C25" s="3537" t="s">
        <v>4286</v>
      </c>
      <c r="D25" s="3537" t="s">
        <v>4253</v>
      </c>
      <c r="E25" s="3537">
        <v>33.598500000000001</v>
      </c>
      <c r="F25" s="3537">
        <v>74675.98</v>
      </c>
      <c r="G25" s="3537">
        <v>52048.62</v>
      </c>
      <c r="H25" s="3537">
        <v>22627.360000000001</v>
      </c>
      <c r="I25" s="3537">
        <v>44992</v>
      </c>
      <c r="J25" s="3537">
        <v>64552</v>
      </c>
      <c r="K25" s="3537"/>
      <c r="L25" s="3537" t="s">
        <v>4287</v>
      </c>
      <c r="M25" s="3537" t="s">
        <v>4288</v>
      </c>
      <c r="N25" s="3537"/>
      <c r="O25" s="3537" t="s">
        <v>4242</v>
      </c>
      <c r="P25" s="3537" t="s">
        <v>4204</v>
      </c>
      <c r="Q25" s="3538" t="s">
        <v>4289</v>
      </c>
      <c r="R25" s="3537"/>
      <c r="S25" s="3537"/>
      <c r="T25" s="3537"/>
      <c r="U25" s="3537"/>
      <c r="V25" s="3537"/>
      <c r="W25" s="3537"/>
      <c r="X25" s="3537"/>
      <c r="Y25" s="3537"/>
      <c r="Z25" s="3537"/>
      <c r="AA25" s="3537"/>
      <c r="AB25" s="3537"/>
      <c r="AC25" s="3537"/>
      <c r="AD25" s="3537"/>
      <c r="AE25" s="3537"/>
      <c r="AF25" s="3537"/>
      <c r="AG25" s="3537"/>
      <c r="AH25" s="3537"/>
      <c r="AI25" s="3537"/>
      <c r="AJ25" s="3537"/>
      <c r="AK25" s="3537"/>
      <c r="AL25" s="3537"/>
      <c r="AM25" s="3537"/>
      <c r="AN25" s="3537"/>
      <c r="AO25" s="3537"/>
    </row>
    <row r="26" spans="1:41" ht="28.5">
      <c r="A26" s="3529">
        <v>44036</v>
      </c>
      <c r="B26" s="3524" t="s">
        <v>673</v>
      </c>
      <c r="C26" s="3524" t="s">
        <v>4290</v>
      </c>
      <c r="D26" s="3524" t="s">
        <v>4291</v>
      </c>
      <c r="E26" s="3524">
        <v>0.14455000000000001</v>
      </c>
      <c r="F26" s="3524">
        <v>1014.86</v>
      </c>
      <c r="G26" s="3524">
        <v>1014.86</v>
      </c>
      <c r="H26" s="3524"/>
      <c r="I26" s="3524">
        <v>14243</v>
      </c>
      <c r="J26" s="3524">
        <v>14243</v>
      </c>
      <c r="K26" s="3524"/>
      <c r="L26" s="3524" t="s">
        <v>4292</v>
      </c>
      <c r="M26" s="3524" t="s">
        <v>4293</v>
      </c>
      <c r="N26" s="3524"/>
      <c r="O26" s="3524" t="s">
        <v>4242</v>
      </c>
      <c r="P26" s="3524" t="s">
        <v>4204</v>
      </c>
      <c r="Q26" s="3525" t="s">
        <v>4294</v>
      </c>
      <c r="R26" s="3524"/>
      <c r="S26" s="3524"/>
      <c r="T26" s="3524"/>
      <c r="U26" s="3524"/>
      <c r="V26" s="3524"/>
      <c r="W26" s="3524"/>
      <c r="X26" s="3524"/>
      <c r="Y26" s="3524"/>
      <c r="Z26" s="3524"/>
      <c r="AA26" s="3524"/>
      <c r="AB26" s="3524"/>
      <c r="AC26" s="3524"/>
      <c r="AD26" s="3524"/>
      <c r="AE26" s="3524"/>
      <c r="AF26" s="3524"/>
      <c r="AG26" s="3524"/>
      <c r="AH26" s="3524"/>
      <c r="AI26" s="3524"/>
      <c r="AJ26" s="3524"/>
      <c r="AK26" s="3524"/>
      <c r="AL26" s="3524"/>
      <c r="AM26" s="3524"/>
      <c r="AN26" s="3524"/>
      <c r="AO26" s="3524"/>
    </row>
    <row r="27" spans="1:41" ht="14.25">
      <c r="A27" s="3529">
        <v>44030</v>
      </c>
      <c r="B27" s="3524" t="s">
        <v>673</v>
      </c>
      <c r="C27" s="3524" t="s">
        <v>4295</v>
      </c>
      <c r="D27" s="3524" t="s">
        <v>4296</v>
      </c>
      <c r="E27" s="3524">
        <v>9.2249999999999999E-2</v>
      </c>
      <c r="F27" s="3524">
        <v>363.59</v>
      </c>
      <c r="G27" s="3524"/>
      <c r="H27" s="3524"/>
      <c r="I27" s="3524">
        <v>25372</v>
      </c>
      <c r="J27" s="3524" t="e">
        <v>#DIV/0!</v>
      </c>
      <c r="K27" s="3524"/>
      <c r="L27" s="3524" t="s">
        <v>4292</v>
      </c>
      <c r="M27" s="3524" t="s">
        <v>4254</v>
      </c>
      <c r="N27" s="3524"/>
      <c r="O27" s="3524" t="s">
        <v>4242</v>
      </c>
      <c r="P27" s="3524"/>
      <c r="Q27" s="3525" t="s">
        <v>4297</v>
      </c>
      <c r="R27" s="3524"/>
      <c r="S27" s="3524"/>
      <c r="T27" s="3524"/>
      <c r="U27" s="3524"/>
      <c r="V27" s="3524"/>
      <c r="W27" s="3524"/>
      <c r="X27" s="3524"/>
      <c r="Y27" s="3524"/>
      <c r="Z27" s="3524"/>
      <c r="AA27" s="3524"/>
      <c r="AB27" s="3524"/>
      <c r="AC27" s="3524"/>
      <c r="AD27" s="3524"/>
      <c r="AE27" s="3524"/>
      <c r="AF27" s="3524"/>
      <c r="AG27" s="3524"/>
      <c r="AH27" s="3524"/>
      <c r="AI27" s="3524"/>
      <c r="AJ27" s="3524"/>
      <c r="AK27" s="3524"/>
      <c r="AL27" s="3524"/>
      <c r="AM27" s="3524"/>
      <c r="AN27" s="3524"/>
      <c r="AO27" s="3524"/>
    </row>
    <row r="28" spans="1:41" ht="14.25">
      <c r="A28" s="3529">
        <v>44028</v>
      </c>
      <c r="B28" s="3524" t="s">
        <v>673</v>
      </c>
      <c r="C28" s="3524" t="s">
        <v>4298</v>
      </c>
      <c r="D28" s="3524" t="s">
        <v>4299</v>
      </c>
      <c r="E28" s="3524">
        <v>9.0984767999999994E-2</v>
      </c>
      <c r="F28" s="3524">
        <v>213.78</v>
      </c>
      <c r="G28" s="3524"/>
      <c r="H28" s="3524"/>
      <c r="I28" s="3524">
        <v>42560</v>
      </c>
      <c r="J28" s="3524" t="e">
        <v>#DIV/0!</v>
      </c>
      <c r="K28" s="3524"/>
      <c r="L28" s="3524" t="s">
        <v>4292</v>
      </c>
      <c r="M28" s="3524" t="s">
        <v>4254</v>
      </c>
      <c r="N28" s="3524"/>
      <c r="O28" s="3524" t="s">
        <v>4242</v>
      </c>
      <c r="P28" s="3524"/>
      <c r="Q28" s="3525" t="s">
        <v>4300</v>
      </c>
      <c r="R28" s="3524"/>
      <c r="S28" s="3524"/>
      <c r="T28" s="3524"/>
      <c r="U28" s="3524"/>
      <c r="V28" s="3524"/>
      <c r="W28" s="3524"/>
      <c r="X28" s="3524"/>
      <c r="Y28" s="3524"/>
      <c r="Z28" s="3524"/>
      <c r="AA28" s="3524"/>
      <c r="AB28" s="3524"/>
      <c r="AC28" s="3524"/>
      <c r="AD28" s="3524"/>
      <c r="AE28" s="3524"/>
      <c r="AF28" s="3524"/>
      <c r="AG28" s="3524"/>
      <c r="AH28" s="3524"/>
      <c r="AI28" s="3524"/>
      <c r="AJ28" s="3524"/>
      <c r="AK28" s="3524"/>
      <c r="AL28" s="3524"/>
      <c r="AM28" s="3524"/>
      <c r="AN28" s="3524"/>
      <c r="AO28" s="3524"/>
    </row>
    <row r="29" spans="1:41" ht="14.25">
      <c r="A29" s="3529">
        <v>44026</v>
      </c>
      <c r="B29" s="3524" t="s">
        <v>4285</v>
      </c>
      <c r="C29" s="3524" t="s">
        <v>4301</v>
      </c>
      <c r="D29" s="3524" t="s">
        <v>4302</v>
      </c>
      <c r="E29" s="3524">
        <v>1.274</v>
      </c>
      <c r="F29" s="3524">
        <v>1481.36</v>
      </c>
      <c r="G29" s="3524">
        <v>1481.36</v>
      </c>
      <c r="H29" s="3524"/>
      <c r="I29" s="3524">
        <v>86000</v>
      </c>
      <c r="J29" s="3524">
        <v>86000</v>
      </c>
      <c r="K29" s="3524"/>
      <c r="L29" s="3524" t="s">
        <v>4303</v>
      </c>
      <c r="M29" s="3524"/>
      <c r="N29" s="3524"/>
      <c r="O29" s="3524" t="s">
        <v>4242</v>
      </c>
      <c r="P29" s="3524"/>
      <c r="Q29" s="3525" t="s">
        <v>4304</v>
      </c>
      <c r="R29" s="3524"/>
      <c r="S29" s="3524"/>
      <c r="T29" s="3524"/>
      <c r="U29" s="3524"/>
      <c r="V29" s="3524"/>
      <c r="W29" s="3524"/>
      <c r="X29" s="3524"/>
      <c r="Y29" s="3524"/>
      <c r="Z29" s="3524"/>
      <c r="AA29" s="3524"/>
      <c r="AB29" s="3524"/>
      <c r="AC29" s="3524"/>
      <c r="AD29" s="3524"/>
      <c r="AE29" s="3524"/>
      <c r="AF29" s="3524"/>
      <c r="AG29" s="3524"/>
      <c r="AH29" s="3524"/>
      <c r="AI29" s="3524"/>
      <c r="AJ29" s="3524"/>
      <c r="AK29" s="3524"/>
      <c r="AL29" s="3524"/>
      <c r="AM29" s="3524"/>
      <c r="AN29" s="3524"/>
      <c r="AO29" s="3524"/>
    </row>
    <row r="30" spans="1:41" s="3539" customFormat="1" ht="14.25">
      <c r="A30" s="3536">
        <v>44025</v>
      </c>
      <c r="B30" s="3537" t="s">
        <v>4285</v>
      </c>
      <c r="C30" s="3537" t="s">
        <v>4305</v>
      </c>
      <c r="D30" s="3537" t="s">
        <v>4306</v>
      </c>
      <c r="E30" s="3537">
        <v>10.483000000000001</v>
      </c>
      <c r="F30" s="3537">
        <v>25377.580000000042</v>
      </c>
      <c r="G30" s="3537">
        <v>24955.180000000029</v>
      </c>
      <c r="H30" s="3537">
        <v>422.40000000001237</v>
      </c>
      <c r="I30" s="3537">
        <v>41308</v>
      </c>
      <c r="J30" s="3537">
        <v>42007</v>
      </c>
      <c r="K30" s="3537"/>
      <c r="L30" s="3537" t="s">
        <v>4307</v>
      </c>
      <c r="M30" s="3537"/>
      <c r="N30" s="3537"/>
      <c r="O30" s="3537" t="s">
        <v>4242</v>
      </c>
      <c r="P30" s="3537" t="s">
        <v>4204</v>
      </c>
      <c r="Q30" s="3538" t="s">
        <v>4308</v>
      </c>
      <c r="R30" s="3537"/>
      <c r="S30" s="3537"/>
      <c r="T30" s="3537"/>
      <c r="U30" s="3537"/>
      <c r="V30" s="3537"/>
      <c r="W30" s="3537"/>
      <c r="X30" s="3537"/>
      <c r="Y30" s="3537"/>
      <c r="Z30" s="3537"/>
      <c r="AA30" s="3537"/>
      <c r="AB30" s="3537"/>
      <c r="AC30" s="3537"/>
      <c r="AD30" s="3537"/>
      <c r="AE30" s="3537"/>
      <c r="AF30" s="3537"/>
      <c r="AG30" s="3537"/>
      <c r="AH30" s="3537"/>
      <c r="AI30" s="3537"/>
      <c r="AJ30" s="3537"/>
      <c r="AK30" s="3537"/>
      <c r="AL30" s="3537"/>
      <c r="AM30" s="3537"/>
      <c r="AN30" s="3537"/>
      <c r="AO30" s="3537"/>
    </row>
    <row r="31" spans="1:41" s="3539" customFormat="1" ht="14.25">
      <c r="A31" s="3536">
        <v>44012</v>
      </c>
      <c r="B31" s="3537" t="s">
        <v>673</v>
      </c>
      <c r="C31" s="3537" t="s">
        <v>4309</v>
      </c>
      <c r="D31" s="3537" t="s">
        <v>4239</v>
      </c>
      <c r="E31" s="3537">
        <v>0.45240000000000002</v>
      </c>
      <c r="F31" s="3537">
        <v>1555.86</v>
      </c>
      <c r="G31" s="3537">
        <v>1555.86</v>
      </c>
      <c r="H31" s="3537"/>
      <c r="I31" s="3537">
        <v>29077</v>
      </c>
      <c r="J31" s="3537">
        <v>29077</v>
      </c>
      <c r="K31" s="3537"/>
      <c r="L31" s="3537" t="s">
        <v>4292</v>
      </c>
      <c r="M31" s="3537" t="s">
        <v>4310</v>
      </c>
      <c r="N31" s="3537"/>
      <c r="O31" s="3537" t="s">
        <v>4242</v>
      </c>
      <c r="P31" s="3537"/>
      <c r="Q31" s="3538" t="s">
        <v>4311</v>
      </c>
      <c r="R31" s="3537"/>
      <c r="S31" s="3537"/>
      <c r="T31" s="3537"/>
      <c r="U31" s="3537"/>
      <c r="V31" s="3537"/>
      <c r="W31" s="3537"/>
      <c r="X31" s="3537"/>
      <c r="Y31" s="3537"/>
      <c r="Z31" s="3537"/>
      <c r="AA31" s="3537"/>
      <c r="AB31" s="3537"/>
      <c r="AC31" s="3537"/>
      <c r="AD31" s="3537"/>
      <c r="AE31" s="3537"/>
      <c r="AF31" s="3537"/>
      <c r="AG31" s="3537"/>
      <c r="AH31" s="3537"/>
      <c r="AI31" s="3537"/>
      <c r="AJ31" s="3537"/>
      <c r="AK31" s="3537"/>
      <c r="AL31" s="3537"/>
      <c r="AM31" s="3537"/>
      <c r="AN31" s="3537"/>
      <c r="AO31" s="3537"/>
    </row>
    <row r="32" spans="1:41" ht="28.5">
      <c r="A32" s="3529">
        <v>44001</v>
      </c>
      <c r="B32" s="3524" t="s">
        <v>673</v>
      </c>
      <c r="C32" s="3524" t="s">
        <v>4312</v>
      </c>
      <c r="D32" s="3524" t="s">
        <v>4313</v>
      </c>
      <c r="E32" s="3524">
        <v>0.66459999999999997</v>
      </c>
      <c r="F32" s="3524">
        <v>1398.91</v>
      </c>
      <c r="G32" s="3524">
        <v>1398.91</v>
      </c>
      <c r="H32" s="3524"/>
      <c r="I32" s="3524">
        <v>47508</v>
      </c>
      <c r="J32" s="3524">
        <v>47508</v>
      </c>
      <c r="K32" s="3524"/>
      <c r="L32" s="3524" t="s">
        <v>4254</v>
      </c>
      <c r="M32" s="3524" t="s">
        <v>4254</v>
      </c>
      <c r="N32" s="3524"/>
      <c r="O32" s="3524" t="s">
        <v>4242</v>
      </c>
      <c r="P32" s="3524"/>
      <c r="Q32" s="3525" t="s">
        <v>4314</v>
      </c>
      <c r="R32" s="3524"/>
      <c r="S32" s="3524"/>
      <c r="T32" s="3524"/>
      <c r="U32" s="3524"/>
      <c r="V32" s="3524"/>
      <c r="W32" s="3524"/>
      <c r="X32" s="3524"/>
      <c r="Y32" s="3524"/>
      <c r="Z32" s="3524"/>
      <c r="AA32" s="3524"/>
      <c r="AB32" s="3524"/>
      <c r="AC32" s="3524"/>
      <c r="AD32" s="3524"/>
      <c r="AE32" s="3524"/>
      <c r="AF32" s="3524"/>
      <c r="AG32" s="3524"/>
      <c r="AH32" s="3524"/>
      <c r="AI32" s="3524"/>
      <c r="AJ32" s="3524"/>
      <c r="AK32" s="3524"/>
      <c r="AL32" s="3524"/>
      <c r="AM32" s="3524"/>
      <c r="AN32" s="3524"/>
      <c r="AO32" s="3524"/>
    </row>
    <row r="33" spans="1:41" ht="14.25">
      <c r="A33" s="3529">
        <v>43997</v>
      </c>
      <c r="B33" s="3524" t="s">
        <v>673</v>
      </c>
      <c r="C33" s="3524" t="s">
        <v>4315</v>
      </c>
      <c r="D33" s="3524" t="s">
        <v>4316</v>
      </c>
      <c r="E33" s="3524">
        <v>0.39108832000000004</v>
      </c>
      <c r="F33" s="3524">
        <v>905.35</v>
      </c>
      <c r="G33" s="3524">
        <v>905.35</v>
      </c>
      <c r="H33" s="3524"/>
      <c r="I33" s="3524">
        <v>43197</v>
      </c>
      <c r="J33" s="3524">
        <v>43197</v>
      </c>
      <c r="K33" s="3524"/>
      <c r="L33" s="3524" t="s">
        <v>4254</v>
      </c>
      <c r="M33" s="3524" t="s">
        <v>4317</v>
      </c>
      <c r="N33" s="3524"/>
      <c r="O33" s="3524" t="s">
        <v>4242</v>
      </c>
      <c r="P33" s="3524"/>
      <c r="Q33" s="3525" t="s">
        <v>4318</v>
      </c>
      <c r="R33" s="3524"/>
      <c r="S33" s="3524"/>
      <c r="T33" s="3524"/>
      <c r="U33" s="3524"/>
      <c r="V33" s="3524"/>
      <c r="W33" s="3524"/>
      <c r="X33" s="3524"/>
      <c r="Y33" s="3524"/>
      <c r="Z33" s="3524"/>
      <c r="AA33" s="3524"/>
      <c r="AB33" s="3524"/>
      <c r="AC33" s="3524"/>
      <c r="AD33" s="3524"/>
      <c r="AE33" s="3524"/>
      <c r="AF33" s="3524"/>
      <c r="AG33" s="3524"/>
      <c r="AH33" s="3524"/>
      <c r="AI33" s="3524"/>
      <c r="AJ33" s="3524"/>
      <c r="AK33" s="3524"/>
      <c r="AL33" s="3524"/>
      <c r="AM33" s="3524"/>
      <c r="AN33" s="3524"/>
      <c r="AO33" s="3524"/>
    </row>
    <row r="34" spans="1:41" ht="42.75">
      <c r="A34" s="3529">
        <v>43983</v>
      </c>
      <c r="B34" s="3524" t="s">
        <v>4319</v>
      </c>
      <c r="C34" s="3524" t="s">
        <v>4320</v>
      </c>
      <c r="D34" s="3524"/>
      <c r="E34" s="3524">
        <v>4.97</v>
      </c>
      <c r="F34" s="3534">
        <v>84900</v>
      </c>
      <c r="G34" s="3524"/>
      <c r="H34" s="3524"/>
      <c r="I34" s="3524" t="s">
        <v>4267</v>
      </c>
      <c r="J34" s="3524"/>
      <c r="K34" s="3524" t="s">
        <v>4268</v>
      </c>
      <c r="L34" s="3524" t="s">
        <v>4321</v>
      </c>
      <c r="M34" s="3524" t="s">
        <v>4322</v>
      </c>
      <c r="N34" s="3524"/>
      <c r="O34" s="3524" t="s">
        <v>4271</v>
      </c>
      <c r="P34" s="3524"/>
      <c r="Q34" s="3525"/>
      <c r="R34" s="3524"/>
      <c r="S34" s="3524"/>
      <c r="T34" s="3524"/>
      <c r="U34" s="3524"/>
      <c r="V34" s="3524"/>
      <c r="W34" s="3524"/>
      <c r="X34" s="3524"/>
      <c r="Y34" s="3524"/>
      <c r="Z34" s="3524"/>
      <c r="AA34" s="3524"/>
      <c r="AB34" s="3524"/>
      <c r="AC34" s="3524"/>
      <c r="AD34" s="3524"/>
      <c r="AE34" s="3524"/>
      <c r="AF34" s="3524"/>
      <c r="AG34" s="3524"/>
      <c r="AH34" s="3524"/>
      <c r="AI34" s="3524"/>
      <c r="AJ34" s="3524"/>
      <c r="AK34" s="3524"/>
      <c r="AL34" s="3524"/>
      <c r="AM34" s="3524"/>
      <c r="AN34" s="3524"/>
      <c r="AO34" s="3524"/>
    </row>
    <row r="35" spans="1:41" ht="42.75">
      <c r="A35" s="3529">
        <v>43973</v>
      </c>
      <c r="B35" s="3524" t="s">
        <v>4323</v>
      </c>
      <c r="C35" s="3524" t="s">
        <v>4324</v>
      </c>
      <c r="D35" s="3524" t="s">
        <v>4325</v>
      </c>
      <c r="E35" s="3524">
        <v>13.59296</v>
      </c>
      <c r="F35" s="3524">
        <v>45935.14</v>
      </c>
      <c r="G35" s="3524">
        <v>36500.58</v>
      </c>
      <c r="H35" s="3524">
        <v>9434.56</v>
      </c>
      <c r="I35" s="3524">
        <v>29592</v>
      </c>
      <c r="J35" s="3524">
        <v>37240</v>
      </c>
      <c r="K35" s="3524"/>
      <c r="L35" s="3524" t="s">
        <v>4326</v>
      </c>
      <c r="M35" s="3524" t="s">
        <v>4327</v>
      </c>
      <c r="N35" s="3524"/>
      <c r="O35" s="3524" t="s">
        <v>4242</v>
      </c>
      <c r="P35" s="3524"/>
      <c r="Q35" s="3525" t="s">
        <v>4328</v>
      </c>
      <c r="R35" s="3524"/>
      <c r="S35" s="3524"/>
      <c r="T35" s="3524"/>
      <c r="U35" s="3524"/>
      <c r="V35" s="3524"/>
      <c r="W35" s="3524"/>
      <c r="X35" s="3524"/>
      <c r="Y35" s="3524"/>
      <c r="Z35" s="3524"/>
      <c r="AA35" s="3524"/>
      <c r="AB35" s="3524"/>
      <c r="AC35" s="3524"/>
      <c r="AD35" s="3524"/>
      <c r="AE35" s="3524"/>
      <c r="AF35" s="3524"/>
      <c r="AG35" s="3524"/>
      <c r="AH35" s="3524"/>
      <c r="AI35" s="3524"/>
      <c r="AJ35" s="3524"/>
      <c r="AK35" s="3524"/>
      <c r="AL35" s="3524"/>
      <c r="AM35" s="3524"/>
      <c r="AN35" s="3524"/>
      <c r="AO35" s="3524"/>
    </row>
    <row r="36" spans="1:41" s="3539" customFormat="1" ht="14.25">
      <c r="A36" s="3536">
        <v>43952</v>
      </c>
      <c r="B36" s="3537" t="s">
        <v>673</v>
      </c>
      <c r="C36" s="3537" t="s">
        <v>4329</v>
      </c>
      <c r="D36" s="3537" t="s">
        <v>4330</v>
      </c>
      <c r="E36" s="3537">
        <v>16.5</v>
      </c>
      <c r="F36" s="3537">
        <v>59406</v>
      </c>
      <c r="G36" s="3537"/>
      <c r="H36" s="3537"/>
      <c r="I36" s="3537">
        <v>33000</v>
      </c>
      <c r="J36" s="3537"/>
      <c r="K36" s="3537" t="s">
        <v>4176</v>
      </c>
      <c r="L36" s="3537" t="s">
        <v>4331</v>
      </c>
      <c r="M36" s="3537" t="s">
        <v>4332</v>
      </c>
      <c r="N36" s="3537"/>
      <c r="O36" s="3537" t="s">
        <v>4226</v>
      </c>
      <c r="P36" s="3537"/>
      <c r="Q36" s="3538"/>
      <c r="R36" s="3537"/>
      <c r="S36" s="3537"/>
      <c r="T36" s="3537"/>
      <c r="U36" s="3537"/>
      <c r="V36" s="3537"/>
      <c r="W36" s="3537"/>
      <c r="X36" s="3537"/>
      <c r="Y36" s="3537"/>
      <c r="Z36" s="3537"/>
      <c r="AA36" s="3537"/>
      <c r="AB36" s="3537"/>
      <c r="AC36" s="3537"/>
      <c r="AD36" s="3537"/>
      <c r="AE36" s="3537"/>
      <c r="AF36" s="3537"/>
      <c r="AG36" s="3537"/>
      <c r="AH36" s="3537"/>
      <c r="AI36" s="3537"/>
      <c r="AJ36" s="3537"/>
      <c r="AK36" s="3537"/>
      <c r="AL36" s="3537"/>
      <c r="AM36" s="3537"/>
      <c r="AN36" s="3537"/>
      <c r="AO36" s="3537"/>
    </row>
    <row r="37" spans="1:41" s="3539" customFormat="1" ht="14.25">
      <c r="A37" s="3536">
        <v>43949</v>
      </c>
      <c r="B37" s="3537" t="s">
        <v>4285</v>
      </c>
      <c r="C37" s="3537" t="s">
        <v>4333</v>
      </c>
      <c r="D37" s="3537" t="s">
        <v>4306</v>
      </c>
      <c r="E37" s="3537">
        <v>7.2709999999999999</v>
      </c>
      <c r="F37" s="3537">
        <v>12407.430000000002</v>
      </c>
      <c r="G37" s="3537">
        <v>12407.430000000002</v>
      </c>
      <c r="H37" s="3537"/>
      <c r="I37" s="3537">
        <v>58602</v>
      </c>
      <c r="J37" s="3537">
        <v>58602</v>
      </c>
      <c r="K37" s="3537"/>
      <c r="L37" s="3537" t="s">
        <v>4307</v>
      </c>
      <c r="M37" s="3537"/>
      <c r="N37" s="3537"/>
      <c r="O37" s="3537" t="s">
        <v>4242</v>
      </c>
      <c r="P37" s="3537" t="s">
        <v>4204</v>
      </c>
      <c r="Q37" s="3538" t="s">
        <v>4334</v>
      </c>
      <c r="R37" s="3537"/>
      <c r="S37" s="3537"/>
      <c r="T37" s="3537"/>
      <c r="U37" s="3537"/>
      <c r="V37" s="3537"/>
      <c r="W37" s="3537"/>
      <c r="X37" s="3537"/>
      <c r="Y37" s="3537"/>
      <c r="Z37" s="3537"/>
      <c r="AA37" s="3537"/>
      <c r="AB37" s="3537"/>
      <c r="AC37" s="3537"/>
      <c r="AD37" s="3537"/>
      <c r="AE37" s="3537"/>
      <c r="AF37" s="3537"/>
      <c r="AG37" s="3537"/>
      <c r="AH37" s="3537"/>
      <c r="AI37" s="3537"/>
      <c r="AJ37" s="3537"/>
      <c r="AK37" s="3537"/>
      <c r="AL37" s="3537"/>
      <c r="AM37" s="3537"/>
      <c r="AN37" s="3537"/>
      <c r="AO37" s="3537"/>
    </row>
    <row r="38" spans="1:41" s="3539" customFormat="1" ht="57">
      <c r="A38" s="3536">
        <v>43922</v>
      </c>
      <c r="B38" s="3537" t="s">
        <v>4264</v>
      </c>
      <c r="C38" s="3537" t="s">
        <v>4335</v>
      </c>
      <c r="D38" s="3537" t="s">
        <v>4267</v>
      </c>
      <c r="E38" s="3537">
        <v>12</v>
      </c>
      <c r="F38" s="3540">
        <v>27564</v>
      </c>
      <c r="G38" s="3537"/>
      <c r="H38" s="3540"/>
      <c r="I38" s="3540">
        <v>43500</v>
      </c>
      <c r="J38" s="3537"/>
      <c r="K38" s="3537" t="s">
        <v>4268</v>
      </c>
      <c r="L38" s="3537" t="s">
        <v>4336</v>
      </c>
      <c r="M38" s="3537" t="s">
        <v>4337</v>
      </c>
      <c r="N38" s="3537"/>
      <c r="O38" s="3537" t="s">
        <v>4271</v>
      </c>
      <c r="P38" s="3537"/>
      <c r="Q38" s="3538"/>
      <c r="R38" s="3537"/>
      <c r="S38" s="3537"/>
      <c r="T38" s="3537"/>
      <c r="U38" s="3537"/>
      <c r="V38" s="3537"/>
      <c r="W38" s="3537"/>
      <c r="X38" s="3537"/>
      <c r="Y38" s="3537"/>
      <c r="Z38" s="3537"/>
      <c r="AA38" s="3537"/>
      <c r="AB38" s="3537"/>
      <c r="AC38" s="3537"/>
      <c r="AD38" s="3537"/>
      <c r="AE38" s="3537"/>
      <c r="AF38" s="3537"/>
      <c r="AG38" s="3537"/>
      <c r="AH38" s="3537"/>
      <c r="AI38" s="3537"/>
      <c r="AJ38" s="3537"/>
      <c r="AK38" s="3537"/>
      <c r="AL38" s="3537"/>
      <c r="AM38" s="3537"/>
      <c r="AN38" s="3537"/>
      <c r="AO38" s="3537"/>
    </row>
    <row r="39" spans="1:41" ht="28.5">
      <c r="A39" s="3529">
        <v>43922</v>
      </c>
      <c r="B39" s="3524" t="s">
        <v>4211</v>
      </c>
      <c r="C39" s="3524" t="s">
        <v>4338</v>
      </c>
      <c r="D39" s="3524" t="s">
        <v>4330</v>
      </c>
      <c r="E39" s="3524">
        <v>47.15</v>
      </c>
      <c r="F39" s="3524">
        <v>129768</v>
      </c>
      <c r="G39" s="3524"/>
      <c r="H39" s="3524"/>
      <c r="I39" s="3524">
        <v>36334</v>
      </c>
      <c r="J39" s="3524"/>
      <c r="K39" s="3524" t="s">
        <v>4183</v>
      </c>
      <c r="L39" s="3524" t="s">
        <v>4339</v>
      </c>
      <c r="M39" s="3524" t="s">
        <v>4340</v>
      </c>
      <c r="N39" s="3524"/>
      <c r="O39" s="3524" t="s">
        <v>4226</v>
      </c>
      <c r="P39" s="3524"/>
      <c r="Q39" s="3525"/>
      <c r="R39" s="3524"/>
      <c r="S39" s="3524"/>
      <c r="T39" s="3524"/>
      <c r="U39" s="3524"/>
      <c r="V39" s="3524"/>
      <c r="W39" s="3524"/>
      <c r="X39" s="3524"/>
      <c r="Y39" s="3524"/>
      <c r="Z39" s="3524"/>
      <c r="AA39" s="3524"/>
      <c r="AB39" s="3524"/>
      <c r="AC39" s="3524"/>
      <c r="AD39" s="3524"/>
      <c r="AE39" s="3524"/>
      <c r="AF39" s="3524"/>
      <c r="AG39" s="3524"/>
      <c r="AH39" s="3524"/>
      <c r="AI39" s="3524"/>
      <c r="AJ39" s="3524"/>
      <c r="AK39" s="3524"/>
      <c r="AL39" s="3524"/>
      <c r="AM39" s="3524"/>
      <c r="AN39" s="3524"/>
      <c r="AO39" s="3524"/>
    </row>
    <row r="40" spans="1:41" ht="42.75">
      <c r="A40" s="3529">
        <v>43917</v>
      </c>
      <c r="B40" s="3524" t="s">
        <v>4341</v>
      </c>
      <c r="C40" s="3524" t="s">
        <v>4342</v>
      </c>
      <c r="D40" s="3524" t="s">
        <v>4330</v>
      </c>
      <c r="E40" s="3524">
        <v>6.88</v>
      </c>
      <c r="F40" s="3524">
        <v>42325.21</v>
      </c>
      <c r="G40" s="3524">
        <v>42325.21</v>
      </c>
      <c r="H40" s="3524">
        <v>0</v>
      </c>
      <c r="I40" s="3524">
        <v>16255</v>
      </c>
      <c r="J40" s="3524">
        <v>16255</v>
      </c>
      <c r="K40" s="3524"/>
      <c r="L40" s="3524" t="s">
        <v>4343</v>
      </c>
      <c r="M40" s="3524" t="s">
        <v>4344</v>
      </c>
      <c r="N40" s="3524"/>
      <c r="O40" s="3524" t="s">
        <v>4242</v>
      </c>
      <c r="P40" s="3524" t="s">
        <v>4204</v>
      </c>
      <c r="Q40" s="3525" t="s">
        <v>4345</v>
      </c>
      <c r="R40" s="3524"/>
      <c r="S40" s="3524"/>
      <c r="T40" s="3524"/>
      <c r="U40" s="3524"/>
      <c r="V40" s="3524"/>
      <c r="W40" s="3524"/>
      <c r="X40" s="3524"/>
      <c r="Y40" s="3524"/>
      <c r="Z40" s="3524"/>
      <c r="AA40" s="3524"/>
      <c r="AB40" s="3524"/>
      <c r="AC40" s="3524"/>
      <c r="AD40" s="3524"/>
      <c r="AE40" s="3524"/>
      <c r="AF40" s="3524"/>
      <c r="AG40" s="3524"/>
      <c r="AH40" s="3524"/>
      <c r="AI40" s="3524"/>
      <c r="AJ40" s="3524"/>
      <c r="AK40" s="3524"/>
      <c r="AL40" s="3524"/>
      <c r="AM40" s="3524"/>
      <c r="AN40" s="3524"/>
      <c r="AO40" s="3524"/>
    </row>
    <row r="41" spans="1:41" ht="42.75">
      <c r="A41" s="3529">
        <v>43891</v>
      </c>
      <c r="B41" s="3524" t="s">
        <v>4264</v>
      </c>
      <c r="C41" s="3524" t="s">
        <v>4346</v>
      </c>
      <c r="D41" s="3524" t="s">
        <v>4347</v>
      </c>
      <c r="E41" s="3524">
        <v>6.88</v>
      </c>
      <c r="F41" s="3534">
        <v>42324</v>
      </c>
      <c r="G41" s="3524"/>
      <c r="H41" s="3534"/>
      <c r="I41" s="3534">
        <v>16255</v>
      </c>
      <c r="J41" s="3524"/>
      <c r="K41" s="3524" t="s">
        <v>4267</v>
      </c>
      <c r="L41" s="3524" t="s">
        <v>4348</v>
      </c>
      <c r="M41" s="3524" t="s">
        <v>4349</v>
      </c>
      <c r="N41" s="3524"/>
      <c r="O41" s="3524" t="s">
        <v>4271</v>
      </c>
      <c r="P41" s="3524" t="s">
        <v>4204</v>
      </c>
      <c r="Q41" s="3525"/>
      <c r="R41" s="3524"/>
      <c r="S41" s="3524"/>
      <c r="T41" s="3524"/>
      <c r="U41" s="3524"/>
      <c r="V41" s="3524"/>
      <c r="W41" s="3524"/>
      <c r="X41" s="3524"/>
      <c r="Y41" s="3524"/>
      <c r="Z41" s="3524"/>
      <c r="AA41" s="3524"/>
      <c r="AB41" s="3524"/>
      <c r="AC41" s="3524"/>
      <c r="AD41" s="3524"/>
      <c r="AE41" s="3524"/>
      <c r="AF41" s="3524"/>
      <c r="AG41" s="3524"/>
      <c r="AH41" s="3524"/>
      <c r="AI41" s="3524"/>
      <c r="AJ41" s="3524"/>
      <c r="AK41" s="3524"/>
      <c r="AL41" s="3524"/>
      <c r="AM41" s="3524"/>
      <c r="AN41" s="3524"/>
      <c r="AO41" s="3524"/>
    </row>
    <row r="42" spans="1:41" ht="42.75">
      <c r="A42" s="3529">
        <v>43891</v>
      </c>
      <c r="B42" s="3524" t="s">
        <v>4264</v>
      </c>
      <c r="C42" s="3524" t="s">
        <v>4350</v>
      </c>
      <c r="D42" s="3524" t="s">
        <v>4351</v>
      </c>
      <c r="E42" s="3524">
        <v>4.76</v>
      </c>
      <c r="F42" s="3534">
        <v>5768</v>
      </c>
      <c r="G42" s="3524"/>
      <c r="H42" s="3534"/>
      <c r="I42" s="3534">
        <v>82519</v>
      </c>
      <c r="J42" s="3524"/>
      <c r="K42" s="3524" t="s">
        <v>4268</v>
      </c>
      <c r="L42" s="3524" t="s">
        <v>4352</v>
      </c>
      <c r="M42" s="3524" t="s">
        <v>4353</v>
      </c>
      <c r="N42" s="3524"/>
      <c r="O42" s="3524" t="s">
        <v>4271</v>
      </c>
      <c r="P42" s="3524"/>
      <c r="Q42" s="3525"/>
      <c r="R42" s="3524"/>
      <c r="S42" s="3524"/>
      <c r="T42" s="3524"/>
      <c r="U42" s="3524"/>
      <c r="V42" s="3524"/>
      <c r="W42" s="3524"/>
      <c r="X42" s="3524"/>
      <c r="Y42" s="3524"/>
      <c r="Z42" s="3524"/>
      <c r="AA42" s="3524"/>
      <c r="AB42" s="3524"/>
      <c r="AC42" s="3524"/>
      <c r="AD42" s="3524"/>
      <c r="AE42" s="3524"/>
      <c r="AF42" s="3524"/>
      <c r="AG42" s="3524"/>
      <c r="AH42" s="3524"/>
      <c r="AI42" s="3524"/>
      <c r="AJ42" s="3524"/>
      <c r="AK42" s="3524"/>
      <c r="AL42" s="3524"/>
      <c r="AM42" s="3524"/>
      <c r="AN42" s="3524"/>
      <c r="AO42" s="3524"/>
    </row>
    <row r="43" spans="1:41" ht="28.5">
      <c r="A43" s="3529">
        <v>43891</v>
      </c>
      <c r="B43" s="3524" t="s">
        <v>4211</v>
      </c>
      <c r="C43" s="3524" t="s">
        <v>4354</v>
      </c>
      <c r="D43" s="3524" t="s">
        <v>4260</v>
      </c>
      <c r="E43" s="3524">
        <v>80.459999999999994</v>
      </c>
      <c r="F43" s="3524">
        <v>111391</v>
      </c>
      <c r="G43" s="3524"/>
      <c r="H43" s="3524"/>
      <c r="I43" s="3524">
        <v>72232</v>
      </c>
      <c r="J43" s="3524"/>
      <c r="K43" s="3524" t="s">
        <v>4355</v>
      </c>
      <c r="L43" s="3524" t="s">
        <v>4356</v>
      </c>
      <c r="M43" s="3524" t="s">
        <v>4357</v>
      </c>
      <c r="N43" s="3524"/>
      <c r="O43" s="3524" t="s">
        <v>4226</v>
      </c>
      <c r="P43" s="3524"/>
      <c r="Q43" s="3525"/>
      <c r="R43" s="3524"/>
      <c r="S43" s="3531"/>
      <c r="T43" s="3531"/>
      <c r="U43" s="3531"/>
      <c r="V43" s="3531"/>
      <c r="W43" s="3531"/>
      <c r="X43" s="3531"/>
      <c r="Y43" s="3531"/>
      <c r="Z43" s="3531"/>
      <c r="AA43" s="3531"/>
      <c r="AB43" s="3531"/>
      <c r="AC43" s="3531"/>
      <c r="AD43" s="3531"/>
      <c r="AE43" s="3531"/>
      <c r="AF43" s="3531"/>
      <c r="AG43" s="3531"/>
      <c r="AH43" s="3531"/>
      <c r="AI43" s="3531"/>
      <c r="AJ43" s="3531"/>
      <c r="AK43" s="3531"/>
      <c r="AL43" s="3531"/>
      <c r="AM43" s="3531"/>
      <c r="AN43" s="3531"/>
      <c r="AO43" s="3531"/>
    </row>
    <row r="44" spans="1:41" ht="42.75">
      <c r="A44" s="3529">
        <v>43878</v>
      </c>
      <c r="B44" s="3524" t="s">
        <v>4358</v>
      </c>
      <c r="C44" s="3524" t="s">
        <v>4359</v>
      </c>
      <c r="D44" s="3524" t="s">
        <v>4330</v>
      </c>
      <c r="E44" s="3524">
        <v>62.0167</v>
      </c>
      <c r="F44" s="3524">
        <v>151904.19999999946</v>
      </c>
      <c r="G44" s="3524">
        <v>129768.05999999928</v>
      </c>
      <c r="H44" s="3524">
        <v>22136.140000000174</v>
      </c>
      <c r="I44" s="3524">
        <v>40826</v>
      </c>
      <c r="J44" s="3524">
        <v>47790</v>
      </c>
      <c r="K44" s="3524"/>
      <c r="L44" s="3524" t="s">
        <v>4339</v>
      </c>
      <c r="M44" s="3524" t="s">
        <v>4360</v>
      </c>
      <c r="N44" s="3524"/>
      <c r="O44" s="3524" t="s">
        <v>4242</v>
      </c>
      <c r="P44" s="3524"/>
      <c r="Q44" s="3525" t="s">
        <v>4361</v>
      </c>
      <c r="R44" s="3524"/>
      <c r="S44" s="3524"/>
      <c r="T44" s="3524"/>
      <c r="U44" s="3524"/>
      <c r="V44" s="3524"/>
      <c r="W44" s="3524"/>
      <c r="X44" s="3524"/>
      <c r="Y44" s="3524"/>
      <c r="Z44" s="3524"/>
      <c r="AA44" s="3524"/>
      <c r="AB44" s="3524"/>
      <c r="AC44" s="3524"/>
      <c r="AD44" s="3524"/>
      <c r="AE44" s="3524"/>
      <c r="AF44" s="3524"/>
      <c r="AG44" s="3524"/>
      <c r="AH44" s="3524"/>
      <c r="AI44" s="3524"/>
      <c r="AJ44" s="3524"/>
      <c r="AK44" s="3524"/>
      <c r="AL44" s="3524"/>
      <c r="AM44" s="3524"/>
      <c r="AN44" s="3524"/>
      <c r="AO44" s="3524"/>
    </row>
    <row r="45" spans="1:41" ht="28.5">
      <c r="A45" s="3530">
        <v>43862</v>
      </c>
      <c r="B45" s="3531" t="s">
        <v>4264</v>
      </c>
      <c r="C45" s="3531" t="s">
        <v>4362</v>
      </c>
      <c r="D45" s="3531" t="s">
        <v>4363</v>
      </c>
      <c r="E45" s="3531">
        <v>80.459999999999994</v>
      </c>
      <c r="F45" s="3535">
        <v>150400</v>
      </c>
      <c r="G45" s="3531"/>
      <c r="H45" s="3535"/>
      <c r="I45" s="3535">
        <v>53497</v>
      </c>
      <c r="J45" s="3531"/>
      <c r="K45" s="3531" t="s">
        <v>4268</v>
      </c>
      <c r="L45" s="3531" t="s">
        <v>4364</v>
      </c>
      <c r="M45" s="3531" t="s">
        <v>4365</v>
      </c>
      <c r="N45" s="3531"/>
      <c r="O45" s="3531" t="s">
        <v>4271</v>
      </c>
      <c r="P45" s="3531" t="s">
        <v>4204</v>
      </c>
      <c r="Q45" s="3532"/>
      <c r="R45" s="3531"/>
      <c r="S45" s="3524"/>
      <c r="T45" s="3524"/>
      <c r="U45" s="3524"/>
      <c r="V45" s="3524"/>
      <c r="W45" s="3524"/>
      <c r="X45" s="3524"/>
      <c r="Y45" s="3524"/>
      <c r="Z45" s="3524"/>
      <c r="AA45" s="3524"/>
      <c r="AB45" s="3524"/>
      <c r="AC45" s="3524"/>
      <c r="AD45" s="3524"/>
      <c r="AE45" s="3524"/>
      <c r="AF45" s="3524"/>
      <c r="AG45" s="3524"/>
      <c r="AH45" s="3524"/>
      <c r="AI45" s="3524"/>
      <c r="AJ45" s="3524"/>
      <c r="AK45" s="3524"/>
      <c r="AL45" s="3524"/>
      <c r="AM45" s="3524"/>
      <c r="AN45" s="3524"/>
      <c r="AO45" s="3524"/>
    </row>
    <row r="46" spans="1:41" ht="28.5">
      <c r="A46" s="3529">
        <v>43849</v>
      </c>
      <c r="B46" s="3524" t="s">
        <v>673</v>
      </c>
      <c r="C46" s="3524" t="s">
        <v>4366</v>
      </c>
      <c r="D46" s="3524" t="s">
        <v>4330</v>
      </c>
      <c r="E46" s="3524">
        <v>1.7126067999999997</v>
      </c>
      <c r="F46" s="3524">
        <v>2253.4299999999994</v>
      </c>
      <c r="G46" s="3524">
        <v>2253.4299999999994</v>
      </c>
      <c r="H46" s="3524"/>
      <c r="I46" s="3524">
        <v>76000</v>
      </c>
      <c r="J46" s="3524">
        <v>76000</v>
      </c>
      <c r="K46" s="3524"/>
      <c r="L46" s="3524" t="s">
        <v>4367</v>
      </c>
      <c r="M46" s="3524" t="s">
        <v>4368</v>
      </c>
      <c r="N46" s="3524"/>
      <c r="O46" s="3524" t="s">
        <v>4242</v>
      </c>
      <c r="P46" s="3524"/>
      <c r="Q46" s="3525" t="s">
        <v>4369</v>
      </c>
      <c r="R46" s="3524"/>
      <c r="S46" s="3524"/>
      <c r="T46" s="3524"/>
      <c r="U46" s="3524"/>
      <c r="V46" s="3524"/>
      <c r="W46" s="3524"/>
      <c r="X46" s="3524"/>
      <c r="Y46" s="3524"/>
      <c r="Z46" s="3524"/>
      <c r="AA46" s="3524"/>
      <c r="AB46" s="3524"/>
      <c r="AC46" s="3524"/>
      <c r="AD46" s="3524"/>
      <c r="AE46" s="3524"/>
      <c r="AF46" s="3524"/>
      <c r="AG46" s="3524"/>
      <c r="AH46" s="3524"/>
      <c r="AI46" s="3524"/>
      <c r="AJ46" s="3524"/>
      <c r="AK46" s="3524"/>
      <c r="AL46" s="3524"/>
      <c r="AM46" s="3524"/>
      <c r="AN46" s="3524"/>
      <c r="AO46" s="3524"/>
    </row>
    <row r="47" spans="1:41" s="3539" customFormat="1" ht="42.75">
      <c r="A47" s="3536">
        <v>43838</v>
      </c>
      <c r="B47" s="3537" t="s">
        <v>4370</v>
      </c>
      <c r="C47" s="3537" t="s">
        <v>4371</v>
      </c>
      <c r="D47" s="3537" t="s">
        <v>4372</v>
      </c>
      <c r="E47" s="3537">
        <v>1.181</v>
      </c>
      <c r="F47" s="3537">
        <v>16997.669999999998</v>
      </c>
      <c r="G47" s="3537"/>
      <c r="H47" s="3537"/>
      <c r="I47" s="3537">
        <v>6948</v>
      </c>
      <c r="J47" s="3537" t="e">
        <v>#DIV/0!</v>
      </c>
      <c r="K47" s="3537"/>
      <c r="L47" s="3537" t="s">
        <v>4373</v>
      </c>
      <c r="M47" s="3537" t="s">
        <v>4374</v>
      </c>
      <c r="N47" s="3537"/>
      <c r="O47" s="3537" t="s">
        <v>4242</v>
      </c>
      <c r="P47" s="3537"/>
      <c r="Q47" s="3538" t="s">
        <v>4375</v>
      </c>
      <c r="R47" s="3537"/>
      <c r="S47" s="3537"/>
      <c r="T47" s="3537"/>
      <c r="U47" s="3537"/>
      <c r="V47" s="3537"/>
      <c r="W47" s="3537"/>
      <c r="X47" s="3537"/>
      <c r="Y47" s="3537"/>
      <c r="Z47" s="3537"/>
      <c r="AA47" s="3537"/>
      <c r="AB47" s="3537"/>
      <c r="AC47" s="3537"/>
      <c r="AD47" s="3537"/>
      <c r="AE47" s="3537"/>
      <c r="AF47" s="3537"/>
      <c r="AG47" s="3537"/>
      <c r="AH47" s="3537"/>
      <c r="AI47" s="3537"/>
      <c r="AJ47" s="3537"/>
      <c r="AK47" s="3537"/>
      <c r="AL47" s="3537"/>
      <c r="AM47" s="3537"/>
      <c r="AN47" s="3537"/>
      <c r="AO47" s="3537"/>
    </row>
    <row r="48" spans="1:41" s="3539" customFormat="1" ht="14.25">
      <c r="A48" s="3536">
        <v>43832</v>
      </c>
      <c r="B48" s="3537" t="s">
        <v>4285</v>
      </c>
      <c r="C48" s="3537" t="s">
        <v>4376</v>
      </c>
      <c r="D48" s="3537" t="s">
        <v>4306</v>
      </c>
      <c r="E48" s="3537">
        <v>7.5914999999999999</v>
      </c>
      <c r="F48" s="3537">
        <v>13410.230000000003</v>
      </c>
      <c r="G48" s="3537">
        <v>13410.230000000003</v>
      </c>
      <c r="H48" s="3537"/>
      <c r="I48" s="3537">
        <v>56610</v>
      </c>
      <c r="J48" s="3537">
        <v>56610</v>
      </c>
      <c r="K48" s="3537"/>
      <c r="L48" s="3537" t="s">
        <v>4307</v>
      </c>
      <c r="M48" s="3537"/>
      <c r="N48" s="3537"/>
      <c r="O48" s="3537" t="s">
        <v>4242</v>
      </c>
      <c r="P48" s="3537" t="s">
        <v>4204</v>
      </c>
      <c r="Q48" s="3538" t="s">
        <v>4377</v>
      </c>
      <c r="R48" s="3537"/>
      <c r="S48" s="3537"/>
      <c r="T48" s="3537"/>
      <c r="U48" s="3537"/>
      <c r="V48" s="3537"/>
      <c r="W48" s="3537"/>
      <c r="X48" s="3537"/>
      <c r="Y48" s="3537"/>
      <c r="Z48" s="3537"/>
      <c r="AA48" s="3537"/>
      <c r="AB48" s="3537"/>
      <c r="AC48" s="3537"/>
      <c r="AD48" s="3537"/>
      <c r="AE48" s="3537"/>
      <c r="AF48" s="3537"/>
      <c r="AG48" s="3537"/>
      <c r="AH48" s="3537"/>
      <c r="AI48" s="3537"/>
      <c r="AJ48" s="3537"/>
      <c r="AK48" s="3537"/>
      <c r="AL48" s="3537"/>
      <c r="AM48" s="3537"/>
      <c r="AN48" s="3537"/>
      <c r="AO48" s="3537"/>
    </row>
    <row r="49" spans="1:41" s="3539" customFormat="1" ht="42.75">
      <c r="A49" s="3536">
        <v>43800</v>
      </c>
      <c r="B49" s="3537" t="s">
        <v>4319</v>
      </c>
      <c r="C49" s="3537" t="s">
        <v>4378</v>
      </c>
      <c r="D49" s="3537"/>
      <c r="E49" s="3537">
        <v>24.82</v>
      </c>
      <c r="F49" s="3540">
        <v>58348</v>
      </c>
      <c r="G49" s="3537"/>
      <c r="H49" s="3537"/>
      <c r="I49" s="3540">
        <v>42543</v>
      </c>
      <c r="J49" s="3537"/>
      <c r="K49" s="3537" t="s">
        <v>4267</v>
      </c>
      <c r="L49" s="3537" t="s">
        <v>4379</v>
      </c>
      <c r="M49" s="3537" t="s">
        <v>4380</v>
      </c>
      <c r="N49" s="3537"/>
      <c r="O49" s="3537" t="s">
        <v>4271</v>
      </c>
      <c r="P49" s="3537"/>
      <c r="Q49" s="3538"/>
      <c r="R49" s="3537"/>
      <c r="S49" s="3537"/>
      <c r="T49" s="3537"/>
      <c r="U49" s="3537"/>
      <c r="V49" s="3537"/>
      <c r="W49" s="3537"/>
      <c r="X49" s="3537"/>
      <c r="Y49" s="3537"/>
      <c r="Z49" s="3537"/>
      <c r="AA49" s="3537"/>
      <c r="AB49" s="3537"/>
      <c r="AC49" s="3537"/>
      <c r="AD49" s="3537"/>
      <c r="AE49" s="3537"/>
      <c r="AF49" s="3537"/>
      <c r="AG49" s="3537"/>
      <c r="AH49" s="3537"/>
      <c r="AI49" s="3537"/>
      <c r="AJ49" s="3537"/>
      <c r="AK49" s="3537"/>
      <c r="AL49" s="3537"/>
      <c r="AM49" s="3537"/>
      <c r="AN49" s="3537"/>
      <c r="AO49" s="3537"/>
    </row>
    <row r="50" spans="1:41" s="3539" customFormat="1" ht="28.5">
      <c r="A50" s="3536">
        <v>43770</v>
      </c>
      <c r="B50" s="3537" t="s">
        <v>4319</v>
      </c>
      <c r="C50" s="3537" t="s">
        <v>4381</v>
      </c>
      <c r="D50" s="3537"/>
      <c r="E50" s="3537">
        <v>15.938245999999999</v>
      </c>
      <c r="F50" s="3540">
        <v>127997</v>
      </c>
      <c r="G50" s="3537"/>
      <c r="H50" s="3537"/>
      <c r="I50" s="3540">
        <v>12452</v>
      </c>
      <c r="J50" s="3537"/>
      <c r="K50" s="3537" t="s">
        <v>4277</v>
      </c>
      <c r="L50" s="3537" t="s">
        <v>4382</v>
      </c>
      <c r="M50" s="3537" t="s">
        <v>4383</v>
      </c>
      <c r="N50" s="3537"/>
      <c r="O50" s="3537" t="s">
        <v>4271</v>
      </c>
      <c r="P50" s="3537"/>
      <c r="Q50" s="3538"/>
      <c r="R50" s="3537"/>
      <c r="S50" s="3537"/>
      <c r="T50" s="3537"/>
      <c r="U50" s="3537"/>
      <c r="V50" s="3537"/>
      <c r="W50" s="3537"/>
      <c r="X50" s="3537"/>
      <c r="Y50" s="3537"/>
      <c r="Z50" s="3537"/>
      <c r="AA50" s="3537"/>
      <c r="AB50" s="3537"/>
      <c r="AC50" s="3537"/>
      <c r="AD50" s="3537"/>
      <c r="AE50" s="3537"/>
      <c r="AF50" s="3537"/>
      <c r="AG50" s="3537"/>
      <c r="AH50" s="3537"/>
      <c r="AI50" s="3537"/>
      <c r="AJ50" s="3537"/>
      <c r="AK50" s="3537"/>
      <c r="AL50" s="3537"/>
      <c r="AM50" s="3537"/>
      <c r="AN50" s="3537"/>
      <c r="AO50" s="3537"/>
    </row>
    <row r="51" spans="1:41" s="3539" customFormat="1" ht="42.75">
      <c r="A51" s="3536">
        <v>43678</v>
      </c>
      <c r="B51" s="3537" t="s">
        <v>4264</v>
      </c>
      <c r="C51" s="3537" t="s">
        <v>4384</v>
      </c>
      <c r="D51" s="3537" t="s">
        <v>4385</v>
      </c>
      <c r="E51" s="3537">
        <v>58.287253</v>
      </c>
      <c r="F51" s="3540">
        <v>232500</v>
      </c>
      <c r="G51" s="3537"/>
      <c r="H51" s="3540"/>
      <c r="I51" s="3540">
        <v>37605</v>
      </c>
      <c r="J51" s="3537"/>
      <c r="K51" s="3537" t="s">
        <v>4267</v>
      </c>
      <c r="L51" s="3537" t="s">
        <v>4386</v>
      </c>
      <c r="M51" s="3537" t="s">
        <v>4387</v>
      </c>
      <c r="N51" s="3537"/>
      <c r="O51" s="3537" t="s">
        <v>4271</v>
      </c>
      <c r="P51" s="3537"/>
      <c r="Q51" s="3538"/>
      <c r="R51" s="3537"/>
      <c r="S51" s="3537"/>
      <c r="T51" s="3537"/>
      <c r="U51" s="3537"/>
      <c r="V51" s="3537"/>
      <c r="W51" s="3537"/>
      <c r="X51" s="3537"/>
      <c r="Y51" s="3537"/>
      <c r="Z51" s="3537"/>
      <c r="AA51" s="3537"/>
      <c r="AB51" s="3537"/>
      <c r="AC51" s="3537"/>
      <c r="AD51" s="3537"/>
      <c r="AE51" s="3537"/>
      <c r="AF51" s="3537"/>
      <c r="AG51" s="3537"/>
      <c r="AH51" s="3537"/>
      <c r="AI51" s="3537"/>
      <c r="AJ51" s="3537"/>
      <c r="AK51" s="3537"/>
      <c r="AL51" s="3537"/>
      <c r="AM51" s="3537"/>
      <c r="AN51" s="3537"/>
      <c r="AO51" s="3537"/>
    </row>
    <row r="52" spans="1:41" s="3539" customFormat="1" ht="42.75">
      <c r="A52" s="3536">
        <v>43647</v>
      </c>
      <c r="B52" s="3537" t="s">
        <v>4319</v>
      </c>
      <c r="C52" s="3537" t="s">
        <v>4388</v>
      </c>
      <c r="D52" s="3537"/>
      <c r="E52" s="3537"/>
      <c r="F52" s="3540">
        <v>13000</v>
      </c>
      <c r="G52" s="3537"/>
      <c r="H52" s="3537"/>
      <c r="I52" s="3537" t="s">
        <v>4267</v>
      </c>
      <c r="J52" s="3537"/>
      <c r="K52" s="3537" t="s">
        <v>4277</v>
      </c>
      <c r="L52" s="3537" t="s">
        <v>4389</v>
      </c>
      <c r="M52" s="3537" t="s">
        <v>4390</v>
      </c>
      <c r="N52" s="3537"/>
      <c r="O52" s="3537" t="s">
        <v>4271</v>
      </c>
      <c r="P52" s="3537"/>
      <c r="Q52" s="3538"/>
      <c r="R52" s="3537"/>
      <c r="S52" s="3537"/>
      <c r="T52" s="3537"/>
      <c r="U52" s="3537"/>
      <c r="V52" s="3537"/>
      <c r="W52" s="3537"/>
      <c r="X52" s="3537"/>
      <c r="Y52" s="3537"/>
      <c r="Z52" s="3537"/>
      <c r="AA52" s="3537"/>
      <c r="AB52" s="3537"/>
      <c r="AC52" s="3537"/>
      <c r="AD52" s="3537"/>
      <c r="AE52" s="3537"/>
      <c r="AF52" s="3537"/>
      <c r="AG52" s="3537"/>
      <c r="AH52" s="3537"/>
      <c r="AI52" s="3537"/>
      <c r="AJ52" s="3537"/>
      <c r="AK52" s="3537"/>
      <c r="AL52" s="3537"/>
      <c r="AM52" s="3537"/>
      <c r="AN52" s="3537"/>
      <c r="AO52" s="3537"/>
    </row>
    <row r="53" spans="1:41" s="3539" customFormat="1" ht="42.75">
      <c r="A53" s="3536">
        <v>43497</v>
      </c>
      <c r="B53" s="3537" t="s">
        <v>4264</v>
      </c>
      <c r="C53" s="3537" t="s">
        <v>4391</v>
      </c>
      <c r="D53" s="3537" t="s">
        <v>4392</v>
      </c>
      <c r="E53" s="3537">
        <v>27</v>
      </c>
      <c r="F53" s="3540">
        <v>68600</v>
      </c>
      <c r="G53" s="3537"/>
      <c r="H53" s="3540"/>
      <c r="I53" s="3540">
        <v>39359</v>
      </c>
      <c r="J53" s="3537"/>
      <c r="K53" s="3537" t="s">
        <v>4267</v>
      </c>
      <c r="L53" s="3537" t="s">
        <v>4393</v>
      </c>
      <c r="M53" s="3537" t="s">
        <v>4394</v>
      </c>
      <c r="N53" s="3537"/>
      <c r="O53" s="3537" t="s">
        <v>4271</v>
      </c>
      <c r="P53" s="3537"/>
      <c r="Q53" s="3538"/>
      <c r="R53" s="3537"/>
      <c r="S53" s="3537"/>
      <c r="T53" s="3537"/>
      <c r="U53" s="3537"/>
      <c r="V53" s="3537"/>
      <c r="W53" s="3537"/>
      <c r="X53" s="3537"/>
      <c r="Y53" s="3537"/>
      <c r="Z53" s="3537"/>
      <c r="AA53" s="3537"/>
      <c r="AB53" s="3537"/>
      <c r="AC53" s="3537"/>
      <c r="AD53" s="3537"/>
      <c r="AE53" s="3537"/>
      <c r="AF53" s="3537"/>
      <c r="AG53" s="3537"/>
      <c r="AH53" s="3537"/>
      <c r="AI53" s="3537"/>
      <c r="AJ53" s="3537"/>
      <c r="AK53" s="3537"/>
      <c r="AL53" s="3537"/>
      <c r="AM53" s="3537"/>
      <c r="AN53" s="3537"/>
      <c r="AO53" s="3537"/>
    </row>
    <row r="54" spans="1:41" s="3539" customFormat="1" ht="42.75">
      <c r="A54" s="3536">
        <v>43466</v>
      </c>
      <c r="B54" s="3537" t="s">
        <v>4264</v>
      </c>
      <c r="C54" s="3537" t="s">
        <v>4395</v>
      </c>
      <c r="D54" s="3537" t="s">
        <v>4396</v>
      </c>
      <c r="E54" s="3537">
        <v>5.55</v>
      </c>
      <c r="F54" s="3540">
        <v>12000</v>
      </c>
      <c r="G54" s="3537"/>
      <c r="H54" s="3540"/>
      <c r="I54" s="3540">
        <v>46250</v>
      </c>
      <c r="J54" s="3537"/>
      <c r="K54" s="3537" t="s">
        <v>4267</v>
      </c>
      <c r="L54" s="3537" t="s">
        <v>4397</v>
      </c>
      <c r="M54" s="3537" t="s">
        <v>4398</v>
      </c>
      <c r="N54" s="3537"/>
      <c r="O54" s="3537" t="s">
        <v>4271</v>
      </c>
      <c r="P54" s="3537" t="s">
        <v>4204</v>
      </c>
      <c r="Q54" s="3538"/>
      <c r="R54" s="3537"/>
      <c r="S54" s="3537"/>
      <c r="T54" s="3537"/>
      <c r="U54" s="3537"/>
      <c r="V54" s="3537"/>
      <c r="W54" s="3537"/>
      <c r="X54" s="3537"/>
      <c r="Y54" s="3537"/>
      <c r="Z54" s="3537"/>
      <c r="AA54" s="3537"/>
      <c r="AB54" s="3537"/>
      <c r="AC54" s="3537"/>
      <c r="AD54" s="3537"/>
      <c r="AE54" s="3537"/>
      <c r="AF54" s="3537"/>
      <c r="AG54" s="3537"/>
      <c r="AH54" s="3537"/>
      <c r="AI54" s="3537"/>
      <c r="AJ54" s="3537"/>
      <c r="AK54" s="3537"/>
      <c r="AL54" s="3537"/>
      <c r="AM54" s="3537"/>
      <c r="AN54" s="3537"/>
      <c r="AO54" s="3537"/>
    </row>
    <row r="55" spans="1:41" s="3539" customFormat="1" ht="14.25">
      <c r="A55" s="3536">
        <v>43466</v>
      </c>
      <c r="B55" s="3537" t="s">
        <v>673</v>
      </c>
      <c r="C55" s="3537" t="s">
        <v>4399</v>
      </c>
      <c r="D55" s="3537" t="s">
        <v>4400</v>
      </c>
      <c r="E55" s="3537">
        <v>27</v>
      </c>
      <c r="F55" s="3537"/>
      <c r="G55" s="3537">
        <v>64000</v>
      </c>
      <c r="H55" s="3537"/>
      <c r="I55" s="3537"/>
      <c r="J55" s="3537">
        <v>42200</v>
      </c>
      <c r="K55" s="3537"/>
      <c r="L55" s="3537"/>
      <c r="M55" s="3537"/>
      <c r="N55" s="3537"/>
      <c r="O55" s="3537" t="s">
        <v>4226</v>
      </c>
      <c r="P55" s="3537"/>
      <c r="Q55" s="3538"/>
      <c r="R55" s="3537"/>
      <c r="S55" s="3537"/>
      <c r="T55" s="3537"/>
      <c r="U55" s="3537"/>
      <c r="V55" s="3537"/>
      <c r="W55" s="3537"/>
      <c r="X55" s="3537"/>
      <c r="Y55" s="3537"/>
      <c r="Z55" s="3537"/>
      <c r="AA55" s="3537"/>
      <c r="AB55" s="3537"/>
      <c r="AC55" s="3537"/>
      <c r="AD55" s="3537"/>
      <c r="AE55" s="3537"/>
      <c r="AF55" s="3537"/>
      <c r="AG55" s="3537"/>
      <c r="AH55" s="3537"/>
      <c r="AI55" s="3537"/>
      <c r="AJ55" s="3537"/>
      <c r="AK55" s="3537"/>
      <c r="AL55" s="3537"/>
      <c r="AM55" s="3537"/>
      <c r="AN55" s="3537"/>
      <c r="AO55" s="3537"/>
    </row>
    <row r="56" spans="1:41" s="3539" customFormat="1" ht="14.25">
      <c r="A56" s="3536">
        <v>43466</v>
      </c>
      <c r="B56" s="3537" t="s">
        <v>673</v>
      </c>
      <c r="C56" s="3537" t="s">
        <v>4401</v>
      </c>
      <c r="D56" s="3537" t="s">
        <v>4402</v>
      </c>
      <c r="E56" s="3537">
        <v>21</v>
      </c>
      <c r="F56" s="3537"/>
      <c r="G56" s="3537">
        <v>46439</v>
      </c>
      <c r="H56" s="3537"/>
      <c r="I56" s="3537"/>
      <c r="J56" s="3537">
        <v>45199.999999999993</v>
      </c>
      <c r="K56" s="3537"/>
      <c r="L56" s="3537"/>
      <c r="M56" s="3537"/>
      <c r="N56" s="3537"/>
      <c r="O56" s="3537" t="s">
        <v>4226</v>
      </c>
      <c r="P56" s="3537"/>
      <c r="Q56" s="3538"/>
      <c r="R56" s="3537"/>
      <c r="S56" s="3537"/>
      <c r="T56" s="3537"/>
      <c r="U56" s="3537"/>
      <c r="V56" s="3537"/>
      <c r="W56" s="3537"/>
      <c r="X56" s="3537"/>
      <c r="Y56" s="3537"/>
      <c r="Z56" s="3537"/>
      <c r="AA56" s="3537"/>
      <c r="AB56" s="3537"/>
      <c r="AC56" s="3537"/>
      <c r="AD56" s="3537"/>
      <c r="AE56" s="3537"/>
      <c r="AF56" s="3537"/>
      <c r="AG56" s="3537"/>
      <c r="AH56" s="3537"/>
      <c r="AI56" s="3537"/>
      <c r="AJ56" s="3537"/>
      <c r="AK56" s="3537"/>
      <c r="AL56" s="3537"/>
      <c r="AM56" s="3537"/>
      <c r="AN56" s="3537"/>
      <c r="AO56" s="3537"/>
    </row>
    <row r="57" spans="1:41" s="3539" customFormat="1" ht="14.25">
      <c r="A57" s="3536">
        <v>43466</v>
      </c>
      <c r="B57" s="3537" t="s">
        <v>673</v>
      </c>
      <c r="C57" s="3537" t="s">
        <v>4403</v>
      </c>
      <c r="D57" s="3537" t="s">
        <v>4404</v>
      </c>
      <c r="E57" s="3537">
        <v>5.64</v>
      </c>
      <c r="F57" s="3537"/>
      <c r="G57" s="3537">
        <v>9500</v>
      </c>
      <c r="H57" s="3537"/>
      <c r="I57" s="3537"/>
      <c r="J57" s="3537">
        <v>59400.000000000007</v>
      </c>
      <c r="K57" s="3537"/>
      <c r="L57" s="3537"/>
      <c r="M57" s="3537"/>
      <c r="N57" s="3537"/>
      <c r="O57" s="3537" t="s">
        <v>4226</v>
      </c>
      <c r="P57" s="3537"/>
      <c r="Q57" s="3538"/>
      <c r="R57" s="3537"/>
      <c r="S57" s="3537"/>
      <c r="T57" s="3537"/>
      <c r="U57" s="3537"/>
      <c r="V57" s="3537"/>
      <c r="W57" s="3537"/>
      <c r="X57" s="3537"/>
      <c r="Y57" s="3537"/>
      <c r="Z57" s="3537"/>
      <c r="AA57" s="3537"/>
      <c r="AB57" s="3537"/>
      <c r="AC57" s="3537"/>
      <c r="AD57" s="3537"/>
      <c r="AE57" s="3537"/>
      <c r="AF57" s="3537"/>
      <c r="AG57" s="3537"/>
      <c r="AH57" s="3537"/>
      <c r="AI57" s="3537"/>
      <c r="AJ57" s="3537"/>
      <c r="AK57" s="3537"/>
      <c r="AL57" s="3537"/>
      <c r="AM57" s="3537"/>
      <c r="AN57" s="3537"/>
      <c r="AO57" s="3537"/>
    </row>
    <row r="58" spans="1:41" s="3539" customFormat="1" ht="14.25">
      <c r="A58" s="3536">
        <v>43466</v>
      </c>
      <c r="B58" s="3537" t="s">
        <v>673</v>
      </c>
      <c r="C58" s="3537" t="s">
        <v>4405</v>
      </c>
      <c r="D58" s="3537" t="s">
        <v>4406</v>
      </c>
      <c r="E58" s="3537">
        <v>9.67</v>
      </c>
      <c r="F58" s="3537"/>
      <c r="G58" s="3537">
        <v>31190</v>
      </c>
      <c r="H58" s="3537"/>
      <c r="I58" s="3537"/>
      <c r="J58" s="3537">
        <v>31000</v>
      </c>
      <c r="K58" s="3537"/>
      <c r="L58" s="3537"/>
      <c r="M58" s="3537"/>
      <c r="N58" s="3537"/>
      <c r="O58" s="3537" t="s">
        <v>4226</v>
      </c>
      <c r="P58" s="3537"/>
      <c r="Q58" s="3538"/>
      <c r="R58" s="3537"/>
      <c r="S58" s="3537"/>
      <c r="T58" s="3537"/>
      <c r="U58" s="3537"/>
      <c r="V58" s="3537"/>
      <c r="W58" s="3537"/>
      <c r="X58" s="3537"/>
      <c r="Y58" s="3537"/>
      <c r="Z58" s="3537"/>
      <c r="AA58" s="3537"/>
      <c r="AB58" s="3537"/>
      <c r="AC58" s="3537"/>
      <c r="AD58" s="3537"/>
      <c r="AE58" s="3537"/>
      <c r="AF58" s="3537"/>
      <c r="AG58" s="3537"/>
      <c r="AH58" s="3537"/>
      <c r="AI58" s="3537"/>
      <c r="AJ58" s="3537"/>
      <c r="AK58" s="3537"/>
      <c r="AL58" s="3537"/>
      <c r="AM58" s="3537"/>
      <c r="AN58" s="3537"/>
      <c r="AO58" s="3537"/>
    </row>
    <row r="59" spans="1:41" s="3539" customFormat="1" ht="14.25">
      <c r="A59" s="3536">
        <v>43466</v>
      </c>
      <c r="B59" s="3537" t="s">
        <v>673</v>
      </c>
      <c r="C59" s="3537" t="s">
        <v>4407</v>
      </c>
      <c r="D59" s="3537" t="s">
        <v>4408</v>
      </c>
      <c r="E59" s="3537">
        <v>24.59</v>
      </c>
      <c r="F59" s="3537"/>
      <c r="G59" s="3537">
        <v>50881</v>
      </c>
      <c r="H59" s="3537"/>
      <c r="I59" s="3537"/>
      <c r="J59" s="3537">
        <v>48300</v>
      </c>
      <c r="K59" s="3537"/>
      <c r="L59" s="3537"/>
      <c r="M59" s="3537"/>
      <c r="N59" s="3537"/>
      <c r="O59" s="3537" t="s">
        <v>4226</v>
      </c>
      <c r="P59" s="3537"/>
      <c r="Q59" s="3538"/>
      <c r="R59" s="3537"/>
      <c r="S59" s="3537"/>
      <c r="T59" s="3537"/>
      <c r="U59" s="3537"/>
      <c r="V59" s="3537"/>
      <c r="W59" s="3537"/>
      <c r="X59" s="3537"/>
      <c r="Y59" s="3537"/>
      <c r="Z59" s="3537"/>
      <c r="AA59" s="3537"/>
      <c r="AB59" s="3537"/>
      <c r="AC59" s="3537"/>
      <c r="AD59" s="3537"/>
      <c r="AE59" s="3537"/>
      <c r="AF59" s="3537"/>
      <c r="AG59" s="3537"/>
      <c r="AH59" s="3537"/>
      <c r="AI59" s="3537"/>
      <c r="AJ59" s="3537"/>
      <c r="AK59" s="3537"/>
      <c r="AL59" s="3537"/>
      <c r="AM59" s="3537"/>
      <c r="AN59" s="3537"/>
      <c r="AO59" s="3537"/>
    </row>
    <row r="60" spans="1:41" s="3539" customFormat="1" ht="42.75">
      <c r="A60" s="3536">
        <v>42979</v>
      </c>
      <c r="B60" s="3537" t="s">
        <v>4319</v>
      </c>
      <c r="C60" s="3537" t="s">
        <v>4409</v>
      </c>
      <c r="D60" s="3537"/>
      <c r="E60" s="3537">
        <v>11.295</v>
      </c>
      <c r="F60" s="3540">
        <v>43442</v>
      </c>
      <c r="G60" s="3537"/>
      <c r="H60" s="3537"/>
      <c r="I60" s="3540">
        <v>26000</v>
      </c>
      <c r="J60" s="3537"/>
      <c r="K60" s="3537" t="s">
        <v>4268</v>
      </c>
      <c r="L60" s="3537" t="s">
        <v>4410</v>
      </c>
      <c r="M60" s="3537" t="s">
        <v>4411</v>
      </c>
      <c r="N60" s="3537"/>
      <c r="O60" s="3537" t="s">
        <v>4271</v>
      </c>
      <c r="P60" s="3537"/>
      <c r="Q60" s="3538"/>
      <c r="R60" s="3537"/>
      <c r="S60" s="3537"/>
      <c r="T60" s="3537"/>
      <c r="U60" s="3537"/>
      <c r="V60" s="3537"/>
      <c r="W60" s="3537"/>
      <c r="X60" s="3537"/>
      <c r="Y60" s="3537"/>
      <c r="Z60" s="3537"/>
      <c r="AA60" s="3537"/>
      <c r="AB60" s="3537"/>
      <c r="AC60" s="3537"/>
      <c r="AD60" s="3537"/>
      <c r="AE60" s="3537"/>
      <c r="AF60" s="3537"/>
      <c r="AG60" s="3537"/>
      <c r="AH60" s="3537"/>
      <c r="AI60" s="3537"/>
      <c r="AJ60" s="3537"/>
      <c r="AK60" s="3537"/>
      <c r="AL60" s="3537"/>
      <c r="AM60" s="3537"/>
      <c r="AN60" s="3537"/>
      <c r="AO60" s="3537"/>
    </row>
    <row r="61" spans="1:41" ht="28.5">
      <c r="A61" s="3529">
        <v>42856</v>
      </c>
      <c r="B61" s="3524" t="s">
        <v>4319</v>
      </c>
      <c r="C61" s="3524" t="s">
        <v>4412</v>
      </c>
      <c r="D61" s="3524"/>
      <c r="E61" s="3524"/>
      <c r="F61" s="3534">
        <v>111398</v>
      </c>
      <c r="G61" s="3524"/>
      <c r="H61" s="3524"/>
      <c r="I61" s="3524" t="s">
        <v>4267</v>
      </c>
      <c r="J61" s="3524"/>
      <c r="K61" s="3524" t="s">
        <v>4267</v>
      </c>
      <c r="L61" s="3524" t="s">
        <v>4413</v>
      </c>
      <c r="M61" s="3524" t="s">
        <v>4414</v>
      </c>
      <c r="N61" s="3524"/>
      <c r="O61" s="3524" t="s">
        <v>4271</v>
      </c>
      <c r="P61" s="3524"/>
      <c r="Q61" s="3525"/>
      <c r="R61" s="3524"/>
      <c r="S61" s="3524"/>
      <c r="T61" s="3524"/>
      <c r="U61" s="3524"/>
      <c r="V61" s="3524"/>
      <c r="W61" s="3524"/>
      <c r="X61" s="3524"/>
      <c r="Y61" s="3524"/>
      <c r="Z61" s="3524"/>
      <c r="AA61" s="3524"/>
      <c r="AB61" s="3524"/>
      <c r="AC61" s="3524"/>
      <c r="AD61" s="3524"/>
      <c r="AE61" s="3524"/>
      <c r="AF61" s="3524"/>
      <c r="AG61" s="3524"/>
      <c r="AH61" s="3524"/>
      <c r="AI61" s="3524"/>
      <c r="AJ61" s="3524"/>
      <c r="AK61" s="3524"/>
      <c r="AL61" s="3524"/>
      <c r="AM61" s="3524"/>
      <c r="AN61" s="3524"/>
      <c r="AO61" s="3524"/>
    </row>
    <row r="62" spans="1:41" ht="14.25">
      <c r="A62" s="3524"/>
      <c r="B62" s="3524"/>
      <c r="C62" s="3524"/>
      <c r="D62" s="3524"/>
      <c r="E62" s="3524"/>
      <c r="F62" s="3524"/>
      <c r="G62" s="3524"/>
      <c r="H62" s="3524"/>
      <c r="I62" s="3524"/>
      <c r="J62" s="3524"/>
      <c r="K62" s="3524"/>
      <c r="L62" s="3524"/>
      <c r="M62" s="3524"/>
      <c r="N62" s="3524"/>
      <c r="O62" s="3524"/>
      <c r="P62" s="3524"/>
      <c r="Q62" s="3525"/>
      <c r="R62" s="3524"/>
      <c r="S62" s="3524"/>
      <c r="T62" s="3524"/>
      <c r="U62" s="3524"/>
      <c r="V62" s="3524"/>
      <c r="W62" s="3524"/>
      <c r="X62" s="3524"/>
      <c r="Y62" s="3524"/>
      <c r="Z62" s="3524"/>
      <c r="AA62" s="3524"/>
      <c r="AB62" s="3524"/>
      <c r="AC62" s="3524"/>
      <c r="AD62" s="3524"/>
      <c r="AE62" s="3524"/>
      <c r="AF62" s="3524"/>
      <c r="AG62" s="3524"/>
      <c r="AH62" s="3524"/>
      <c r="AI62" s="3524"/>
      <c r="AJ62" s="3524"/>
      <c r="AK62" s="3524"/>
      <c r="AL62" s="3524"/>
      <c r="AM62" s="3524"/>
      <c r="AN62" s="3524"/>
      <c r="AO62" s="3524"/>
    </row>
    <row r="63" spans="1:41" ht="14.25">
      <c r="A63" s="3524"/>
      <c r="B63" s="3524"/>
      <c r="C63" s="3524"/>
      <c r="D63" s="3524"/>
      <c r="E63" s="3524"/>
      <c r="F63" s="3524"/>
      <c r="G63" s="3524"/>
      <c r="H63" s="3524"/>
      <c r="I63" s="3524"/>
      <c r="J63" s="3524"/>
      <c r="K63" s="3524"/>
      <c r="L63" s="3524"/>
      <c r="M63" s="3524"/>
      <c r="N63" s="3524"/>
      <c r="O63" s="3524"/>
      <c r="P63" s="3524"/>
      <c r="Q63" s="3525"/>
      <c r="R63" s="3524"/>
      <c r="S63" s="3524"/>
      <c r="T63" s="3524"/>
      <c r="U63" s="3524"/>
      <c r="V63" s="3524"/>
      <c r="W63" s="3524"/>
      <c r="X63" s="3524"/>
      <c r="Y63" s="3524"/>
      <c r="Z63" s="3524"/>
      <c r="AA63" s="3524"/>
      <c r="AB63" s="3524"/>
      <c r="AC63" s="3524"/>
      <c r="AD63" s="3524"/>
      <c r="AE63" s="3524"/>
      <c r="AF63" s="3524"/>
      <c r="AG63" s="3524"/>
      <c r="AH63" s="3524"/>
      <c r="AI63" s="3524"/>
      <c r="AJ63" s="3524"/>
      <c r="AK63" s="3524"/>
      <c r="AL63" s="3524"/>
      <c r="AM63" s="3524"/>
      <c r="AN63" s="3524"/>
      <c r="AO63" s="3524"/>
    </row>
    <row r="64" spans="1:41" ht="14.25">
      <c r="A64" s="3524"/>
      <c r="B64" s="3524"/>
      <c r="C64" s="3524"/>
      <c r="D64" s="3524"/>
      <c r="E64" s="3524"/>
      <c r="F64" s="3524"/>
      <c r="G64" s="3524"/>
      <c r="H64" s="3524"/>
      <c r="I64" s="3524"/>
      <c r="J64" s="3524"/>
      <c r="K64" s="3524"/>
      <c r="L64" s="3524"/>
      <c r="M64" s="3524"/>
      <c r="N64" s="3524"/>
      <c r="O64" s="3524"/>
      <c r="P64" s="3524"/>
      <c r="Q64" s="3525"/>
      <c r="R64" s="3524"/>
      <c r="S64" s="3524"/>
      <c r="T64" s="3524"/>
      <c r="U64" s="3524"/>
      <c r="V64" s="3524"/>
      <c r="W64" s="3524"/>
      <c r="X64" s="3524"/>
      <c r="Y64" s="3524"/>
      <c r="Z64" s="3524"/>
      <c r="AA64" s="3524"/>
      <c r="AB64" s="3524"/>
      <c r="AC64" s="3524"/>
      <c r="AD64" s="3524"/>
      <c r="AE64" s="3524"/>
      <c r="AF64" s="3524"/>
      <c r="AG64" s="3524"/>
      <c r="AH64" s="3524"/>
      <c r="AI64" s="3524"/>
      <c r="AJ64" s="3524"/>
      <c r="AK64" s="3524"/>
      <c r="AL64" s="3524"/>
      <c r="AM64" s="3524"/>
      <c r="AN64" s="3524"/>
      <c r="AO64" s="3524"/>
    </row>
    <row r="65" spans="1:41" ht="14.25">
      <c r="A65" s="3524"/>
      <c r="B65" s="3524"/>
      <c r="C65" s="3524"/>
      <c r="D65" s="3524"/>
      <c r="E65" s="3524"/>
      <c r="F65" s="3524"/>
      <c r="G65" s="3524"/>
      <c r="H65" s="3524"/>
      <c r="I65" s="3524"/>
      <c r="J65" s="3524"/>
      <c r="K65" s="3524"/>
      <c r="L65" s="3524"/>
      <c r="M65" s="3524"/>
      <c r="N65" s="3524"/>
      <c r="O65" s="3524"/>
      <c r="P65" s="3524"/>
      <c r="Q65" s="3525"/>
      <c r="R65" s="3524"/>
      <c r="S65" s="3524"/>
      <c r="T65" s="3524"/>
      <c r="U65" s="3524"/>
      <c r="V65" s="3524"/>
      <c r="W65" s="3524"/>
      <c r="X65" s="3524"/>
      <c r="Y65" s="3524"/>
      <c r="Z65" s="3524"/>
      <c r="AA65" s="3524"/>
      <c r="AB65" s="3524"/>
      <c r="AC65" s="3524"/>
      <c r="AD65" s="3524"/>
      <c r="AE65" s="3524"/>
      <c r="AF65" s="3524"/>
      <c r="AG65" s="3524"/>
      <c r="AH65" s="3524"/>
      <c r="AI65" s="3524"/>
      <c r="AJ65" s="3524"/>
      <c r="AK65" s="3524"/>
      <c r="AL65" s="3524"/>
      <c r="AM65" s="3524"/>
      <c r="AN65" s="3524"/>
      <c r="AO65" s="3524"/>
    </row>
    <row r="66" spans="1:41" ht="14.25">
      <c r="A66" s="3524"/>
      <c r="B66" s="3524"/>
      <c r="C66" s="3524"/>
      <c r="D66" s="3524"/>
      <c r="E66" s="3524"/>
      <c r="F66" s="3524"/>
      <c r="G66" s="3524"/>
      <c r="H66" s="3524"/>
      <c r="I66" s="3524"/>
      <c r="J66" s="3524"/>
      <c r="K66" s="3524"/>
      <c r="L66" s="3524"/>
      <c r="M66" s="3524"/>
      <c r="N66" s="3524"/>
      <c r="O66" s="3524"/>
      <c r="P66" s="3524"/>
      <c r="Q66" s="3525"/>
      <c r="R66" s="3524"/>
      <c r="S66" s="3524"/>
      <c r="T66" s="3524"/>
      <c r="U66" s="3524"/>
      <c r="V66" s="3524"/>
      <c r="W66" s="3524"/>
      <c r="X66" s="3524"/>
      <c r="Y66" s="3524"/>
      <c r="Z66" s="3524"/>
      <c r="AA66" s="3524"/>
      <c r="AB66" s="3524"/>
      <c r="AC66" s="3524"/>
      <c r="AD66" s="3524"/>
      <c r="AE66" s="3524"/>
      <c r="AF66" s="3524"/>
      <c r="AG66" s="3524"/>
      <c r="AH66" s="3524"/>
      <c r="AI66" s="3524"/>
      <c r="AJ66" s="3524"/>
      <c r="AK66" s="3524"/>
      <c r="AL66" s="3524"/>
      <c r="AM66" s="3524"/>
      <c r="AN66" s="3524"/>
      <c r="AO66" s="3524"/>
    </row>
    <row r="67" spans="1:41" ht="14.25">
      <c r="A67" s="3524"/>
      <c r="B67" s="3524"/>
      <c r="C67" s="3524"/>
      <c r="D67" s="3524"/>
      <c r="E67" s="3524"/>
      <c r="F67" s="3524"/>
      <c r="G67" s="3524"/>
      <c r="H67" s="3524"/>
      <c r="I67" s="3524"/>
      <c r="J67" s="3524"/>
      <c r="K67" s="3524"/>
      <c r="L67" s="3524"/>
      <c r="M67" s="3524"/>
      <c r="N67" s="3524"/>
      <c r="O67" s="3524"/>
      <c r="P67" s="3524"/>
      <c r="Q67" s="3525"/>
      <c r="R67" s="3524"/>
      <c r="S67" s="3524"/>
      <c r="T67" s="3524"/>
      <c r="U67" s="3524"/>
      <c r="V67" s="3524"/>
      <c r="W67" s="3524"/>
      <c r="X67" s="3524"/>
      <c r="Y67" s="3524"/>
      <c r="Z67" s="3524"/>
      <c r="AA67" s="3524"/>
      <c r="AB67" s="3524"/>
      <c r="AC67" s="3524"/>
      <c r="AD67" s="3524"/>
      <c r="AE67" s="3524"/>
      <c r="AF67" s="3524"/>
      <c r="AG67" s="3524"/>
      <c r="AH67" s="3524"/>
      <c r="AI67" s="3524"/>
      <c r="AJ67" s="3524"/>
      <c r="AK67" s="3524"/>
      <c r="AL67" s="3524"/>
      <c r="AM67" s="3524"/>
      <c r="AN67" s="3524"/>
      <c r="AO67" s="3524"/>
    </row>
    <row r="68" spans="1:41" ht="14.25">
      <c r="A68" s="3524"/>
      <c r="B68" s="3524"/>
      <c r="C68" s="3524"/>
      <c r="D68" s="3524"/>
      <c r="E68" s="3524"/>
      <c r="F68" s="3524"/>
      <c r="G68" s="3524"/>
      <c r="H68" s="3524"/>
      <c r="I68" s="3524"/>
      <c r="J68" s="3524"/>
      <c r="K68" s="3524"/>
      <c r="L68" s="3524"/>
      <c r="M68" s="3524"/>
      <c r="N68" s="3524"/>
      <c r="O68" s="3524"/>
      <c r="P68" s="3524"/>
      <c r="Q68" s="3525"/>
      <c r="R68" s="3524"/>
      <c r="S68" s="3524"/>
      <c r="T68" s="3524"/>
      <c r="U68" s="3524"/>
      <c r="V68" s="3524"/>
      <c r="W68" s="3524"/>
      <c r="X68" s="3524"/>
      <c r="Y68" s="3524"/>
      <c r="Z68" s="3524"/>
      <c r="AA68" s="3524"/>
      <c r="AB68" s="3524"/>
      <c r="AC68" s="3524"/>
      <c r="AD68" s="3524"/>
      <c r="AE68" s="3524"/>
      <c r="AF68" s="3524"/>
      <c r="AG68" s="3524"/>
      <c r="AH68" s="3524"/>
      <c r="AI68" s="3524"/>
      <c r="AJ68" s="3524"/>
      <c r="AK68" s="3524"/>
      <c r="AL68" s="3524"/>
      <c r="AM68" s="3524"/>
      <c r="AN68" s="3524"/>
      <c r="AO68" s="3524"/>
    </row>
    <row r="69" spans="1:41" ht="14.25">
      <c r="A69" s="3524"/>
      <c r="B69" s="3524"/>
      <c r="C69" s="3524"/>
      <c r="D69" s="3524"/>
      <c r="E69" s="3524"/>
      <c r="F69" s="3524"/>
      <c r="G69" s="3524"/>
      <c r="H69" s="3524"/>
      <c r="I69" s="3524"/>
      <c r="J69" s="3524"/>
      <c r="K69" s="3524"/>
      <c r="L69" s="3524"/>
      <c r="M69" s="3524"/>
      <c r="N69" s="3524"/>
      <c r="O69" s="3524"/>
      <c r="P69" s="3524"/>
      <c r="Q69" s="3525"/>
      <c r="R69" s="3524"/>
      <c r="S69" s="3524"/>
      <c r="T69" s="3524"/>
      <c r="U69" s="3524"/>
      <c r="V69" s="3524"/>
      <c r="W69" s="3524"/>
      <c r="X69" s="3524"/>
      <c r="Y69" s="3524"/>
      <c r="Z69" s="3524"/>
      <c r="AA69" s="3524"/>
      <c r="AB69" s="3524"/>
      <c r="AC69" s="3524"/>
      <c r="AD69" s="3524"/>
      <c r="AE69" s="3524"/>
      <c r="AF69" s="3524"/>
      <c r="AG69" s="3524"/>
      <c r="AH69" s="3524"/>
      <c r="AI69" s="3524"/>
      <c r="AJ69" s="3524"/>
      <c r="AK69" s="3524"/>
      <c r="AL69" s="3524"/>
      <c r="AM69" s="3524"/>
      <c r="AN69" s="3524"/>
      <c r="AO69" s="3524"/>
    </row>
    <row r="70" spans="1:41" ht="14.25">
      <c r="A70" s="3524"/>
      <c r="B70" s="3524"/>
      <c r="C70" s="3524"/>
      <c r="D70" s="3524"/>
      <c r="E70" s="3524"/>
      <c r="F70" s="3524"/>
      <c r="G70" s="3524"/>
      <c r="H70" s="3524"/>
      <c r="I70" s="3524"/>
      <c r="J70" s="3524"/>
      <c r="K70" s="3524"/>
      <c r="L70" s="3524"/>
      <c r="M70" s="3524"/>
      <c r="N70" s="3524"/>
      <c r="O70" s="3524"/>
      <c r="P70" s="3524"/>
      <c r="Q70" s="3525"/>
      <c r="R70" s="3524"/>
      <c r="S70" s="3524"/>
      <c r="T70" s="3524"/>
      <c r="U70" s="3524"/>
      <c r="V70" s="3524"/>
      <c r="W70" s="3524"/>
      <c r="X70" s="3524"/>
      <c r="Y70" s="3524"/>
      <c r="Z70" s="3524"/>
      <c r="AA70" s="3524"/>
      <c r="AB70" s="3524"/>
      <c r="AC70" s="3524"/>
      <c r="AD70" s="3524"/>
      <c r="AE70" s="3524"/>
      <c r="AF70" s="3524"/>
      <c r="AG70" s="3524"/>
      <c r="AH70" s="3524"/>
      <c r="AI70" s="3524"/>
      <c r="AJ70" s="3524"/>
      <c r="AK70" s="3524"/>
      <c r="AL70" s="3524"/>
      <c r="AM70" s="3524"/>
      <c r="AN70" s="3524"/>
      <c r="AO70" s="3524"/>
    </row>
    <row r="71" spans="1:41" ht="14.25">
      <c r="A71" s="3524"/>
      <c r="B71" s="3524"/>
      <c r="C71" s="3524"/>
      <c r="D71" s="3524"/>
      <c r="E71" s="3524"/>
      <c r="F71" s="3524"/>
      <c r="G71" s="3524"/>
      <c r="H71" s="3524"/>
      <c r="I71" s="3524"/>
      <c r="J71" s="3524"/>
      <c r="K71" s="3524"/>
      <c r="L71" s="3524"/>
      <c r="M71" s="3524"/>
      <c r="N71" s="3524"/>
      <c r="O71" s="3524"/>
      <c r="P71" s="3524"/>
      <c r="Q71" s="3525"/>
      <c r="R71" s="3524"/>
      <c r="S71" s="3524"/>
      <c r="T71" s="3524"/>
      <c r="U71" s="3524"/>
      <c r="V71" s="3524"/>
      <c r="W71" s="3524"/>
      <c r="X71" s="3524"/>
      <c r="Y71" s="3524"/>
      <c r="Z71" s="3524"/>
      <c r="AA71" s="3524"/>
      <c r="AB71" s="3524"/>
      <c r="AC71" s="3524"/>
      <c r="AD71" s="3524"/>
      <c r="AE71" s="3524"/>
      <c r="AF71" s="3524"/>
      <c r="AG71" s="3524"/>
      <c r="AH71" s="3524"/>
      <c r="AI71" s="3524"/>
      <c r="AJ71" s="3524"/>
      <c r="AK71" s="3524"/>
      <c r="AL71" s="3524"/>
      <c r="AM71" s="3524"/>
      <c r="AN71" s="3524"/>
      <c r="AO71" s="3524"/>
    </row>
    <row r="72" spans="1:41" ht="14.25">
      <c r="A72" s="3524"/>
      <c r="B72" s="3524"/>
      <c r="C72" s="3524"/>
      <c r="D72" s="3524"/>
      <c r="E72" s="3524"/>
      <c r="F72" s="3524"/>
      <c r="G72" s="3524"/>
      <c r="H72" s="3524"/>
      <c r="I72" s="3524"/>
      <c r="J72" s="3524"/>
      <c r="K72" s="3524"/>
      <c r="L72" s="3524"/>
      <c r="M72" s="3524"/>
      <c r="N72" s="3524"/>
      <c r="O72" s="3524"/>
      <c r="P72" s="3524"/>
      <c r="Q72" s="3525"/>
      <c r="R72" s="3524"/>
      <c r="S72" s="3524"/>
      <c r="T72" s="3524"/>
      <c r="U72" s="3524"/>
      <c r="V72" s="3524"/>
      <c r="W72" s="3524"/>
      <c r="X72" s="3524"/>
      <c r="Y72" s="3524"/>
      <c r="Z72" s="3524"/>
      <c r="AA72" s="3524"/>
      <c r="AB72" s="3524"/>
      <c r="AC72" s="3524"/>
      <c r="AD72" s="3524"/>
      <c r="AE72" s="3524"/>
      <c r="AF72" s="3524"/>
      <c r="AG72" s="3524"/>
      <c r="AH72" s="3524"/>
      <c r="AI72" s="3524"/>
      <c r="AJ72" s="3524"/>
      <c r="AK72" s="3524"/>
      <c r="AL72" s="3524"/>
      <c r="AM72" s="3524"/>
      <c r="AN72" s="3524"/>
      <c r="AO72" s="3524"/>
    </row>
    <row r="73" spans="1:41" ht="14.25">
      <c r="A73" s="3524"/>
      <c r="B73" s="3524"/>
      <c r="C73" s="3524"/>
      <c r="D73" s="3524"/>
      <c r="E73" s="3524"/>
      <c r="F73" s="3524"/>
      <c r="G73" s="3524"/>
      <c r="H73" s="3524"/>
      <c r="I73" s="3524"/>
      <c r="J73" s="3524"/>
      <c r="K73" s="3524"/>
      <c r="L73" s="3524"/>
      <c r="M73" s="3524"/>
      <c r="N73" s="3524"/>
      <c r="O73" s="3524"/>
      <c r="P73" s="3524"/>
      <c r="Q73" s="3525"/>
      <c r="R73" s="3524"/>
      <c r="S73" s="3524"/>
      <c r="T73" s="3524"/>
      <c r="U73" s="3524"/>
      <c r="V73" s="3524"/>
      <c r="W73" s="3524"/>
      <c r="X73" s="3524"/>
      <c r="Y73" s="3524"/>
      <c r="Z73" s="3524"/>
      <c r="AA73" s="3524"/>
      <c r="AB73" s="3524"/>
      <c r="AC73" s="3524"/>
      <c r="AD73" s="3524"/>
      <c r="AE73" s="3524"/>
      <c r="AF73" s="3524"/>
      <c r="AG73" s="3524"/>
      <c r="AH73" s="3524"/>
      <c r="AI73" s="3524"/>
      <c r="AJ73" s="3524"/>
      <c r="AK73" s="3524"/>
      <c r="AL73" s="3524"/>
      <c r="AM73" s="3524"/>
      <c r="AN73" s="3524"/>
      <c r="AO73" s="3524"/>
    </row>
    <row r="74" spans="1:41" ht="14.25">
      <c r="A74" s="3524"/>
      <c r="B74" s="3524"/>
      <c r="C74" s="3524"/>
      <c r="D74" s="3524"/>
      <c r="E74" s="3524"/>
      <c r="F74" s="3524"/>
      <c r="G74" s="3524"/>
      <c r="H74" s="3524"/>
      <c r="I74" s="3524"/>
      <c r="J74" s="3524"/>
      <c r="K74" s="3524"/>
      <c r="L74" s="3524"/>
      <c r="M74" s="3524"/>
      <c r="N74" s="3524"/>
      <c r="O74" s="3524"/>
      <c r="P74" s="3524"/>
      <c r="Q74" s="3525"/>
      <c r="R74" s="3524"/>
      <c r="S74" s="3524"/>
      <c r="T74" s="3524"/>
      <c r="U74" s="3524"/>
      <c r="V74" s="3524"/>
      <c r="W74" s="3524"/>
      <c r="X74" s="3524"/>
      <c r="Y74" s="3524"/>
      <c r="Z74" s="3524"/>
      <c r="AA74" s="3524"/>
      <c r="AB74" s="3524"/>
      <c r="AC74" s="3524"/>
      <c r="AD74" s="3524"/>
      <c r="AE74" s="3524"/>
      <c r="AF74" s="3524"/>
      <c r="AG74" s="3524"/>
      <c r="AH74" s="3524"/>
      <c r="AI74" s="3524"/>
      <c r="AJ74" s="3524"/>
      <c r="AK74" s="3524"/>
      <c r="AL74" s="3524"/>
      <c r="AM74" s="3524"/>
      <c r="AN74" s="3524"/>
      <c r="AO74" s="3524"/>
    </row>
    <row r="75" spans="1:41" ht="14.25">
      <c r="A75" s="3524"/>
      <c r="B75" s="3524"/>
      <c r="C75" s="3524"/>
      <c r="D75" s="3524"/>
      <c r="E75" s="3524"/>
      <c r="F75" s="3524"/>
      <c r="G75" s="3524"/>
      <c r="H75" s="3524"/>
      <c r="I75" s="3524"/>
      <c r="J75" s="3524"/>
      <c r="K75" s="3524"/>
      <c r="L75" s="3524"/>
      <c r="M75" s="3524"/>
      <c r="N75" s="3524"/>
      <c r="O75" s="3524"/>
      <c r="P75" s="3524"/>
      <c r="Q75" s="3525"/>
      <c r="R75" s="3524"/>
      <c r="S75" s="3524"/>
      <c r="T75" s="3524"/>
      <c r="U75" s="3524"/>
      <c r="V75" s="3524"/>
      <c r="W75" s="3524"/>
      <c r="X75" s="3524"/>
      <c r="Y75" s="3524"/>
      <c r="Z75" s="3524"/>
      <c r="AA75" s="3524"/>
      <c r="AB75" s="3524"/>
      <c r="AC75" s="3524"/>
      <c r="AD75" s="3524"/>
      <c r="AE75" s="3524"/>
      <c r="AF75" s="3524"/>
      <c r="AG75" s="3524"/>
      <c r="AH75" s="3524"/>
      <c r="AI75" s="3524"/>
      <c r="AJ75" s="3524"/>
      <c r="AK75" s="3524"/>
      <c r="AL75" s="3524"/>
      <c r="AM75" s="3524"/>
      <c r="AN75" s="3524"/>
      <c r="AO75" s="3524"/>
    </row>
    <row r="76" spans="1:41" ht="14.25">
      <c r="A76" s="3524"/>
      <c r="B76" s="3524"/>
      <c r="C76" s="3524"/>
      <c r="D76" s="3524"/>
      <c r="E76" s="3524"/>
      <c r="F76" s="3524"/>
      <c r="G76" s="3524"/>
      <c r="H76" s="3524"/>
      <c r="I76" s="3524"/>
      <c r="J76" s="3524"/>
      <c r="K76" s="3524"/>
      <c r="L76" s="3524"/>
      <c r="M76" s="3524"/>
      <c r="N76" s="3524"/>
      <c r="O76" s="3524"/>
      <c r="P76" s="3524"/>
      <c r="Q76" s="3525"/>
      <c r="R76" s="3524"/>
      <c r="S76" s="3524"/>
      <c r="T76" s="3524"/>
      <c r="U76" s="3524"/>
      <c r="V76" s="3524"/>
      <c r="W76" s="3524"/>
      <c r="X76" s="3524"/>
      <c r="Y76" s="3524"/>
      <c r="Z76" s="3524"/>
      <c r="AA76" s="3524"/>
      <c r="AB76" s="3524"/>
      <c r="AC76" s="3524"/>
      <c r="AD76" s="3524"/>
      <c r="AE76" s="3524"/>
      <c r="AF76" s="3524"/>
      <c r="AG76" s="3524"/>
      <c r="AH76" s="3524"/>
      <c r="AI76" s="3524"/>
      <c r="AJ76" s="3524"/>
      <c r="AK76" s="3524"/>
      <c r="AL76" s="3524"/>
      <c r="AM76" s="3524"/>
      <c r="AN76" s="3524"/>
      <c r="AO76" s="3524"/>
    </row>
  </sheetData>
  <autoFilter ref="A1:AO1"/>
  <phoneticPr fontId="134" type="noConversion"/>
  <hyperlinks>
    <hyperlink ref="Q14" r:id="rId1"/>
  </hyperlinks>
  <pageMargins left="0.7" right="0.7" top="0.75" bottom="0.75" header="0.3" footer="0.3"/>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F11" sqref="F11"/>
    </sheetView>
  </sheetViews>
  <sheetFormatPr defaultRowHeight="13.5"/>
  <cols>
    <col min="1" max="1" width="1.25" customWidth="1"/>
  </cols>
  <sheetData>
    <row r="2" spans="2:5">
      <c r="B2" s="3550" t="s">
        <v>4445</v>
      </c>
      <c r="C2" s="3550" t="s">
        <v>4444</v>
      </c>
    </row>
    <row r="3" spans="2:5">
      <c r="B3">
        <v>2019</v>
      </c>
      <c r="C3">
        <v>1.22</v>
      </c>
    </row>
    <row r="4" spans="2:5">
      <c r="B4">
        <v>2020</v>
      </c>
      <c r="C4">
        <v>1.04</v>
      </c>
    </row>
    <row r="5" spans="2:5">
      <c r="B5">
        <v>2021</v>
      </c>
      <c r="C5">
        <v>1.33</v>
      </c>
    </row>
    <row r="6" spans="2:5">
      <c r="B6">
        <v>2022</v>
      </c>
      <c r="C6">
        <v>1.31</v>
      </c>
      <c r="E6">
        <f>C6*1.03</f>
        <v>1.3493000000000002</v>
      </c>
    </row>
    <row r="7" spans="2:5">
      <c r="B7" s="3550" t="s">
        <v>4446</v>
      </c>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3" t="str">
        <f>IF(项目基本情况!B9="房地产市场价值","估价结果一览表","结果表-2")</f>
        <v>结果表-2</v>
      </c>
      <c r="B1" s="3573"/>
      <c r="C1" s="3573"/>
      <c r="D1" s="3573"/>
      <c r="E1" s="3573"/>
      <c r="F1" s="3573"/>
      <c r="G1" s="3573"/>
      <c r="H1" s="3573"/>
      <c r="I1" s="3573"/>
    </row>
    <row r="2" spans="1:9" ht="30" customHeight="1" thickTop="1">
      <c r="A2" s="3574" t="s">
        <v>928</v>
      </c>
      <c r="B2" s="3574" t="s">
        <v>929</v>
      </c>
      <c r="C2" s="3574" t="s">
        <v>930</v>
      </c>
      <c r="D2" s="3574" t="str">
        <f>结果表!D116</f>
        <v>出让国有建设用地使用权价值</v>
      </c>
      <c r="E2" s="3574"/>
      <c r="F2" s="3574" t="str">
        <f>结果表!F116</f>
        <v>在建建筑物价值</v>
      </c>
      <c r="G2" s="3574"/>
      <c r="H2" s="3574" t="str">
        <f>IF(项目基本情况!B9="房地产市场价值","房地产市场价值","房地产价值")</f>
        <v>房地产价值</v>
      </c>
      <c r="I2" s="3574"/>
    </row>
    <row r="3" spans="1:9" ht="15">
      <c r="A3" s="3569"/>
      <c r="B3" s="3569"/>
      <c r="C3" s="3569"/>
      <c r="D3" s="854" t="s">
        <v>925</v>
      </c>
      <c r="E3" s="854" t="s">
        <v>931</v>
      </c>
      <c r="F3" s="854" t="s">
        <v>925</v>
      </c>
      <c r="G3" s="854" t="s">
        <v>926</v>
      </c>
      <c r="H3" s="854" t="s">
        <v>925</v>
      </c>
      <c r="I3" s="854" t="s">
        <v>926</v>
      </c>
    </row>
    <row r="4" spans="1:9" ht="15">
      <c r="A4" s="1505" t="str">
        <f>项目基本情况!S2</f>
        <v>房地产</v>
      </c>
      <c r="B4" s="854">
        <f>项目基本情况!C17</f>
        <v>57452.09</v>
      </c>
      <c r="C4" s="854">
        <f>项目基本情况!C18</f>
        <v>10178.42</v>
      </c>
      <c r="D4" s="854" t="e">
        <f ca="1">结果表!D118</f>
        <v>#REF!</v>
      </c>
      <c r="E4" s="854" t="e">
        <f ca="1">结果表!E118</f>
        <v>#REF!</v>
      </c>
      <c r="F4" s="854" t="e">
        <f ca="1">结果表!F118</f>
        <v>#REF!</v>
      </c>
      <c r="G4" s="854" t="e">
        <f ca="1">结果表!G118</f>
        <v>#REF!</v>
      </c>
      <c r="H4" s="854">
        <f ca="1">结果表!H118</f>
        <v>212123</v>
      </c>
      <c r="I4" s="854">
        <f ca="1">结果表!I118</f>
        <v>36922</v>
      </c>
    </row>
    <row r="5" spans="1:9" ht="30" customHeight="1">
      <c r="A5" s="3569" t="s">
        <v>927</v>
      </c>
      <c r="B5" s="3569"/>
      <c r="C5" s="3569"/>
      <c r="D5" s="3569" t="e">
        <f ca="1">结果表!D119</f>
        <v>#REF!</v>
      </c>
      <c r="E5" s="3569"/>
      <c r="F5" s="3569" t="e">
        <f ca="1">结果表!F119</f>
        <v>#REF!</v>
      </c>
      <c r="G5" s="3569"/>
      <c r="H5" s="3569" t="str">
        <f ca="1">结果表!H119</f>
        <v>贰拾壹亿贰仟壹佰贰拾叁万元整</v>
      </c>
      <c r="I5" s="3569"/>
    </row>
    <row r="6" spans="1:9" ht="15.75">
      <c r="A6" s="3568" t="str">
        <f>结果表!A120</f>
        <v>估价师知悉的法定优先受偿款</v>
      </c>
      <c r="B6" s="3568"/>
      <c r="C6" s="3568"/>
      <c r="D6" s="3568">
        <f>结果表!D120</f>
        <v>0</v>
      </c>
      <c r="E6" s="3568"/>
      <c r="F6" s="3568"/>
      <c r="G6" s="3568"/>
      <c r="H6" s="3568"/>
      <c r="I6" s="3568"/>
    </row>
    <row r="7" spans="1:9" ht="15">
      <c r="A7" s="3569" t="s">
        <v>927</v>
      </c>
      <c r="B7" s="3569"/>
      <c r="C7" s="3569"/>
      <c r="D7" s="3570" t="str">
        <f>结果表!D121</f>
        <v>零元整</v>
      </c>
      <c r="E7" s="3571"/>
      <c r="F7" s="3571"/>
      <c r="G7" s="3571"/>
      <c r="H7" s="3571"/>
      <c r="I7" s="3572"/>
    </row>
    <row r="8" spans="1:9" ht="15.75">
      <c r="A8" s="3568" t="str">
        <f>结果表!A122</f>
        <v>房地产抵押价值</v>
      </c>
      <c r="B8" s="3568"/>
      <c r="C8" s="3568"/>
      <c r="D8" s="3568">
        <f ca="1">结果表!D122</f>
        <v>212123</v>
      </c>
      <c r="E8" s="3568"/>
      <c r="F8" s="3568"/>
      <c r="G8" s="3568"/>
      <c r="H8" s="3568"/>
      <c r="I8" s="3568"/>
    </row>
    <row r="9" spans="1:9" ht="15">
      <c r="A9" s="3569" t="s">
        <v>927</v>
      </c>
      <c r="B9" s="3569"/>
      <c r="C9" s="3569"/>
      <c r="D9" s="3569" t="str">
        <f ca="1">结果表!D123</f>
        <v>贰拾壹亿贰仟壹佰贰拾叁万元整</v>
      </c>
      <c r="E9" s="3569"/>
      <c r="F9" s="3569"/>
      <c r="G9" s="3569"/>
      <c r="H9" s="3569"/>
      <c r="I9" s="3569"/>
    </row>
    <row r="10" spans="1:9" ht="15.75">
      <c r="A10" s="3568" t="str">
        <f>结果表!A124</f>
        <v/>
      </c>
      <c r="B10" s="3568"/>
      <c r="C10" s="3568"/>
      <c r="D10" s="3568" t="str">
        <f>结果表!D124</f>
        <v>——</v>
      </c>
      <c r="E10" s="3568"/>
      <c r="F10" s="3568"/>
      <c r="G10" s="3568"/>
      <c r="H10" s="3568"/>
      <c r="I10" s="3568"/>
    </row>
    <row r="11" spans="1:9" ht="15">
      <c r="A11" s="3569" t="s">
        <v>927</v>
      </c>
      <c r="B11" s="3569"/>
      <c r="C11" s="3569"/>
      <c r="D11" s="3569" t="e">
        <f>结果表!D125</f>
        <v>#VALUE!</v>
      </c>
      <c r="E11" s="3569"/>
      <c r="F11" s="3569"/>
      <c r="G11" s="3569"/>
      <c r="H11" s="3569"/>
      <c r="I11" s="3569"/>
    </row>
    <row r="12" spans="1:9" ht="15.75">
      <c r="A12" s="3568" t="str">
        <f>结果表!A126</f>
        <v/>
      </c>
      <c r="B12" s="3568"/>
      <c r="C12" s="3568"/>
      <c r="D12" s="3568" t="str">
        <f>结果表!D126</f>
        <v>——</v>
      </c>
      <c r="E12" s="3568"/>
      <c r="F12" s="3568"/>
      <c r="G12" s="3568"/>
      <c r="H12" s="3568"/>
      <c r="I12" s="3568"/>
    </row>
    <row r="13" spans="1:9" ht="15.75" thickBot="1">
      <c r="A13" s="3566" t="s">
        <v>927</v>
      </c>
      <c r="B13" s="3566"/>
      <c r="C13" s="3566"/>
      <c r="D13" s="3566" t="e">
        <f>结果表!D127</f>
        <v>#VALUE!</v>
      </c>
      <c r="E13" s="3566"/>
      <c r="F13" s="3566"/>
      <c r="G13" s="3566"/>
      <c r="H13" s="3566"/>
      <c r="I13" s="3566"/>
    </row>
    <row r="14" spans="1:9" ht="15" thickTop="1">
      <c r="A14" s="3567" t="s">
        <v>932</v>
      </c>
      <c r="B14" s="3567"/>
      <c r="C14" s="3567"/>
      <c r="D14" s="3567"/>
      <c r="E14" s="3567"/>
      <c r="F14" s="3567"/>
      <c r="G14" s="3567"/>
      <c r="H14" s="3567"/>
      <c r="I14" s="35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81" t="s">
        <v>949</v>
      </c>
      <c r="B1" s="3581"/>
      <c r="C1" s="3581"/>
      <c r="D1" s="3581"/>
    </row>
    <row r="2" spans="1:4" ht="18">
      <c r="A2" s="3582" t="s">
        <v>933</v>
      </c>
      <c r="B2" s="3582"/>
      <c r="C2" s="3582"/>
      <c r="D2" s="358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82" t="s">
        <v>939</v>
      </c>
      <c r="B6" s="3582"/>
      <c r="C6" s="3582"/>
      <c r="D6" s="35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83" t="s">
        <v>942</v>
      </c>
      <c r="B11" s="3575"/>
      <c r="C11" s="3575"/>
      <c r="D11" s="3575"/>
    </row>
    <row r="12" spans="1:4" ht="15.75">
      <c r="A12" s="35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0"/>
      <c r="C12" s="3580"/>
      <c r="D12" s="3580"/>
    </row>
    <row r="13" spans="1:4" ht="30" customHeight="1">
      <c r="A13" s="35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0"/>
      <c r="C13" s="3580"/>
      <c r="D13" s="3580"/>
    </row>
    <row r="14" spans="1:4" ht="15.75" customHeight="1">
      <c r="A14" s="3575" t="str">
        <f>IF(项目基本情况!B8="抵押","4.本次评估估价师所知悉的法定优先受偿款情况说明如下：","——")</f>
        <v>4.本次评估估价师所知悉的法定优先受偿款情况说明如下：</v>
      </c>
      <c r="B14" s="3580"/>
      <c r="C14" s="3580"/>
      <c r="D14" s="3580"/>
    </row>
    <row r="15" spans="1:4" ht="42" customHeight="1">
      <c r="A15" s="35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5"/>
      <c r="C15" s="3575"/>
      <c r="D15" s="3575"/>
    </row>
    <row r="16" spans="1:4" ht="30" customHeight="1">
      <c r="A16" s="3577" t="s">
        <v>943</v>
      </c>
      <c r="B16" s="3577"/>
      <c r="C16" s="3577"/>
      <c r="D16" s="3577"/>
    </row>
    <row r="17" spans="1:4" ht="144" customHeight="1">
      <c r="A17" s="3577" t="s">
        <v>944</v>
      </c>
      <c r="B17" s="3577"/>
      <c r="C17" s="3577"/>
      <c r="D17" s="3577"/>
    </row>
    <row r="18" spans="1:4" ht="15.75" customHeight="1">
      <c r="A18" s="3575" t="str">
        <f>IF(项目基本情况!B8="抵押",结果表!K120,"——")</f>
        <v>故，本次评估不存在估价师知悉的法定优先受偿款</v>
      </c>
      <c r="B18" s="3575"/>
      <c r="C18" s="3575"/>
      <c r="D18" s="3575"/>
    </row>
    <row r="19" spans="1:4" ht="46.5" customHeight="1">
      <c r="A19" s="35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5"/>
      <c r="C19" s="3575"/>
      <c r="D19" s="3575"/>
    </row>
    <row r="20" spans="1:4" ht="57.75" customHeight="1">
      <c r="A20" s="35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5"/>
      <c r="C20" s="3575"/>
      <c r="D20" s="3575"/>
    </row>
    <row r="21" spans="1:4" ht="57.75" customHeight="1">
      <c r="A21" s="35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8"/>
      <c r="C21" s="3578"/>
      <c r="D21" s="3578"/>
    </row>
    <row r="22" spans="1:4" ht="18.75" customHeight="1">
      <c r="A22" s="3579" t="s">
        <v>945</v>
      </c>
      <c r="B22" s="3579"/>
      <c r="C22" s="3579"/>
      <c r="D22" s="35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76">
        <v>42551</v>
      </c>
      <c r="D31" s="35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89" t="s">
        <v>956</v>
      </c>
      <c r="B15" s="3584" t="s">
        <v>109</v>
      </c>
      <c r="C15" s="3585"/>
    </row>
    <row r="16" spans="1:7" ht="13.5">
      <c r="A16" s="3590"/>
      <c r="B16" s="3584" t="s">
        <v>42</v>
      </c>
      <c r="C16" s="3585"/>
    </row>
    <row r="17" spans="1:3" ht="13.5">
      <c r="A17" s="3590"/>
      <c r="B17" s="3587" t="s">
        <v>957</v>
      </c>
      <c r="C17" s="1532" t="s">
        <v>956</v>
      </c>
    </row>
    <row r="18" spans="1:3" ht="13.5">
      <c r="A18" s="3590"/>
      <c r="B18" s="3587"/>
      <c r="C18" s="1532" t="s">
        <v>958</v>
      </c>
    </row>
    <row r="19" spans="1:3" ht="13.5">
      <c r="A19" s="3590"/>
      <c r="B19" s="3587"/>
      <c r="C19" s="1532" t="s">
        <v>959</v>
      </c>
    </row>
    <row r="20" spans="1:3" ht="13.5">
      <c r="A20" s="3591"/>
      <c r="B20" s="3586" t="s">
        <v>960</v>
      </c>
      <c r="C20" s="3585"/>
    </row>
    <row r="21" spans="1:3" ht="13.5">
      <c r="A21" s="1533" t="s">
        <v>961</v>
      </c>
      <c r="B21" s="1534"/>
      <c r="C21" s="1535"/>
    </row>
    <row r="22" spans="1:3" ht="13.5">
      <c r="A22" s="3588" t="s">
        <v>962</v>
      </c>
      <c r="B22" s="3586" t="s">
        <v>963</v>
      </c>
      <c r="C22" s="3585"/>
    </row>
    <row r="23" spans="1:3" ht="13.5">
      <c r="A23" s="3588"/>
      <c r="B23" s="3586" t="s">
        <v>964</v>
      </c>
      <c r="C23" s="3585"/>
    </row>
    <row r="24" spans="1:3" ht="13.5">
      <c r="A24" s="3588"/>
      <c r="B24" s="3586" t="s">
        <v>965</v>
      </c>
      <c r="C24" s="3585"/>
    </row>
    <row r="25" spans="1:3" ht="13.5">
      <c r="A25" s="3588"/>
      <c r="B25" s="3587" t="s">
        <v>966</v>
      </c>
      <c r="C25" s="1532" t="s">
        <v>967</v>
      </c>
    </row>
    <row r="26" spans="1:3" ht="13.5">
      <c r="A26" s="3588"/>
      <c r="B26" s="3587"/>
      <c r="C26" s="1532" t="s">
        <v>968</v>
      </c>
    </row>
    <row r="27" spans="1:3" ht="13.5">
      <c r="A27" s="3588"/>
      <c r="B27" s="3587"/>
      <c r="C27" s="1532" t="s">
        <v>969</v>
      </c>
    </row>
    <row r="28" spans="1:3" ht="13.5">
      <c r="A28" s="3588"/>
      <c r="B28" s="3587"/>
      <c r="C28" s="1532" t="s">
        <v>970</v>
      </c>
    </row>
    <row r="29" spans="1:3" ht="13.5">
      <c r="A29" s="3588"/>
      <c r="B29" s="3587"/>
      <c r="C29" s="1532" t="s">
        <v>971</v>
      </c>
    </row>
    <row r="30" spans="1:3" ht="13.5">
      <c r="A30" s="3588"/>
      <c r="B30" s="3587"/>
      <c r="C30" s="1532" t="s">
        <v>972</v>
      </c>
    </row>
    <row r="31" spans="1:3" ht="13.5">
      <c r="A31" s="3588"/>
      <c r="B31" s="3587"/>
      <c r="C31" s="1532" t="s">
        <v>973</v>
      </c>
    </row>
    <row r="32" spans="1:3" ht="13.5">
      <c r="A32" s="3588"/>
      <c r="B32" s="3587"/>
      <c r="C32" s="1532" t="s">
        <v>974</v>
      </c>
    </row>
    <row r="33" spans="1:3" ht="13.5">
      <c r="A33" s="3588"/>
      <c r="B33" s="35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45054</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2440</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92" t="s">
        <v>2160</v>
      </c>
      <c r="B17" s="3592"/>
      <c r="C17" s="3592"/>
      <c r="D17" s="3592"/>
      <c r="E17" s="3592"/>
      <c r="F17" s="3592"/>
      <c r="G17" s="3592"/>
      <c r="H17" s="3592"/>
    </row>
    <row r="18" spans="1:8" ht="24" customHeight="1">
      <c r="A18" s="3593" t="s">
        <v>2161</v>
      </c>
      <c r="B18" s="3593"/>
      <c r="C18" s="3593"/>
      <c r="D18" s="2341"/>
      <c r="E18" s="3594" t="s">
        <v>2162</v>
      </c>
      <c r="F18" s="3593"/>
      <c r="G18" s="3593"/>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面积</vt:lpstr>
      <vt:lpstr>台账</vt:lpstr>
      <vt:lpstr>大宗交易案例</vt:lpstr>
      <vt:lpstr>各年收入情况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2023-05-08T07:58:13Z</dcterms:modified>
</cp:coreProperties>
</file>