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综合-诗霖\2024年\北保\2024-1-0271 北京市昌平区北七家镇八仙庄村仓储用地\"/>
    </mc:Choice>
  </mc:AlternateContent>
  <bookViews>
    <workbookView xWindow="0" yWindow="0" windowWidth="20496" windowHeight="7752" tabRatio="875" firstSheet="14"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比较法案例" sheetId="75" r:id="rId24"/>
    <sheet name="Sheet2" sheetId="73"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比较法-工业 (2)" sheetId="76" r:id="rId42"/>
    <sheet name="成本案例" sheetId="72"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1" hidden="1">'比较法-工业 (2)'!$A$1:$L$45</definedName>
    <definedName name="_xlnm._FilterDatabase" localSheetId="21"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1">'比较法-工业 (2)'!$A$1:$K$62,'比较法-工业 (2)'!$A$65:$N$122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1">'比较法-工业 (2)'!$B$115:$M$115</definedName>
    <definedName name="套工工程地质条件">'比较法-工业'!$B$115:$M$115</definedName>
    <definedName name="套工交易情况">'比较法-住宅、综合'!$A$74:$M$74</definedName>
    <definedName name="套工开发程度" localSheetId="41">'比较法-工业 (2)'!$B$113:$M$113</definedName>
    <definedName name="套工开发程度">'比较法-工业'!$B$113:$M$113</definedName>
    <definedName name="套工临街等级" localSheetId="41">'比较法-工业 (2)'!$B$98:$M$98</definedName>
    <definedName name="套工临街等级">'比较法-工业'!$B$98:$M$98</definedName>
    <definedName name="套工土地级别" localSheetId="41">'比较法-工业 (2)'!$B$100:$M$100</definedName>
    <definedName name="套工土地级别">'比较法-工业'!$B$100:$M$100</definedName>
    <definedName name="套工用途" localSheetId="41">'比较法-工业 (2)'!$B$71:$M$71</definedName>
    <definedName name="套工用途">'比较法-工业'!$B$71:$M$71</definedName>
    <definedName name="套工宗地形状" localSheetId="41">'比较法-工业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13" i="3" l="1"/>
  <c r="A6" i="77" l="1"/>
  <c r="E109" i="76" l="1"/>
  <c r="F109" i="76" s="1"/>
  <c r="G109" i="76" s="1"/>
  <c r="H109" i="76" s="1"/>
  <c r="I109" i="76" s="1"/>
  <c r="J109" i="76" s="1"/>
  <c r="K109" i="76" s="1"/>
  <c r="L109" i="76" s="1"/>
  <c r="D109" i="76"/>
  <c r="M109" i="40"/>
  <c r="E109" i="40"/>
  <c r="F109" i="40" s="1"/>
  <c r="G109" i="40" s="1"/>
  <c r="H109" i="40" s="1"/>
  <c r="I109" i="40" s="1"/>
  <c r="J109" i="40" s="1"/>
  <c r="K109" i="40" s="1"/>
  <c r="L109" i="40" s="1"/>
  <c r="D109" i="40"/>
  <c r="D8" i="11"/>
  <c r="F67" i="76"/>
  <c r="G67" i="76" s="1"/>
  <c r="H67" i="76" s="1"/>
  <c r="I67" i="76" s="1"/>
  <c r="J67" i="76" s="1"/>
  <c r="K67" i="76" s="1"/>
  <c r="L67" i="76" s="1"/>
  <c r="M67" i="76" s="1"/>
  <c r="N67" i="76" s="1"/>
  <c r="E67" i="76"/>
  <c r="D67" i="76"/>
  <c r="E7" i="40"/>
  <c r="G7" i="40"/>
  <c r="I7" i="40"/>
  <c r="I9" i="76"/>
  <c r="G9" i="76"/>
  <c r="E9" i="76"/>
  <c r="B121" i="76"/>
  <c r="B119" i="76"/>
  <c r="B117" i="76"/>
  <c r="J116" i="76"/>
  <c r="K116" i="76" s="1"/>
  <c r="L116" i="76" s="1"/>
  <c r="M116" i="76" s="1"/>
  <c r="F116" i="76"/>
  <c r="G116" i="76" s="1"/>
  <c r="H116" i="76" s="1"/>
  <c r="I116" i="76" s="1"/>
  <c r="E116" i="76"/>
  <c r="D116" i="76"/>
  <c r="D114" i="76"/>
  <c r="E114" i="76" s="1"/>
  <c r="F114" i="76" s="1"/>
  <c r="G114" i="76" s="1"/>
  <c r="H114" i="76" s="1"/>
  <c r="I114" i="76" s="1"/>
  <c r="J114" i="76" s="1"/>
  <c r="K114" i="76" s="1"/>
  <c r="L114" i="76" s="1"/>
  <c r="M114" i="76" s="1"/>
  <c r="F112" i="76"/>
  <c r="G112" i="76" s="1"/>
  <c r="H112" i="76" s="1"/>
  <c r="I112" i="76" s="1"/>
  <c r="J112" i="76" s="1"/>
  <c r="K112" i="76" s="1"/>
  <c r="L112" i="76" s="1"/>
  <c r="M112" i="76" s="1"/>
  <c r="E112" i="76"/>
  <c r="D112" i="76"/>
  <c r="D108" i="76"/>
  <c r="C108" i="76"/>
  <c r="B106" i="76"/>
  <c r="B104" i="76"/>
  <c r="B102" i="76"/>
  <c r="F101" i="76"/>
  <c r="G101" i="76" s="1"/>
  <c r="H101" i="76" s="1"/>
  <c r="I101" i="76" s="1"/>
  <c r="J101" i="76" s="1"/>
  <c r="K101" i="76" s="1"/>
  <c r="L101" i="76" s="1"/>
  <c r="M101" i="76" s="1"/>
  <c r="E101" i="76"/>
  <c r="D101" i="76"/>
  <c r="H99" i="76"/>
  <c r="I99" i="76" s="1"/>
  <c r="J99" i="76" s="1"/>
  <c r="K99" i="76" s="1"/>
  <c r="L99" i="76" s="1"/>
  <c r="M99" i="76" s="1"/>
  <c r="D99" i="76"/>
  <c r="E99" i="76" s="1"/>
  <c r="F99" i="76" s="1"/>
  <c r="G99" i="76" s="1"/>
  <c r="J97" i="76"/>
  <c r="K97" i="76" s="1"/>
  <c r="L97" i="76" s="1"/>
  <c r="M97" i="76" s="1"/>
  <c r="F97" i="76"/>
  <c r="G97" i="76" s="1"/>
  <c r="H97" i="76" s="1"/>
  <c r="I97" i="76" s="1"/>
  <c r="E97" i="76"/>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J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O66" i="76"/>
  <c r="I61" i="76"/>
  <c r="H61" i="76"/>
  <c r="C61" i="76"/>
  <c r="I60" i="76"/>
  <c r="H60" i="76"/>
  <c r="C60" i="76"/>
  <c r="I59" i="76"/>
  <c r="H59" i="76"/>
  <c r="C59" i="76"/>
  <c r="I58" i="76"/>
  <c r="C58" i="76" s="1"/>
  <c r="H58" i="76"/>
  <c r="I57" i="76"/>
  <c r="H57" i="76"/>
  <c r="C57" i="76"/>
  <c r="I56" i="76"/>
  <c r="C56" i="76" s="1"/>
  <c r="H56" i="76"/>
  <c r="H55" i="76"/>
  <c r="I55" i="76" s="1"/>
  <c r="C55" i="76" s="1"/>
  <c r="I54" i="76"/>
  <c r="C54" i="76" s="1"/>
  <c r="H54" i="76"/>
  <c r="J52" i="76"/>
  <c r="P45" i="76"/>
  <c r="P44" i="76"/>
  <c r="K44" i="76"/>
  <c r="P43" i="76"/>
  <c r="W42" i="76"/>
  <c r="Q42" i="76"/>
  <c r="Z42" i="76" s="1"/>
  <c r="J42" i="76"/>
  <c r="AC42" i="76" s="1"/>
  <c r="H42" i="76"/>
  <c r="AB42" i="76" s="1"/>
  <c r="F42" i="76"/>
  <c r="AA42" i="76" s="1"/>
  <c r="U41" i="76"/>
  <c r="Q41" i="76"/>
  <c r="Z41" i="76" s="1"/>
  <c r="J41" i="76"/>
  <c r="AC41" i="76" s="1"/>
  <c r="H41" i="76"/>
  <c r="AB41" i="76" s="1"/>
  <c r="F41" i="76"/>
  <c r="AA41" i="76" s="1"/>
  <c r="S40" i="76"/>
  <c r="Q40" i="76"/>
  <c r="Z40" i="76" s="1"/>
  <c r="F40" i="76"/>
  <c r="AA40" i="76" s="1"/>
  <c r="Q39" i="76"/>
  <c r="Z39" i="76" s="1"/>
  <c r="J39" i="76"/>
  <c r="AC39" i="76" s="1"/>
  <c r="H39" i="76"/>
  <c r="AB39" i="76" s="1"/>
  <c r="F39" i="76"/>
  <c r="AA39" i="76" s="1"/>
  <c r="AC38" i="76"/>
  <c r="Q38" i="76"/>
  <c r="Z38" i="76" s="1"/>
  <c r="J38" i="76"/>
  <c r="W38" i="76" s="1"/>
  <c r="H38" i="76"/>
  <c r="AB38" i="76" s="1"/>
  <c r="F38" i="76"/>
  <c r="AA38" i="76" s="1"/>
  <c r="Q37" i="76"/>
  <c r="Z37" i="76" s="1"/>
  <c r="J37" i="76"/>
  <c r="AC37" i="76" s="1"/>
  <c r="H37" i="76"/>
  <c r="AB37" i="76" s="1"/>
  <c r="F37" i="76"/>
  <c r="AA37" i="76" s="1"/>
  <c r="Q36" i="76"/>
  <c r="Z36" i="76" s="1"/>
  <c r="Z35" i="76"/>
  <c r="Q35" i="76"/>
  <c r="J35" i="76"/>
  <c r="AC35" i="76" s="1"/>
  <c r="H35" i="76"/>
  <c r="AB35" i="76" s="1"/>
  <c r="F35" i="76"/>
  <c r="AA35" i="76" s="1"/>
  <c r="Q34" i="76"/>
  <c r="Z34" i="76" s="1"/>
  <c r="J34" i="76"/>
  <c r="AC34" i="76" s="1"/>
  <c r="H34" i="76"/>
  <c r="AB34" i="76" s="1"/>
  <c r="F34" i="76"/>
  <c r="AA34" i="76" s="1"/>
  <c r="U33" i="76"/>
  <c r="Q33" i="76"/>
  <c r="Z33" i="76" s="1"/>
  <c r="H33" i="76"/>
  <c r="AB33" i="76" s="1"/>
  <c r="Q32" i="76"/>
  <c r="Z32" i="76" s="1"/>
  <c r="J32" i="76"/>
  <c r="AC32" i="76" s="1"/>
  <c r="F32" i="76"/>
  <c r="AA32" i="76" s="1"/>
  <c r="C32" i="76"/>
  <c r="H32" i="76" s="1"/>
  <c r="Q30" i="76"/>
  <c r="Z30" i="76" s="1"/>
  <c r="J30" i="76"/>
  <c r="AC30" i="76" s="1"/>
  <c r="H30" i="76"/>
  <c r="AB30" i="76" s="1"/>
  <c r="F30" i="76"/>
  <c r="AA30" i="76" s="1"/>
  <c r="C30" i="76"/>
  <c r="AA29" i="76"/>
  <c r="Q29" i="76"/>
  <c r="Z29" i="76" s="1"/>
  <c r="J29" i="76"/>
  <c r="AC29" i="76" s="1"/>
  <c r="H29" i="76"/>
  <c r="AB29" i="76" s="1"/>
  <c r="F29" i="76"/>
  <c r="S29" i="76" s="1"/>
  <c r="Z27" i="76"/>
  <c r="Q27" i="76"/>
  <c r="J27" i="76"/>
  <c r="AC27" i="76" s="1"/>
  <c r="H27" i="76"/>
  <c r="AB27" i="76" s="1"/>
  <c r="F27" i="76"/>
  <c r="AA27" i="76" s="1"/>
  <c r="C27" i="76"/>
  <c r="Z25" i="76"/>
  <c r="Q25" i="76"/>
  <c r="J25" i="76"/>
  <c r="AC25" i="76" s="1"/>
  <c r="C25" i="76"/>
  <c r="Z23" i="76"/>
  <c r="Q23" i="76"/>
  <c r="J23" i="76"/>
  <c r="AC23" i="76" s="1"/>
  <c r="H23" i="76"/>
  <c r="U23" i="76" s="1"/>
  <c r="F23" i="76"/>
  <c r="AA23" i="76" s="1"/>
  <c r="C23" i="76"/>
  <c r="Z21" i="76"/>
  <c r="Q21" i="76"/>
  <c r="J21" i="76"/>
  <c r="AC21" i="76" s="1"/>
  <c r="H21" i="76"/>
  <c r="U21" i="76" s="1"/>
  <c r="F21" i="76"/>
  <c r="AA21" i="76" s="1"/>
  <c r="C21" i="76"/>
  <c r="Z19" i="76"/>
  <c r="Q19" i="76"/>
  <c r="J19" i="76"/>
  <c r="AC19" i="76" s="1"/>
  <c r="H19" i="76"/>
  <c r="U19" i="76" s="1"/>
  <c r="F19" i="76"/>
  <c r="AA19" i="76" s="1"/>
  <c r="C19" i="76"/>
  <c r="AB17" i="76"/>
  <c r="AA17" i="76"/>
  <c r="Q17" i="76"/>
  <c r="Z17" i="76" s="1"/>
  <c r="J17" i="76"/>
  <c r="AC17" i="76" s="1"/>
  <c r="H17" i="76"/>
  <c r="U17" i="76" s="1"/>
  <c r="F17" i="76"/>
  <c r="S17" i="76" s="1"/>
  <c r="C17" i="76"/>
  <c r="Z16" i="76"/>
  <c r="U16" i="76"/>
  <c r="Q16" i="76"/>
  <c r="H16" i="76"/>
  <c r="AB16" i="76" s="1"/>
  <c r="F16" i="76"/>
  <c r="S16" i="76" s="1"/>
  <c r="Q15" i="76"/>
  <c r="Z15" i="76" s="1"/>
  <c r="J15" i="76"/>
  <c r="AC15" i="76" s="1"/>
  <c r="H15" i="76"/>
  <c r="AB15" i="76" s="1"/>
  <c r="F15" i="76"/>
  <c r="AA15" i="76" s="1"/>
  <c r="Q14" i="76"/>
  <c r="Z14" i="76" s="1"/>
  <c r="J14" i="76"/>
  <c r="AC14" i="76" s="1"/>
  <c r="H14" i="76"/>
  <c r="AB14" i="76" s="1"/>
  <c r="F14" i="76"/>
  <c r="AA14" i="76" s="1"/>
  <c r="Q13" i="76"/>
  <c r="Z13" i="76" s="1"/>
  <c r="H13" i="76"/>
  <c r="AB13" i="76" s="1"/>
  <c r="F13" i="76"/>
  <c r="AA13" i="76" s="1"/>
  <c r="Q12" i="76"/>
  <c r="Z12" i="76" s="1"/>
  <c r="Q11" i="76"/>
  <c r="Z11" i="76" s="1"/>
  <c r="J11" i="76"/>
  <c r="AC11" i="76" s="1"/>
  <c r="H11" i="76"/>
  <c r="AB11" i="76" s="1"/>
  <c r="F11" i="76"/>
  <c r="AA11" i="76" s="1"/>
  <c r="AC10" i="76"/>
  <c r="AB10" i="76"/>
  <c r="U10" i="76"/>
  <c r="S10" i="76"/>
  <c r="J10" i="76"/>
  <c r="W10" i="76" s="1"/>
  <c r="H10" i="76"/>
  <c r="F10" i="76"/>
  <c r="AA10" i="76" s="1"/>
  <c r="D54" i="37"/>
  <c r="D53" i="37" s="1"/>
  <c r="E53" i="37" s="1"/>
  <c r="F53" i="37" s="1"/>
  <c r="G53" i="37" s="1"/>
  <c r="H53" i="37" s="1"/>
  <c r="I53" i="37" s="1"/>
  <c r="J53" i="37" s="1"/>
  <c r="K53" i="37" s="1"/>
  <c r="E54" i="37"/>
  <c r="F54" i="37"/>
  <c r="G54" i="37"/>
  <c r="H54" i="37"/>
  <c r="I54" i="37"/>
  <c r="J54" i="37"/>
  <c r="K54" i="37"/>
  <c r="L54" i="37"/>
  <c r="M54" i="37"/>
  <c r="G84" i="46"/>
  <c r="G85" i="46"/>
  <c r="G86" i="46"/>
  <c r="G87" i="46"/>
  <c r="G88" i="46"/>
  <c r="G89" i="46"/>
  <c r="G90" i="46"/>
  <c r="G83" i="46"/>
  <c r="O67" i="40"/>
  <c r="P67" i="40" s="1"/>
  <c r="Q67" i="40" s="1"/>
  <c r="R67" i="40" s="1"/>
  <c r="S67" i="40" s="1"/>
  <c r="T67" i="40" s="1"/>
  <c r="U67" i="40" s="1"/>
  <c r="V67" i="40" s="1"/>
  <c r="W67" i="40" s="1"/>
  <c r="X67" i="40" s="1"/>
  <c r="Y67" i="40" s="1"/>
  <c r="Z67" i="40" s="1"/>
  <c r="O66" i="40"/>
  <c r="D67" i="40"/>
  <c r="E67" i="40" s="1"/>
  <c r="F67" i="40" s="1"/>
  <c r="G67" i="40" s="1"/>
  <c r="H67" i="40" s="1"/>
  <c r="I67" i="40" s="1"/>
  <c r="J67" i="40" s="1"/>
  <c r="K67" i="40" s="1"/>
  <c r="L67" i="40" s="1"/>
  <c r="M67" i="40" s="1"/>
  <c r="I9" i="40"/>
  <c r="G9" i="40"/>
  <c r="E9" i="40"/>
  <c r="I43" i="40"/>
  <c r="G43" i="40"/>
  <c r="E43" i="40"/>
  <c r="I36" i="40"/>
  <c r="G36" i="40"/>
  <c r="E36" i="40"/>
  <c r="B59" i="1"/>
  <c r="B29" i="1"/>
  <c r="F19" i="6"/>
  <c r="D33" i="46" s="1"/>
  <c r="K11" i="73"/>
  <c r="P7" i="73"/>
  <c r="K6" i="73"/>
  <c r="K5" i="73"/>
  <c r="G27" i="72"/>
  <c r="H27" i="72" s="1"/>
  <c r="G26" i="72"/>
  <c r="P24" i="72"/>
  <c r="P23" i="72"/>
  <c r="P22" i="72"/>
  <c r="P21" i="72"/>
  <c r="P20" i="72"/>
  <c r="P19" i="72"/>
  <c r="P18" i="72"/>
  <c r="P17" i="72"/>
  <c r="P16" i="72"/>
  <c r="P15" i="72"/>
  <c r="O14" i="72"/>
  <c r="P14" i="72" s="1"/>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s="1"/>
  <c r="H5" i="72"/>
  <c r="G5" i="72"/>
  <c r="F5" i="72"/>
  <c r="E5" i="72"/>
  <c r="D5" i="72"/>
  <c r="B5" i="72"/>
  <c r="H4" i="72"/>
  <c r="G4" i="72"/>
  <c r="F4" i="72"/>
  <c r="E4" i="72"/>
  <c r="D4" i="72"/>
  <c r="B4" i="72"/>
  <c r="G5" i="37" s="1"/>
  <c r="H3" i="72"/>
  <c r="G3" i="72"/>
  <c r="F3" i="72"/>
  <c r="E3" i="72"/>
  <c r="D3" i="72"/>
  <c r="B3" i="72"/>
  <c r="E7" i="76" s="1"/>
  <c r="G2" i="72"/>
  <c r="F2" i="72"/>
  <c r="E2" i="72"/>
  <c r="D2" i="72"/>
  <c r="J3" i="72" l="1"/>
  <c r="E43" i="76" s="1"/>
  <c r="J5" i="72"/>
  <c r="K5" i="72" s="1"/>
  <c r="C21" i="72" s="1"/>
  <c r="J7" i="72"/>
  <c r="K7" i="72" s="1"/>
  <c r="C23" i="72" s="1"/>
  <c r="J9" i="72"/>
  <c r="K9" i="72" s="1"/>
  <c r="J11" i="72"/>
  <c r="K11" i="72" s="1"/>
  <c r="I7" i="76"/>
  <c r="E5" i="37"/>
  <c r="L53" i="37"/>
  <c r="M53" i="37" s="1"/>
  <c r="N53" i="37" s="1"/>
  <c r="R43" i="76"/>
  <c r="G7" i="76"/>
  <c r="J4" i="72"/>
  <c r="G43" i="76" s="1"/>
  <c r="J6" i="72"/>
  <c r="I43" i="76" s="1"/>
  <c r="J8" i="72"/>
  <c r="K8" i="72" s="1"/>
  <c r="J10" i="72"/>
  <c r="K10" i="72" s="1"/>
  <c r="J12" i="72"/>
  <c r="K12" i="72" s="1"/>
  <c r="M109" i="76"/>
  <c r="M108" i="76" s="1"/>
  <c r="L108" i="76"/>
  <c r="O67" i="76"/>
  <c r="P67" i="76" s="1"/>
  <c r="Q67" i="76" s="1"/>
  <c r="R67" i="76" s="1"/>
  <c r="S67" i="76" s="1"/>
  <c r="T67" i="76" s="1"/>
  <c r="U67" i="76" s="1"/>
  <c r="V67" i="76" s="1"/>
  <c r="W67" i="76" s="1"/>
  <c r="X67" i="76" s="1"/>
  <c r="Y67" i="76" s="1"/>
  <c r="Z67" i="76" s="1"/>
  <c r="S32" i="76"/>
  <c r="F25" i="76"/>
  <c r="AA25" i="76" s="1"/>
  <c r="H25" i="76"/>
  <c r="U25" i="76" s="1"/>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l="1"/>
  <c r="J17" i="72"/>
  <c r="B23" i="72"/>
  <c r="K6" i="72"/>
  <c r="C22" i="72" s="1"/>
  <c r="G50" i="76"/>
  <c r="H50" i="76" s="1"/>
  <c r="B20" i="72"/>
  <c r="E50" i="76"/>
  <c r="F50" i="76" s="1"/>
  <c r="K4" i="72"/>
  <c r="C20" i="72" s="1"/>
  <c r="I50" i="76"/>
  <c r="J50" i="76" s="1"/>
  <c r="V43" i="76"/>
  <c r="S25" i="76"/>
  <c r="AB25" i="76"/>
  <c r="AC40" i="76"/>
  <c r="W40" i="76"/>
  <c r="AC13" i="76"/>
  <c r="W13" i="76"/>
  <c r="AA33" i="76"/>
  <c r="S33" i="76"/>
  <c r="AC33" i="76"/>
  <c r="W33" i="76"/>
  <c r="AB40" i="76"/>
  <c r="U40" i="76"/>
  <c r="G108" i="76"/>
  <c r="C19" i="72"/>
  <c r="K17" i="72" l="1"/>
  <c r="H108" i="76"/>
  <c r="K108" i="76" l="1"/>
  <c r="I108" i="76"/>
  <c r="J108" i="7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E21" i="46"/>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AB13" i="59" s="1"/>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E25" i="59" s="1"/>
  <c r="O25" i="59"/>
  <c r="N25" i="59"/>
  <c r="B25" i="59" s="1"/>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s="1"/>
  <c r="E24" i="59"/>
  <c r="E23" i="59" s="1"/>
  <c r="E22" i="59" s="1"/>
  <c r="E21" i="59" s="1"/>
  <c r="E20" i="59" s="1"/>
  <c r="E19" i="59" s="1"/>
  <c r="E18" i="59" s="1"/>
  <c r="F25" i="59"/>
  <c r="V25" i="59"/>
  <c r="U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3"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F29" i="59" s="1"/>
  <c r="V29" i="59" s="1"/>
  <c r="P29" i="59"/>
  <c r="O29" i="59"/>
  <c r="C29" i="59" s="1"/>
  <c r="T29" i="59" s="1"/>
  <c r="N29" i="59"/>
  <c r="B29" i="59" s="1"/>
  <c r="S29" i="59" s="1"/>
  <c r="D90" i="59"/>
  <c r="F89" i="59"/>
  <c r="E89" i="59"/>
  <c r="E88" i="59"/>
  <c r="E87" i="59"/>
  <c r="C89" i="59"/>
  <c r="D89" i="59" s="1"/>
  <c r="B89" i="59"/>
  <c r="B88" i="59" s="1"/>
  <c r="B87" i="59" s="1"/>
  <c r="F88" i="59"/>
  <c r="F87" i="59"/>
  <c r="D86" i="59"/>
  <c r="F85" i="59"/>
  <c r="F84" i="59" s="1"/>
  <c r="F83" i="59" s="1"/>
  <c r="E85" i="59"/>
  <c r="E84" i="59"/>
  <c r="E83" i="59"/>
  <c r="C85" i="59"/>
  <c r="D85" i="59" s="1"/>
  <c r="B85" i="59"/>
  <c r="B84" i="59" s="1"/>
  <c r="B83" i="59" s="1"/>
  <c r="D82" i="59"/>
  <c r="Q81" i="59"/>
  <c r="P81" i="59"/>
  <c r="O81" i="59"/>
  <c r="N81" i="59"/>
  <c r="F81" i="59"/>
  <c r="V81" i="59" s="1"/>
  <c r="E81" i="59"/>
  <c r="U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s="1"/>
  <c r="E69" i="59"/>
  <c r="E68" i="59"/>
  <c r="P68" i="59"/>
  <c r="C69" i="59"/>
  <c r="B69" i="59"/>
  <c r="N69" i="59"/>
  <c r="F68" i="59"/>
  <c r="F67" i="59" s="1"/>
  <c r="B68" i="59"/>
  <c r="B67" i="59" s="1"/>
  <c r="D66" i="59"/>
  <c r="Q65" i="59"/>
  <c r="P65" i="59"/>
  <c r="O65" i="59"/>
  <c r="N65" i="59"/>
  <c r="Q64" i="59"/>
  <c r="P64" i="59"/>
  <c r="O64" i="59"/>
  <c r="N64" i="59"/>
  <c r="Q63" i="59"/>
  <c r="P63" i="59"/>
  <c r="O63" i="59"/>
  <c r="N63" i="59"/>
  <c r="Q62" i="59"/>
  <c r="F63" i="59"/>
  <c r="F64" i="59" s="1"/>
  <c r="F65" i="59" s="1"/>
  <c r="V65" i="59" s="1"/>
  <c r="P62" i="59"/>
  <c r="E63" i="59"/>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O55" i="59"/>
  <c r="N55" i="59"/>
  <c r="Q54" i="59"/>
  <c r="F55" i="59"/>
  <c r="F56" i="59" s="1"/>
  <c r="P54" i="59"/>
  <c r="E55" i="59"/>
  <c r="E56" i="59" s="1"/>
  <c r="E57" i="59" s="1"/>
  <c r="U57" i="59" s="1"/>
  <c r="O54" i="59"/>
  <c r="C55" i="59"/>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O50" i="59"/>
  <c r="C51" i="59"/>
  <c r="N50" i="59"/>
  <c r="B51" i="59" s="1"/>
  <c r="B52" i="59" s="1"/>
  <c r="D50" i="59"/>
  <c r="T49" i="59"/>
  <c r="Q49" i="59"/>
  <c r="P49" i="59"/>
  <c r="O49" i="59"/>
  <c r="N49" i="59"/>
  <c r="D49" i="59"/>
  <c r="Q48" i="59"/>
  <c r="P48" i="59"/>
  <c r="O48" i="59"/>
  <c r="N48" i="59"/>
  <c r="Q47" i="59"/>
  <c r="P47" i="59"/>
  <c r="O47" i="59"/>
  <c r="N47" i="59"/>
  <c r="B48" i="59" s="1"/>
  <c r="B49" i="59" s="1"/>
  <c r="S49" i="59" s="1"/>
  <c r="Q46" i="59"/>
  <c r="F47" i="59" s="1"/>
  <c r="P46" i="59"/>
  <c r="E47" i="59" s="1"/>
  <c r="E48" i="59"/>
  <c r="E49" i="59" s="1"/>
  <c r="U49" i="59" s="1"/>
  <c r="O46" i="59"/>
  <c r="C47" i="59" s="1"/>
  <c r="C48" i="59" s="1"/>
  <c r="D48" i="59" s="1"/>
  <c r="N46" i="59"/>
  <c r="B47" i="59"/>
  <c r="D46" i="59"/>
  <c r="Q45" i="59"/>
  <c r="P45" i="59"/>
  <c r="O45" i="59"/>
  <c r="N45" i="59"/>
  <c r="Q44" i="59"/>
  <c r="P44" i="59"/>
  <c r="O44" i="59"/>
  <c r="N44" i="59"/>
  <c r="Q43" i="59"/>
  <c r="P43" i="59"/>
  <c r="O43" i="59"/>
  <c r="N43" i="59"/>
  <c r="B44" i="59" s="1"/>
  <c r="B45" i="59" s="1"/>
  <c r="Q42" i="59"/>
  <c r="F43" i="59"/>
  <c r="P42" i="59"/>
  <c r="E43" i="59"/>
  <c r="E44" i="59" s="1"/>
  <c r="E45" i="59" s="1"/>
  <c r="U45" i="59" s="1"/>
  <c r="O42" i="59"/>
  <c r="C43" i="59"/>
  <c r="D43" i="59" s="1"/>
  <c r="N42" i="59"/>
  <c r="B43" i="59" s="1"/>
  <c r="S45" i="59"/>
  <c r="D42" i="59"/>
  <c r="Q41" i="59"/>
  <c r="P41" i="59"/>
  <c r="O41" i="59"/>
  <c r="N41" i="59"/>
  <c r="Q40" i="59"/>
  <c r="AB40" i="59" s="1"/>
  <c r="P40" i="59"/>
  <c r="O40" i="59"/>
  <c r="Y40" i="59"/>
  <c r="Z40" i="59" s="1"/>
  <c r="N40" i="59"/>
  <c r="Q39" i="59"/>
  <c r="P39" i="59"/>
  <c r="O39" i="59"/>
  <c r="Y39" i="59" s="1"/>
  <c r="Z39" i="59" s="1"/>
  <c r="N39" i="59"/>
  <c r="Q38" i="59"/>
  <c r="AB38" i="59" s="1"/>
  <c r="F39" i="59"/>
  <c r="P38" i="59"/>
  <c r="E39" i="59" s="1"/>
  <c r="E40" i="59"/>
  <c r="O38" i="59"/>
  <c r="Y38" i="59" s="1"/>
  <c r="Z38" i="59" s="1"/>
  <c r="C39" i="59"/>
  <c r="N38" i="59"/>
  <c r="X38" i="59" s="1"/>
  <c r="B39" i="59"/>
  <c r="B40" i="59" s="1"/>
  <c r="B41" i="59" s="1"/>
  <c r="S41" i="59"/>
  <c r="D38" i="59"/>
  <c r="Q37" i="59"/>
  <c r="P37" i="59"/>
  <c r="O37" i="59"/>
  <c r="Y37" i="59" s="1"/>
  <c r="Z37" i="59" s="1"/>
  <c r="N37" i="59"/>
  <c r="Q36" i="59"/>
  <c r="AB36" i="59" s="1"/>
  <c r="P36" i="59"/>
  <c r="O36" i="59"/>
  <c r="Y36" i="59" s="1"/>
  <c r="Z36" i="59" s="1"/>
  <c r="N36" i="59"/>
  <c r="Q35" i="59"/>
  <c r="AB35" i="59" s="1"/>
  <c r="P35" i="59"/>
  <c r="AA35" i="59" s="1"/>
  <c r="O35" i="59"/>
  <c r="Y35" i="59" s="1"/>
  <c r="Z35" i="59" s="1"/>
  <c r="N35" i="59"/>
  <c r="Q34" i="59"/>
  <c r="F35" i="59"/>
  <c r="P34" i="59"/>
  <c r="O34" i="59"/>
  <c r="N34" i="59"/>
  <c r="X34" i="59" s="1"/>
  <c r="B35" i="59"/>
  <c r="B36" i="59" s="1"/>
  <c r="B37" i="59" s="1"/>
  <c r="S37" i="59"/>
  <c r="D34" i="59"/>
  <c r="Q33" i="59"/>
  <c r="P33" i="59"/>
  <c r="O33" i="59"/>
  <c r="N33" i="59"/>
  <c r="X33" i="59" s="1"/>
  <c r="Q32" i="59"/>
  <c r="AB32" i="59" s="1"/>
  <c r="P32" i="59"/>
  <c r="O32" i="59"/>
  <c r="N32" i="59"/>
  <c r="Q31" i="59"/>
  <c r="AB31" i="59" s="1"/>
  <c r="P31" i="59"/>
  <c r="O31" i="59"/>
  <c r="N31" i="59"/>
  <c r="X25" i="59" s="1"/>
  <c r="Q30" i="59"/>
  <c r="F31" i="59" s="1"/>
  <c r="P30" i="59"/>
  <c r="O30" i="59"/>
  <c r="N30" i="59"/>
  <c r="B31" i="59"/>
  <c r="D30" i="59"/>
  <c r="X29" i="59"/>
  <c r="Y26" i="59"/>
  <c r="Z26" i="59" s="1"/>
  <c r="AB3" i="59"/>
  <c r="AB27" i="59"/>
  <c r="B32" i="59"/>
  <c r="B33" i="59" s="1"/>
  <c r="S33" i="59" s="1"/>
  <c r="E31" i="59"/>
  <c r="E32" i="59"/>
  <c r="E33" i="59" s="1"/>
  <c r="U33" i="59" s="1"/>
  <c r="B53" i="59"/>
  <c r="S53" i="59" s="1"/>
  <c r="U53" i="59"/>
  <c r="S69" i="59"/>
  <c r="F32" i="59"/>
  <c r="F33" i="59" s="1"/>
  <c r="V33" i="59" s="1"/>
  <c r="F36" i="59"/>
  <c r="F37" i="59"/>
  <c r="V37" i="59" s="1"/>
  <c r="F40" i="59"/>
  <c r="F41" i="59" s="1"/>
  <c r="V41" i="59" s="1"/>
  <c r="F44" i="59"/>
  <c r="F45" i="59"/>
  <c r="V45" i="59" s="1"/>
  <c r="F48" i="59"/>
  <c r="F49" i="59" s="1"/>
  <c r="V49" i="59" s="1"/>
  <c r="F57" i="59"/>
  <c r="V57" i="59" s="1"/>
  <c r="F60" i="59"/>
  <c r="F61" i="59" s="1"/>
  <c r="V61" i="59"/>
  <c r="C44" i="59"/>
  <c r="D47" i="59"/>
  <c r="C52" i="59"/>
  <c r="D51" i="59"/>
  <c r="C56" i="59"/>
  <c r="D55" i="59"/>
  <c r="C64" i="59"/>
  <c r="D63" i="59"/>
  <c r="E67" i="59"/>
  <c r="N68" i="59"/>
  <c r="Q68" i="59"/>
  <c r="T69" i="59"/>
  <c r="O69" i="59"/>
  <c r="D69" i="59"/>
  <c r="C68" i="59"/>
  <c r="C67" i="59" s="1"/>
  <c r="P69" i="59"/>
  <c r="U69" i="59"/>
  <c r="Q69" i="59"/>
  <c r="C72" i="59"/>
  <c r="C71" i="59" s="1"/>
  <c r="E72" i="59"/>
  <c r="E71" i="59"/>
  <c r="D73" i="59"/>
  <c r="C76" i="59"/>
  <c r="D76" i="59" s="1"/>
  <c r="E76" i="59"/>
  <c r="E75" i="59"/>
  <c r="D77" i="59"/>
  <c r="E80" i="59"/>
  <c r="E79" i="59"/>
  <c r="C88" i="59"/>
  <c r="U16" i="4"/>
  <c r="S16" i="4"/>
  <c r="Q16" i="4"/>
  <c r="P16" i="4" s="1"/>
  <c r="O16" i="4"/>
  <c r="M16" i="4"/>
  <c r="K16" i="4"/>
  <c r="P66" i="59"/>
  <c r="P67" i="59"/>
  <c r="D88" i="59"/>
  <c r="C87" i="59"/>
  <c r="D87" i="59"/>
  <c r="D72" i="59"/>
  <c r="D71" i="59"/>
  <c r="O68" i="59"/>
  <c r="C75" i="59"/>
  <c r="D75" i="59" s="1"/>
  <c r="C65" i="59"/>
  <c r="D65" i="59" s="1"/>
  <c r="D64" i="59"/>
  <c r="C57" i="59"/>
  <c r="D57" i="59" s="1"/>
  <c r="D56" i="59"/>
  <c r="C53" i="59"/>
  <c r="D53" i="59" s="1"/>
  <c r="D52"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D77" i="37"/>
  <c r="E77" i="37" s="1"/>
  <c r="F77" i="37" s="1"/>
  <c r="G77" i="37" s="1"/>
  <c r="Z21" i="34"/>
  <c r="Q21" i="34"/>
  <c r="C21" i="34"/>
  <c r="D84" i="34"/>
  <c r="F21" i="34"/>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2" i="20"/>
  <c r="B100" i="46" s="1"/>
  <c r="B68" i="46"/>
  <c r="S21" i="21"/>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I19" i="4"/>
  <c r="F10" i="1" s="1"/>
  <c r="C24" i="46" s="1"/>
  <c r="H19" i="4"/>
  <c r="F9" i="1" s="1"/>
  <c r="AP9" i="1" s="1"/>
  <c r="G19" i="4"/>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c r="H14" i="3"/>
  <c r="G14" i="3" s="1"/>
  <c r="AC14" i="3"/>
  <c r="H15" i="3"/>
  <c r="G15" i="3" s="1"/>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AZ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L543" i="3" s="1"/>
  <c r="AZ543" i="3" s="1"/>
  <c r="BO543" i="3"/>
  <c r="BP543" i="3"/>
  <c r="BQ543" i="3"/>
  <c r="BR543" i="3"/>
  <c r="BS543" i="3"/>
  <c r="BT543" i="3"/>
  <c r="H544" i="3"/>
  <c r="AC544" i="3"/>
  <c r="G544" i="3" s="1"/>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E101" i="37" s="1"/>
  <c r="F101" i="37" s="1"/>
  <c r="F34" i="37"/>
  <c r="D99" i="37"/>
  <c r="E99" i="37" s="1"/>
  <c r="F99" i="37" s="1"/>
  <c r="G99" i="37" s="1"/>
  <c r="H99" i="37" s="1"/>
  <c r="I99" i="37" s="1"/>
  <c r="J99" i="37" s="1"/>
  <c r="K99" i="37" s="1"/>
  <c r="L99" i="37" s="1"/>
  <c r="M99" i="37" s="1"/>
  <c r="H42" i="34"/>
  <c r="U42" i="34" s="1"/>
  <c r="J42" i="34"/>
  <c r="F42" i="34"/>
  <c r="J38" i="34"/>
  <c r="AC38" i="34" s="1"/>
  <c r="D114" i="34"/>
  <c r="F38" i="34"/>
  <c r="D112" i="34"/>
  <c r="E112" i="34"/>
  <c r="F112" i="34" s="1"/>
  <c r="G112" i="34" s="1"/>
  <c r="H112" i="34" s="1"/>
  <c r="I112" i="34" s="1"/>
  <c r="J112" i="34" s="1"/>
  <c r="K112" i="34" s="1"/>
  <c r="L112" i="34" s="1"/>
  <c r="M112" i="34"/>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C23" i="37"/>
  <c r="C19" i="37"/>
  <c r="C17" i="37"/>
  <c r="C15" i="37"/>
  <c r="B112" i="37"/>
  <c r="D107" i="37"/>
  <c r="E107" i="37" s="1"/>
  <c r="F107" i="37" s="1"/>
  <c r="D105" i="37"/>
  <c r="E105" i="37"/>
  <c r="F105" i="37" s="1"/>
  <c r="G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F26" i="37" s="1"/>
  <c r="D79" i="37"/>
  <c r="E79" i="37" s="1"/>
  <c r="F79" i="37" s="1"/>
  <c r="D75" i="37"/>
  <c r="E75" i="37"/>
  <c r="F75" i="37" s="1"/>
  <c r="D73" i="37"/>
  <c r="E73" i="37" s="1"/>
  <c r="F73" i="37" s="1"/>
  <c r="G73" i="37" s="1"/>
  <c r="D71" i="37"/>
  <c r="E71" i="37" s="1"/>
  <c r="F71" i="37"/>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H26" i="37"/>
  <c r="AB26" i="37" s="1"/>
  <c r="AA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B75" i="36"/>
  <c r="B73" i="36"/>
  <c r="H24" i="36" s="1"/>
  <c r="AB24" i="36" s="1"/>
  <c r="B71" i="36"/>
  <c r="D70" i="36"/>
  <c r="H22" i="36"/>
  <c r="AB22" i="36" s="1"/>
  <c r="D68" i="36"/>
  <c r="E68" i="36"/>
  <c r="D64" i="36"/>
  <c r="E64" i="36" s="1"/>
  <c r="F64" i="36" s="1"/>
  <c r="G64" i="36" s="1"/>
  <c r="J16" i="36"/>
  <c r="D62" i="36"/>
  <c r="E62" i="36" s="1"/>
  <c r="B59" i="36"/>
  <c r="J13" i="36" s="1"/>
  <c r="B57" i="36"/>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H23" i="36"/>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U36" i="35" s="1"/>
  <c r="B99" i="35"/>
  <c r="B97" i="35"/>
  <c r="B77" i="35"/>
  <c r="B75" i="35"/>
  <c r="J24" i="35" s="1"/>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C53" i="35"/>
  <c r="H9" i="35" s="1"/>
  <c r="AB9" i="35" s="1"/>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H39" i="34"/>
  <c r="U39" i="34" s="1"/>
  <c r="F39" i="34"/>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F9" i="34"/>
  <c r="AA9" i="34" s="1"/>
  <c r="J8" i="34"/>
  <c r="AC8" i="34" s="1"/>
  <c r="H8" i="34"/>
  <c r="U8" i="34"/>
  <c r="F8" i="34"/>
  <c r="AA8"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s="1"/>
  <c r="J69" i="33" s="1"/>
  <c r="K69" i="33"/>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s="1"/>
  <c r="J40" i="33"/>
  <c r="AC40" i="33"/>
  <c r="H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U12" i="33"/>
  <c r="F12" i="33"/>
  <c r="AA12" i="33" s="1"/>
  <c r="S12" i="33"/>
  <c r="Q11" i="33"/>
  <c r="Z11" i="33"/>
  <c r="Q10" i="33"/>
  <c r="Z10" i="33"/>
  <c r="Q9" i="33"/>
  <c r="Z9" i="33"/>
  <c r="J9" i="33"/>
  <c r="W9" i="33" s="1"/>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c r="C15" i="20"/>
  <c r="B72" i="46" s="1"/>
  <c r="E54" i="21"/>
  <c r="F54" i="21"/>
  <c r="I54" i="21"/>
  <c r="J54" i="21" s="1"/>
  <c r="G54" i="21"/>
  <c r="H54" i="21"/>
  <c r="D125" i="21"/>
  <c r="E125" i="21" s="1"/>
  <c r="D123" i="21"/>
  <c r="E123" i="21" s="1"/>
  <c r="F123" i="21" s="1"/>
  <c r="G123" i="21" s="1"/>
  <c r="H123" i="21"/>
  <c r="I123" i="21"/>
  <c r="J123" i="21" s="1"/>
  <c r="K123" i="21" s="1"/>
  <c r="L123" i="21" s="1"/>
  <c r="M123" i="21" s="1"/>
  <c r="H42" i="21"/>
  <c r="AB42" i="21" s="1"/>
  <c r="D119" i="21"/>
  <c r="D117" i="21"/>
  <c r="E117" i="21"/>
  <c r="F117" i="21" s="1"/>
  <c r="G117" i="21"/>
  <c r="D115" i="21"/>
  <c r="E115" i="21"/>
  <c r="F115" i="21" s="1"/>
  <c r="G115" i="21"/>
  <c r="H115" i="2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s="1"/>
  <c r="F79" i="21" s="1"/>
  <c r="G79" i="21" s="1"/>
  <c r="D85" i="21"/>
  <c r="E85" i="21"/>
  <c r="D81" i="21"/>
  <c r="E81" i="21"/>
  <c r="F81" i="21"/>
  <c r="G81" i="21"/>
  <c r="D77" i="21"/>
  <c r="E77" i="21"/>
  <c r="B130" i="21"/>
  <c r="B128" i="21"/>
  <c r="F45" i="21" s="1"/>
  <c r="S45" i="21" s="1"/>
  <c r="B126" i="21"/>
  <c r="B98" i="21"/>
  <c r="B96" i="21"/>
  <c r="B94" i="21"/>
  <c r="H29" i="21" s="1"/>
  <c r="B92" i="21"/>
  <c r="B90" i="21"/>
  <c r="B74" i="21"/>
  <c r="B72" i="21"/>
  <c r="J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c r="F36" i="21"/>
  <c r="F39" i="21"/>
  <c r="AA39" i="21" s="1"/>
  <c r="J40" i="21"/>
  <c r="W40" i="21" s="1"/>
  <c r="H35" i="21"/>
  <c r="AB35" i="21"/>
  <c r="J8" i="21"/>
  <c r="AC8" i="21" s="1"/>
  <c r="H8" i="21"/>
  <c r="H10" i="21"/>
  <c r="U10" i="21" s="1"/>
  <c r="H39" i="21"/>
  <c r="AB39" i="21" s="1"/>
  <c r="J34" i="21"/>
  <c r="W34" i="21" s="1"/>
  <c r="H36" i="21"/>
  <c r="U36" i="21" s="1"/>
  <c r="F35" i="21"/>
  <c r="S35" i="21" s="1"/>
  <c r="AA35" i="21"/>
  <c r="J33" i="21"/>
  <c r="W33" i="21" s="1"/>
  <c r="H33" i="21"/>
  <c r="U33" i="21"/>
  <c r="F33" i="21"/>
  <c r="J10" i="21"/>
  <c r="AC10" i="21"/>
  <c r="H26" i="21"/>
  <c r="U26" i="21" s="1"/>
  <c r="F19" i="21"/>
  <c r="H19" i="21"/>
  <c r="AB19" i="21"/>
  <c r="J19" i="21"/>
  <c r="W19" i="21" s="1"/>
  <c r="J12" i="21"/>
  <c r="AC12" i="21" s="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F29" i="36"/>
  <c r="AA29" i="36"/>
  <c r="F16" i="36"/>
  <c r="AA16" i="36" s="1"/>
  <c r="U22" i="36"/>
  <c r="W23" i="36"/>
  <c r="W22" i="36"/>
  <c r="U26" i="36"/>
  <c r="AC31" i="36"/>
  <c r="J33" i="36"/>
  <c r="AC33" i="36" s="1"/>
  <c r="AC27" i="35"/>
  <c r="U31" i="35"/>
  <c r="W36" i="35"/>
  <c r="W31" i="35"/>
  <c r="U34" i="35"/>
  <c r="F36" i="34"/>
  <c r="S36" i="34"/>
  <c r="W9" i="34"/>
  <c r="S34" i="34"/>
  <c r="H39" i="33"/>
  <c r="AB39" i="33"/>
  <c r="F26" i="33"/>
  <c r="AA26" i="33" s="1"/>
  <c r="U33" i="33"/>
  <c r="W38" i="33"/>
  <c r="S33" i="33"/>
  <c r="W33" i="33"/>
  <c r="U38" i="33"/>
  <c r="S8" i="21"/>
  <c r="W8" i="21"/>
  <c r="H39" i="37"/>
  <c r="AB39" i="37" s="1"/>
  <c r="AB27" i="35"/>
  <c r="W10" i="40"/>
  <c r="U11" i="40"/>
  <c r="S40" i="39"/>
  <c r="F11" i="21"/>
  <c r="S11" i="21"/>
  <c r="AC40" i="21"/>
  <c r="AA38" i="21"/>
  <c r="AB36" i="21"/>
  <c r="AC35" i="21"/>
  <c r="C29" i="39"/>
  <c r="U36" i="39"/>
  <c r="H32" i="33"/>
  <c r="U32" i="33" s="1"/>
  <c r="AB32" i="33"/>
  <c r="H11" i="21"/>
  <c r="U11" i="21"/>
  <c r="J11" i="21"/>
  <c r="W11" i="21"/>
  <c r="J27" i="36"/>
  <c r="W27" i="36" s="1"/>
  <c r="J30" i="35"/>
  <c r="W30" i="35" s="1"/>
  <c r="F22" i="35"/>
  <c r="AA22" i="35"/>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c r="H33" i="35"/>
  <c r="AB33" i="35" s="1"/>
  <c r="W8" i="35"/>
  <c r="AC8" i="35"/>
  <c r="F35" i="37"/>
  <c r="AA35" i="37" s="1"/>
  <c r="G101" i="37"/>
  <c r="H101" i="37" s="1"/>
  <c r="I101" i="37" s="1"/>
  <c r="J101" i="37" s="1"/>
  <c r="K101" i="37" s="1"/>
  <c r="L101" i="37" s="1"/>
  <c r="M101" i="37" s="1"/>
  <c r="J34" i="37"/>
  <c r="W34" i="37" s="1"/>
  <c r="H43" i="34"/>
  <c r="E114" i="34"/>
  <c r="F114" i="34" s="1"/>
  <c r="G114" i="34" s="1"/>
  <c r="H36" i="34"/>
  <c r="F37" i="34"/>
  <c r="AA37" i="34"/>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s="1"/>
  <c r="F19" i="33"/>
  <c r="S19" i="33"/>
  <c r="J19" i="33"/>
  <c r="S10" i="21"/>
  <c r="W40" i="33"/>
  <c r="F125" i="21"/>
  <c r="G125" i="21"/>
  <c r="AB30" i="36"/>
  <c r="S22" i="35"/>
  <c r="H29" i="35"/>
  <c r="U34" i="37"/>
  <c r="S34" i="37"/>
  <c r="AA34" i="37"/>
  <c r="AB40" i="34"/>
  <c r="W36" i="34"/>
  <c r="J19" i="34"/>
  <c r="AC19" i="34" s="1"/>
  <c r="H37" i="33"/>
  <c r="AB37" i="33"/>
  <c r="S37" i="33"/>
  <c r="AC42" i="34"/>
  <c r="W42" i="34"/>
  <c r="AA42" i="34"/>
  <c r="S42" i="34"/>
  <c r="W38" i="34"/>
  <c r="AA38" i="34"/>
  <c r="S38" i="34"/>
  <c r="J37" i="33"/>
  <c r="W37" i="33"/>
  <c r="J42" i="21"/>
  <c r="AC42" i="21" s="1"/>
  <c r="J44" i="34"/>
  <c r="AC44" i="34"/>
  <c r="F44" i="34"/>
  <c r="S44" i="34" s="1"/>
  <c r="J10" i="35"/>
  <c r="W10" i="35" s="1"/>
  <c r="AL5" i="3"/>
  <c r="BQ13" i="3"/>
  <c r="J14" i="21"/>
  <c r="F14" i="21"/>
  <c r="AA14" i="21"/>
  <c r="H14" i="21"/>
  <c r="U14" i="21"/>
  <c r="H28" i="21"/>
  <c r="AB28" i="21"/>
  <c r="F28" i="21"/>
  <c r="J28" i="21"/>
  <c r="AC28" i="21"/>
  <c r="H30" i="21"/>
  <c r="F30" i="21"/>
  <c r="S30" i="21"/>
  <c r="J30" i="21"/>
  <c r="W30" i="21" s="1"/>
  <c r="J44" i="21"/>
  <c r="AC44" i="21"/>
  <c r="H44" i="21"/>
  <c r="U44" i="21" s="1"/>
  <c r="F44" i="21"/>
  <c r="AA44" i="21"/>
  <c r="H46" i="21"/>
  <c r="AB46" i="21" s="1"/>
  <c r="J46" i="21"/>
  <c r="W46" i="21"/>
  <c r="F46" i="21"/>
  <c r="S46" i="21" s="1"/>
  <c r="H26" i="33"/>
  <c r="U26" i="33"/>
  <c r="H28" i="33"/>
  <c r="U28" i="33" s="1"/>
  <c r="F28" i="33"/>
  <c r="J28" i="33"/>
  <c r="W28" i="33"/>
  <c r="F33" i="35"/>
  <c r="S33" i="35" s="1"/>
  <c r="J33" i="35"/>
  <c r="W33" i="35"/>
  <c r="F30" i="35"/>
  <c r="AA30" i="35" s="1"/>
  <c r="E89" i="35"/>
  <c r="F89" i="35"/>
  <c r="G89" i="35"/>
  <c r="H89" i="35" s="1"/>
  <c r="I89" i="35" s="1"/>
  <c r="J89" i="35" s="1"/>
  <c r="K89" i="35" s="1"/>
  <c r="L89" i="35" s="1"/>
  <c r="M89" i="35" s="1"/>
  <c r="H10" i="36"/>
  <c r="AB10" i="36" s="1"/>
  <c r="F28" i="36"/>
  <c r="S28" i="36" s="1"/>
  <c r="F27" i="36"/>
  <c r="S27" i="36"/>
  <c r="H13" i="21"/>
  <c r="AC13" i="21"/>
  <c r="F13" i="21"/>
  <c r="AA13" i="21" s="1"/>
  <c r="H27" i="21"/>
  <c r="AB27" i="21"/>
  <c r="J27" i="21"/>
  <c r="W27" i="21" s="1"/>
  <c r="F27" i="21"/>
  <c r="AA27" i="21"/>
  <c r="J29" i="21"/>
  <c r="AC29" i="21" s="1"/>
  <c r="U29" i="21"/>
  <c r="F29" i="21"/>
  <c r="S29" i="21" s="1"/>
  <c r="J31" i="21"/>
  <c r="AC31" i="21"/>
  <c r="H31" i="21"/>
  <c r="U31" i="21" s="1"/>
  <c r="F31" i="21"/>
  <c r="S31" i="21"/>
  <c r="J45" i="21"/>
  <c r="AA45" i="21"/>
  <c r="H45" i="21"/>
  <c r="U45" i="21" s="1"/>
  <c r="F27" i="33"/>
  <c r="S27" i="33" s="1"/>
  <c r="F13" i="33"/>
  <c r="AA13" i="33" s="1"/>
  <c r="S13" i="33"/>
  <c r="J29" i="33"/>
  <c r="H31" i="33"/>
  <c r="J45" i="33"/>
  <c r="AC45" i="33" s="1"/>
  <c r="W45" i="33"/>
  <c r="F45" i="33"/>
  <c r="S45" i="33"/>
  <c r="F11" i="35"/>
  <c r="S11" i="35"/>
  <c r="H28" i="36"/>
  <c r="U28" i="36"/>
  <c r="H32" i="36"/>
  <c r="AB32" i="36"/>
  <c r="J32" i="36"/>
  <c r="J11" i="36"/>
  <c r="W11" i="36"/>
  <c r="H13" i="36"/>
  <c r="AB13" i="36" s="1"/>
  <c r="W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AC40" i="37" s="1"/>
  <c r="F40" i="37"/>
  <c r="AA40" i="37" s="1"/>
  <c r="H14" i="33"/>
  <c r="U14" i="33" s="1"/>
  <c r="F14" i="33"/>
  <c r="AA14" i="33"/>
  <c r="J14" i="33"/>
  <c r="AC14" i="33" s="1"/>
  <c r="H30" i="33"/>
  <c r="AB30" i="33"/>
  <c r="F30" i="33"/>
  <c r="AA30" i="33" s="1"/>
  <c r="J30" i="33"/>
  <c r="J44" i="33"/>
  <c r="AC44" i="33" s="1"/>
  <c r="J46" i="33"/>
  <c r="F46" i="33"/>
  <c r="AA46" i="33"/>
  <c r="H46" i="33"/>
  <c r="AB46" i="33" s="1"/>
  <c r="H13" i="34"/>
  <c r="U13" i="34"/>
  <c r="J13" i="34"/>
  <c r="W13" i="34" s="1"/>
  <c r="F13" i="34"/>
  <c r="AA13" i="34"/>
  <c r="J29" i="34"/>
  <c r="AC29" i="34" s="1"/>
  <c r="F29" i="34"/>
  <c r="S29" i="34"/>
  <c r="H29" i="34"/>
  <c r="U29" i="34" s="1"/>
  <c r="J31" i="34"/>
  <c r="W31" i="34" s="1"/>
  <c r="AC31" i="34"/>
  <c r="H31" i="34"/>
  <c r="F31" i="34"/>
  <c r="S31" i="34"/>
  <c r="H45" i="34"/>
  <c r="U45" i="34" s="1"/>
  <c r="J45" i="34"/>
  <c r="W45" i="34"/>
  <c r="F45" i="34"/>
  <c r="AA45" i="34" s="1"/>
  <c r="H47" i="34"/>
  <c r="U47" i="34"/>
  <c r="F47" i="34"/>
  <c r="AA47" i="34" s="1"/>
  <c r="J47" i="34"/>
  <c r="AC47" i="34"/>
  <c r="F13" i="35"/>
  <c r="S13" i="35" s="1"/>
  <c r="J13" i="35"/>
  <c r="AC13" i="35"/>
  <c r="H13" i="35"/>
  <c r="U13" i="35" s="1"/>
  <c r="F25" i="35"/>
  <c r="AA25" i="35" s="1"/>
  <c r="J35" i="35"/>
  <c r="AC35" i="35" s="1"/>
  <c r="F35" i="35"/>
  <c r="S35" i="35"/>
  <c r="H35" i="35"/>
  <c r="J25" i="36"/>
  <c r="W25" i="36"/>
  <c r="F25" i="36"/>
  <c r="AA25" i="36" s="1"/>
  <c r="H25" i="36"/>
  <c r="AB25" i="36"/>
  <c r="H13" i="37"/>
  <c r="AB13" i="37" s="1"/>
  <c r="F13" i="37"/>
  <c r="S13" i="37"/>
  <c r="J13" i="37"/>
  <c r="AC13" i="37" s="1"/>
  <c r="AA28" i="37"/>
  <c r="J28" i="37"/>
  <c r="AC28" i="37" s="1"/>
  <c r="H38" i="37"/>
  <c r="AB38" i="37" s="1"/>
  <c r="F14" i="37"/>
  <c r="AA14" i="37" s="1"/>
  <c r="J14" i="37"/>
  <c r="W14" i="37"/>
  <c r="W35" i="35"/>
  <c r="U30" i="33"/>
  <c r="AB40" i="37"/>
  <c r="J36" i="37"/>
  <c r="AC36" i="37" s="1"/>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s="1"/>
  <c r="BA551" i="3"/>
  <c r="AZ551" i="3" s="1"/>
  <c r="BA541" i="3"/>
  <c r="AZ541" i="3" s="1"/>
  <c r="BA531" i="3"/>
  <c r="BA505" i="3"/>
  <c r="BA501" i="3"/>
  <c r="AZ501" i="3" s="1"/>
  <c r="BA487" i="3"/>
  <c r="BA19" i="3"/>
  <c r="BA566" i="3"/>
  <c r="BA560" i="3"/>
  <c r="AZ560" i="3" s="1"/>
  <c r="BA558" i="3"/>
  <c r="AZ558" i="3" s="1"/>
  <c r="BA550" i="3"/>
  <c r="BA546" i="3"/>
  <c r="BA536" i="3"/>
  <c r="BA532" i="3"/>
  <c r="BA524" i="3"/>
  <c r="BA520" i="3"/>
  <c r="BA516" i="3"/>
  <c r="BA502" i="3"/>
  <c r="BA498" i="3"/>
  <c r="BA488" i="3"/>
  <c r="BA484" i="3"/>
  <c r="BA20" i="3"/>
  <c r="G566" i="3"/>
  <c r="G560" i="3"/>
  <c r="G558" i="3"/>
  <c r="G550" i="3"/>
  <c r="G546" i="3"/>
  <c r="AC542" i="3"/>
  <c r="G542" i="3" s="1"/>
  <c r="BQ542" i="3"/>
  <c r="BQ568" i="3"/>
  <c r="BQ566" i="3"/>
  <c r="BQ564" i="3"/>
  <c r="BL564" i="3" s="1"/>
  <c r="BQ562" i="3"/>
  <c r="BQ560" i="3"/>
  <c r="BL560" i="3"/>
  <c r="BQ558" i="3"/>
  <c r="BQ556" i="3"/>
  <c r="BL556" i="3" s="1"/>
  <c r="BQ554" i="3"/>
  <c r="BQ552" i="3"/>
  <c r="BL552" i="3"/>
  <c r="BQ550" i="3"/>
  <c r="BQ548" i="3"/>
  <c r="BQ546" i="3"/>
  <c r="BL546" i="3" s="1"/>
  <c r="BQ544" i="3"/>
  <c r="BL544" i="3" s="1"/>
  <c r="AZ544" i="3" s="1"/>
  <c r="G534" i="3"/>
  <c r="G530" i="3"/>
  <c r="G526" i="3"/>
  <c r="G522" i="3"/>
  <c r="BQ540" i="3"/>
  <c r="BL540" i="3"/>
  <c r="AZ540" i="3" s="1"/>
  <c r="BQ538" i="3"/>
  <c r="BQ536" i="3"/>
  <c r="BQ534" i="3"/>
  <c r="BL534" i="3" s="1"/>
  <c r="BQ532" i="3"/>
  <c r="BQ530" i="3"/>
  <c r="BQ528" i="3"/>
  <c r="BQ526" i="3"/>
  <c r="BL526" i="3" s="1"/>
  <c r="BQ524" i="3"/>
  <c r="BL524" i="3" s="1"/>
  <c r="BQ522" i="3"/>
  <c r="BQ520" i="3"/>
  <c r="BL520" i="3" s="1"/>
  <c r="AZ520" i="3" s="1"/>
  <c r="BQ518" i="3"/>
  <c r="BQ516" i="3"/>
  <c r="BQ514" i="3"/>
  <c r="BL514" i="3" s="1"/>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L486" i="3" s="1"/>
  <c r="AZ486" i="3"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s="1"/>
  <c r="G125" i="33" s="1"/>
  <c r="H43" i="33"/>
  <c r="U43" i="33"/>
  <c r="H17" i="37"/>
  <c r="U17" i="37" s="1"/>
  <c r="F23" i="37"/>
  <c r="AA23" i="37" s="1"/>
  <c r="F39" i="33"/>
  <c r="S39" i="33" s="1"/>
  <c r="F42" i="33"/>
  <c r="AA42" i="33"/>
  <c r="H28" i="34"/>
  <c r="AB28" i="34" s="1"/>
  <c r="F22" i="36"/>
  <c r="S22" i="36"/>
  <c r="H35" i="34"/>
  <c r="U35" i="34" s="1"/>
  <c r="F41" i="34"/>
  <c r="S41" i="34"/>
  <c r="H41" i="34"/>
  <c r="U41" i="34" s="1"/>
  <c r="J41" i="34"/>
  <c r="W41" i="34"/>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c r="G79" i="37"/>
  <c r="J23" i="37"/>
  <c r="F17" i="37"/>
  <c r="AA17" i="37" s="1"/>
  <c r="AB43" i="33"/>
  <c r="D3" i="21"/>
  <c r="AC12" i="35"/>
  <c r="W23" i="35"/>
  <c r="U39" i="37"/>
  <c r="AC8" i="37"/>
  <c r="AB8" i="34"/>
  <c r="AC37" i="33"/>
  <c r="U19" i="21"/>
  <c r="AC33" i="21"/>
  <c r="F43" i="33"/>
  <c r="AA43" i="33" s="1"/>
  <c r="G107" i="37"/>
  <c r="H107" i="37" s="1"/>
  <c r="I107" i="37" s="1"/>
  <c r="J107" i="37" s="1"/>
  <c r="K107" i="37" s="1"/>
  <c r="L107" i="37" s="1"/>
  <c r="M107" i="37" s="1"/>
  <c r="F37" i="21"/>
  <c r="S37" i="21" s="1"/>
  <c r="J37" i="21"/>
  <c r="W37" i="21"/>
  <c r="H19" i="34"/>
  <c r="AB19" i="34" s="1"/>
  <c r="J10" i="37"/>
  <c r="AC10" i="37"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AZ119" i="3"/>
  <c r="G120" i="3"/>
  <c r="BA122" i="3"/>
  <c r="BL123" i="3"/>
  <c r="AZ123" i="3" s="1"/>
  <c r="G124" i="3"/>
  <c r="BA126" i="3"/>
  <c r="BL127" i="3"/>
  <c r="G128" i="3"/>
  <c r="BA130" i="3"/>
  <c r="AZ130" i="3" s="1"/>
  <c r="BL131" i="3"/>
  <c r="G132" i="3"/>
  <c r="BA134" i="3"/>
  <c r="BL135" i="3"/>
  <c r="G136" i="3"/>
  <c r="BA138" i="3"/>
  <c r="BL139" i="3"/>
  <c r="AZ139" i="3"/>
  <c r="G140" i="3"/>
  <c r="BA142" i="3"/>
  <c r="BL143" i="3"/>
  <c r="G144" i="3"/>
  <c r="BA146" i="3"/>
  <c r="AZ146" i="3" s="1"/>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s="1"/>
  <c r="BL179" i="3"/>
  <c r="G180" i="3"/>
  <c r="AZ23"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90" i="3"/>
  <c r="AZ94" i="3"/>
  <c r="AZ106" i="3"/>
  <c r="AZ110"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BA355" i="3"/>
  <c r="BL355" i="3"/>
  <c r="G356" i="3"/>
  <c r="AZ143" i="3"/>
  <c r="BA358" i="3"/>
  <c r="BA359" i="3"/>
  <c r="BL359" i="3"/>
  <c r="AZ359" i="3" s="1"/>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62" i="3"/>
  <c r="AZ170" i="3"/>
  <c r="AZ174" i="3"/>
  <c r="AZ183" i="3"/>
  <c r="G523" i="3"/>
  <c r="BL297" i="3"/>
  <c r="AZ297" i="3" s="1"/>
  <c r="G298" i="3"/>
  <c r="BA300" i="3"/>
  <c r="BL301" i="3"/>
  <c r="AZ301" i="3" s="1"/>
  <c r="G302" i="3"/>
  <c r="BA304" i="3"/>
  <c r="AZ304" i="3" s="1"/>
  <c r="BL305" i="3"/>
  <c r="AZ305" i="3" s="1"/>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53" i="3"/>
  <c r="AZ363" i="3"/>
  <c r="G368" i="3"/>
  <c r="BA370" i="3"/>
  <c r="BL371" i="3"/>
  <c r="G372" i="3"/>
  <c r="BA374" i="3"/>
  <c r="AZ374" i="3"/>
  <c r="BL375" i="3"/>
  <c r="G376" i="3"/>
  <c r="BA378" i="3"/>
  <c r="BL379" i="3"/>
  <c r="G380" i="3"/>
  <c r="BA382" i="3"/>
  <c r="AZ382" i="3" s="1"/>
  <c r="BL383" i="3"/>
  <c r="AZ383" i="3" s="1"/>
  <c r="G384" i="3"/>
  <c r="AZ311" i="3"/>
  <c r="AZ347" i="3"/>
  <c r="F37" i="46"/>
  <c r="AB16" i="35"/>
  <c r="AB15" i="37"/>
  <c r="AA43" i="21"/>
  <c r="U43" i="21"/>
  <c r="F77" i="40"/>
  <c r="G77" i="40" s="1"/>
  <c r="H77" i="40" s="1"/>
  <c r="I77" i="40" s="1"/>
  <c r="J77" i="40" s="1"/>
  <c r="K77" i="40" s="1"/>
  <c r="L77" i="40" s="1"/>
  <c r="M77" i="40" s="1"/>
  <c r="R16" i="4"/>
  <c r="D3" i="35"/>
  <c r="G4" i="4"/>
  <c r="S37" i="34"/>
  <c r="J16" i="35"/>
  <c r="W16" i="35"/>
  <c r="U42" i="21"/>
  <c r="AZ300" i="3"/>
  <c r="AZ354" i="3"/>
  <c r="H13" i="39"/>
  <c r="AB13" i="39" s="1"/>
  <c r="F13" i="39"/>
  <c r="AA13" i="39" s="1"/>
  <c r="J13" i="39"/>
  <c r="AC13" i="39" s="1"/>
  <c r="H11" i="37"/>
  <c r="AB11" i="37" s="1"/>
  <c r="AA36" i="37"/>
  <c r="S42" i="33"/>
  <c r="AB17" i="37"/>
  <c r="AZ488" i="3"/>
  <c r="AA45" i="33"/>
  <c r="AC11" i="36"/>
  <c r="AB45" i="34"/>
  <c r="AC14" i="37"/>
  <c r="S25" i="35"/>
  <c r="AC30" i="33"/>
  <c r="W30" i="33"/>
  <c r="AC29" i="37"/>
  <c r="W32" i="36"/>
  <c r="AC32" i="36"/>
  <c r="J33" i="34"/>
  <c r="AC33" i="34" s="1"/>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39" i="21"/>
  <c r="J32" i="21"/>
  <c r="AC32" i="2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C8" i="33"/>
  <c r="F10" i="33"/>
  <c r="AA10" i="33" s="1"/>
  <c r="F11" i="33"/>
  <c r="S11" i="33"/>
  <c r="J15" i="33"/>
  <c r="W15" i="33"/>
  <c r="H19" i="33"/>
  <c r="AB19" i="33"/>
  <c r="F32" i="33"/>
  <c r="AA32" i="33"/>
  <c r="J32" i="33"/>
  <c r="AC32" i="33"/>
  <c r="F35" i="33"/>
  <c r="AA35" i="33"/>
  <c r="AB39" i="34"/>
  <c r="F11" i="34"/>
  <c r="S11" i="34"/>
  <c r="E80" i="34"/>
  <c r="F80" i="34" s="1"/>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s="1"/>
  <c r="F19" i="39"/>
  <c r="S19" i="39"/>
  <c r="H19" i="39"/>
  <c r="U19" i="39" s="1"/>
  <c r="J19" i="39"/>
  <c r="W19" i="39" s="1"/>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s="1"/>
  <c r="AB8" i="35"/>
  <c r="U8" i="35"/>
  <c r="S9" i="35"/>
  <c r="J14" i="35"/>
  <c r="AC14" i="35"/>
  <c r="F14" i="35"/>
  <c r="S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c r="I78" i="36" s="1"/>
  <c r="J78" i="36" s="1"/>
  <c r="K78" i="36" s="1"/>
  <c r="L78" i="36" s="1"/>
  <c r="M78" i="36" s="1"/>
  <c r="F26" i="36"/>
  <c r="S26" i="36"/>
  <c r="H33" i="36"/>
  <c r="U33" i="36"/>
  <c r="F33" i="36"/>
  <c r="AA33" i="36" s="1"/>
  <c r="H27" i="36"/>
  <c r="AB27" i="36"/>
  <c r="AA31" i="36"/>
  <c r="AB29" i="37"/>
  <c r="AA30" i="37"/>
  <c r="AC31" i="37"/>
  <c r="W31" i="37"/>
  <c r="F17" i="39"/>
  <c r="AA17" i="39"/>
  <c r="H17" i="39"/>
  <c r="U17" i="39" s="1"/>
  <c r="J17" i="39"/>
  <c r="W17" i="39" s="1"/>
  <c r="F21" i="39"/>
  <c r="S21" i="39" s="1"/>
  <c r="H21" i="39"/>
  <c r="J21" i="39"/>
  <c r="W21" i="39"/>
  <c r="F33" i="39"/>
  <c r="AA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H39" i="39"/>
  <c r="AB39" i="39" s="1"/>
  <c r="J39" i="39"/>
  <c r="J29" i="35"/>
  <c r="AC29" i="35"/>
  <c r="F29" i="35"/>
  <c r="S29" i="35" s="1"/>
  <c r="W30" i="36"/>
  <c r="AC30" i="36"/>
  <c r="F37" i="39"/>
  <c r="S37" i="39" s="1"/>
  <c r="H37" i="39"/>
  <c r="U37" i="39"/>
  <c r="J37" i="39"/>
  <c r="W37" i="39" s="1"/>
  <c r="BA568" i="3"/>
  <c r="BL567" i="3"/>
  <c r="BA567" i="3"/>
  <c r="AZ567" i="3" s="1"/>
  <c r="BL566" i="3"/>
  <c r="AZ566" i="3" s="1"/>
  <c r="BL565" i="3"/>
  <c r="AZ565" i="3" s="1"/>
  <c r="BA564" i="3"/>
  <c r="AZ564" i="3" s="1"/>
  <c r="BL554" i="3"/>
  <c r="AZ554" i="3" s="1"/>
  <c r="BA553" i="3"/>
  <c r="AZ553" i="3" s="1"/>
  <c r="BA552" i="3"/>
  <c r="BA549" i="3"/>
  <c r="BL548" i="3"/>
  <c r="BA547" i="3"/>
  <c r="BL539" i="3"/>
  <c r="AZ539" i="3" s="1"/>
  <c r="BA539" i="3"/>
  <c r="BA538" i="3"/>
  <c r="AZ538" i="3"/>
  <c r="BL537" i="3"/>
  <c r="BA537" i="3"/>
  <c r="AZ537" i="3" s="1"/>
  <c r="BL536" i="3"/>
  <c r="AZ536" i="3"/>
  <c r="BA535" i="3"/>
  <c r="BA534" i="3"/>
  <c r="BA533" i="3"/>
  <c r="AZ533" i="3" s="1"/>
  <c r="BL531" i="3"/>
  <c r="AZ531" i="3"/>
  <c r="BL530" i="3"/>
  <c r="BA530" i="3"/>
  <c r="BL529" i="3"/>
  <c r="BA529" i="3"/>
  <c r="AZ529" i="3" s="1"/>
  <c r="BL528" i="3"/>
  <c r="BA527" i="3"/>
  <c r="AZ527" i="3"/>
  <c r="BA526" i="3"/>
  <c r="BA525" i="3"/>
  <c r="AZ525" i="3"/>
  <c r="BL523" i="3"/>
  <c r="BA523" i="3"/>
  <c r="BL521" i="3"/>
  <c r="BL518" i="3"/>
  <c r="BA517" i="3"/>
  <c r="BA514" i="3"/>
  <c r="BL513" i="3"/>
  <c r="BA511" i="3"/>
  <c r="BA510" i="3"/>
  <c r="BA507" i="3"/>
  <c r="BL505" i="3"/>
  <c r="AZ505" i="3" s="1"/>
  <c r="BL504" i="3"/>
  <c r="AZ504" i="3" s="1"/>
  <c r="BA504" i="3"/>
  <c r="BA503" i="3"/>
  <c r="AZ503" i="3" s="1"/>
  <c r="BA500" i="3"/>
  <c r="AZ500" i="3" s="1"/>
  <c r="BL499" i="3"/>
  <c r="BL498" i="3"/>
  <c r="AZ498" i="3" s="1"/>
  <c r="BL496" i="3"/>
  <c r="BA496" i="3"/>
  <c r="BA495" i="3"/>
  <c r="BL494" i="3"/>
  <c r="BA494" i="3"/>
  <c r="AZ494" i="3" s="1"/>
  <c r="G494" i="3"/>
  <c r="BA491" i="3"/>
  <c r="BL490" i="3"/>
  <c r="BA490" i="3"/>
  <c r="BL489" i="3"/>
  <c r="BA489" i="3"/>
  <c r="AZ489" i="3" s="1"/>
  <c r="BL487" i="3"/>
  <c r="AZ487" i="3" s="1"/>
  <c r="BA486" i="3"/>
  <c r="BA485" i="3"/>
  <c r="AZ485" i="3" s="1"/>
  <c r="BA483" i="3"/>
  <c r="AZ483" i="3" s="1"/>
  <c r="BA481" i="3"/>
  <c r="BA18" i="3"/>
  <c r="H114" i="34"/>
  <c r="I114" i="34" s="1"/>
  <c r="J114" i="34" s="1"/>
  <c r="K114" i="34" s="1"/>
  <c r="L114" i="34" s="1"/>
  <c r="M114" i="34" s="1"/>
  <c r="H38" i="34"/>
  <c r="U38" i="34"/>
  <c r="H30" i="40"/>
  <c r="AB30" i="40" s="1"/>
  <c r="G99" i="40"/>
  <c r="J30" i="40"/>
  <c r="AC30" i="40"/>
  <c r="F38" i="40"/>
  <c r="AA38" i="40" s="1"/>
  <c r="AA36" i="34"/>
  <c r="W12" i="21"/>
  <c r="AB33" i="21"/>
  <c r="AB10" i="21"/>
  <c r="U8" i="21"/>
  <c r="AB8" i="21"/>
  <c r="S34" i="21"/>
  <c r="AC36" i="21"/>
  <c r="AB8" i="33"/>
  <c r="U8" i="33"/>
  <c r="E106" i="33"/>
  <c r="H34" i="33"/>
  <c r="U34" i="33"/>
  <c r="F34" i="33"/>
  <c r="S34" i="33" s="1"/>
  <c r="E121" i="33"/>
  <c r="F41" i="33"/>
  <c r="S41" i="33"/>
  <c r="AC34" i="34"/>
  <c r="W34" i="34"/>
  <c r="AA39" i="34"/>
  <c r="S39" i="34"/>
  <c r="S43" i="34"/>
  <c r="E78" i="34"/>
  <c r="F15" i="34"/>
  <c r="AC28" i="35"/>
  <c r="J20" i="35"/>
  <c r="AC20" i="35"/>
  <c r="E72" i="35"/>
  <c r="F72" i="35" s="1"/>
  <c r="G72" i="35"/>
  <c r="H22" i="35"/>
  <c r="AB22" i="35"/>
  <c r="H23" i="35"/>
  <c r="F23" i="35"/>
  <c r="AB36" i="35"/>
  <c r="U31" i="36"/>
  <c r="F14" i="39"/>
  <c r="AA14" i="39" s="1"/>
  <c r="H14" i="39"/>
  <c r="AB14" i="39"/>
  <c r="J14" i="39"/>
  <c r="F16" i="39"/>
  <c r="AA16" i="39"/>
  <c r="H16" i="39"/>
  <c r="U16" i="39" s="1"/>
  <c r="J16" i="39"/>
  <c r="AC16" i="39"/>
  <c r="F23" i="39"/>
  <c r="E96" i="39"/>
  <c r="F96" i="39" s="1"/>
  <c r="F27" i="39"/>
  <c r="AA27" i="39" s="1"/>
  <c r="H27" i="39"/>
  <c r="AB27" i="39" s="1"/>
  <c r="J27" i="39"/>
  <c r="F15" i="40"/>
  <c r="AA15" i="40" s="1"/>
  <c r="J15" i="40"/>
  <c r="H15" i="40"/>
  <c r="AB15" i="40"/>
  <c r="E91" i="40"/>
  <c r="F91" i="40" s="1"/>
  <c r="G91" i="40" s="1"/>
  <c r="H23" i="40"/>
  <c r="AB23" i="40" s="1"/>
  <c r="H41" i="40"/>
  <c r="F41" i="40"/>
  <c r="AA41" i="40"/>
  <c r="J41" i="40"/>
  <c r="W41" i="40" s="1"/>
  <c r="H36" i="33"/>
  <c r="AB36" i="33"/>
  <c r="H37" i="34"/>
  <c r="AB37" i="34" s="1"/>
  <c r="F15" i="39"/>
  <c r="AA15" i="39" s="1"/>
  <c r="H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s="1"/>
  <c r="B41" i="1"/>
  <c r="F72" i="9" s="1"/>
  <c r="J40" i="40"/>
  <c r="J34" i="40"/>
  <c r="AC34" i="40"/>
  <c r="H16" i="40"/>
  <c r="AB16" i="40" s="1"/>
  <c r="H14" i="40"/>
  <c r="U14" i="40"/>
  <c r="F32" i="40"/>
  <c r="AA32" i="40" s="1"/>
  <c r="F61" i="46"/>
  <c r="H61" i="46" s="1"/>
  <c r="AZ212" i="3"/>
  <c r="AZ215" i="3"/>
  <c r="AZ220" i="3"/>
  <c r="AZ223" i="3"/>
  <c r="AZ228" i="3"/>
  <c r="AZ231" i="3"/>
  <c r="AZ236" i="3"/>
  <c r="AZ239" i="3"/>
  <c r="AZ244" i="3"/>
  <c r="AZ247" i="3"/>
  <c r="AZ252" i="3"/>
  <c r="AZ255" i="3"/>
  <c r="AZ260" i="3"/>
  <c r="AZ263" i="3"/>
  <c r="AZ268" i="3"/>
  <c r="AZ276" i="3"/>
  <c r="AZ284" i="3"/>
  <c r="AZ292" i="3"/>
  <c r="AZ124" i="3"/>
  <c r="F72" i="46"/>
  <c r="H74" i="46" s="1"/>
  <c r="AZ180" i="3"/>
  <c r="AZ71" i="3"/>
  <c r="J13" i="40"/>
  <c r="W13" i="40" s="1"/>
  <c r="AB14" i="40"/>
  <c r="U37" i="34"/>
  <c r="AC41" i="40"/>
  <c r="J23" i="40"/>
  <c r="AC23" i="40" s="1"/>
  <c r="F23" i="40"/>
  <c r="AC15" i="40"/>
  <c r="W15" i="40"/>
  <c r="AB16" i="39"/>
  <c r="U23" i="35"/>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30" i="3"/>
  <c r="AB37" i="39"/>
  <c r="AA29" i="35"/>
  <c r="U39" i="39"/>
  <c r="J29" i="39"/>
  <c r="AC29" i="39" s="1"/>
  <c r="AB21" i="39"/>
  <c r="U21" i="39"/>
  <c r="AB33" i="36"/>
  <c r="AA14" i="35"/>
  <c r="F33" i="37"/>
  <c r="S33" i="37" s="1"/>
  <c r="AB19" i="39"/>
  <c r="U46" i="34"/>
  <c r="AC30" i="34"/>
  <c r="AA14" i="34"/>
  <c r="W12" i="34"/>
  <c r="U29" i="33"/>
  <c r="AC13" i="33"/>
  <c r="U17" i="34"/>
  <c r="AA11" i="34"/>
  <c r="W32" i="33"/>
  <c r="H15" i="33"/>
  <c r="U15" i="33"/>
  <c r="AA11" i="33"/>
  <c r="AA40" i="21"/>
  <c r="U17" i="21"/>
  <c r="S13" i="39"/>
  <c r="U16" i="40"/>
  <c r="W34" i="40"/>
  <c r="AC16" i="40"/>
  <c r="H25" i="40"/>
  <c r="AB25" i="40" s="1"/>
  <c r="F93" i="40"/>
  <c r="G93" i="40" s="1"/>
  <c r="U47" i="39"/>
  <c r="J37" i="34"/>
  <c r="AC37" i="34" s="1"/>
  <c r="J36" i="33"/>
  <c r="S41" i="40"/>
  <c r="U27" i="39"/>
  <c r="H23" i="39"/>
  <c r="AB23" i="39"/>
  <c r="J23" i="39"/>
  <c r="AC23" i="39"/>
  <c r="G96" i="39"/>
  <c r="S16" i="39"/>
  <c r="S15" i="34"/>
  <c r="AA15" i="34"/>
  <c r="AA41" i="33"/>
  <c r="AA34" i="33"/>
  <c r="F106" i="33"/>
  <c r="G106" i="33" s="1"/>
  <c r="H106" i="33"/>
  <c r="I106" i="33" s="1"/>
  <c r="J106" i="33"/>
  <c r="K106" i="33" s="1"/>
  <c r="L106" i="33" s="1"/>
  <c r="M106" i="33" s="1"/>
  <c r="J34" i="33"/>
  <c r="AC34" i="33" s="1"/>
  <c r="U30" i="40"/>
  <c r="AA37" i="39"/>
  <c r="W29" i="35"/>
  <c r="AC39" i="39"/>
  <c r="W39" i="39"/>
  <c r="AA39" i="39"/>
  <c r="S39" i="39"/>
  <c r="AB29" i="39"/>
  <c r="AB46" i="39"/>
  <c r="AB44" i="39"/>
  <c r="AC33" i="39"/>
  <c r="W33" i="39"/>
  <c r="S33" i="39"/>
  <c r="S17" i="39"/>
  <c r="U11" i="36"/>
  <c r="F80" i="35"/>
  <c r="G80" i="35"/>
  <c r="H80" i="35" s="1"/>
  <c r="I80" i="35"/>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c r="J17" i="34"/>
  <c r="W17" i="34" s="1"/>
  <c r="AC17" i="34"/>
  <c r="H11" i="34"/>
  <c r="AB11" i="34"/>
  <c r="J35" i="33"/>
  <c r="W35" i="33"/>
  <c r="S32" i="33"/>
  <c r="AC15" i="33"/>
  <c r="H11" i="33"/>
  <c r="AB11" i="33" s="1"/>
  <c r="U11" i="33"/>
  <c r="H10" i="33"/>
  <c r="U10" i="33" s="1"/>
  <c r="J10" i="33"/>
  <c r="W10" i="33" s="1"/>
  <c r="U40" i="21"/>
  <c r="U13" i="39"/>
  <c r="AC16" i="35"/>
  <c r="J11" i="34"/>
  <c r="W11" i="34" s="1"/>
  <c r="S17" i="34"/>
  <c r="F25" i="40"/>
  <c r="AA25" i="40" s="1"/>
  <c r="J11" i="33"/>
  <c r="W11" i="33"/>
  <c r="H33" i="37"/>
  <c r="AB33" i="37" s="1"/>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s="1"/>
  <c r="J19" i="37"/>
  <c r="AC19" i="37" s="1"/>
  <c r="G75" i="37"/>
  <c r="F19" i="37"/>
  <c r="AA19" i="37" s="1"/>
  <c r="H19" i="37"/>
  <c r="AB19" i="37" s="1"/>
  <c r="J17" i="37"/>
  <c r="AC17" i="37" s="1"/>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s="1"/>
  <c r="J23" i="21"/>
  <c r="W23" i="21" s="1"/>
  <c r="F23" i="21"/>
  <c r="AA23" i="21" s="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s="1"/>
  <c r="J37" i="40"/>
  <c r="H37" i="40"/>
  <c r="G112" i="40"/>
  <c r="H112" i="40" s="1"/>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F87" i="40"/>
  <c r="G87" i="40" s="1"/>
  <c r="F19" i="40"/>
  <c r="AA19" i="40" s="1"/>
  <c r="H19" i="40"/>
  <c r="AB19" i="40" s="1"/>
  <c r="J19" i="40"/>
  <c r="AC19" i="40" s="1"/>
  <c r="F17" i="40"/>
  <c r="AA17" i="40" s="1"/>
  <c r="H17" i="40"/>
  <c r="U17" i="40" s="1"/>
  <c r="W21" i="40"/>
  <c r="AB40" i="40"/>
  <c r="U10" i="40"/>
  <c r="U27" i="40"/>
  <c r="AB27" i="40"/>
  <c r="AC44" i="39"/>
  <c r="W13" i="39"/>
  <c r="S11" i="39"/>
  <c r="AB45" i="39"/>
  <c r="S27" i="39"/>
  <c r="AC19" i="39"/>
  <c r="W29" i="39"/>
  <c r="S29" i="39"/>
  <c r="AC21" i="39"/>
  <c r="AC17" i="39"/>
  <c r="S14" i="39"/>
  <c r="U11" i="39"/>
  <c r="U41" i="39"/>
  <c r="U23" i="39"/>
  <c r="U31" i="39"/>
  <c r="AB31" i="39"/>
  <c r="S25" i="39"/>
  <c r="S22" i="31"/>
  <c r="D18" i="9"/>
  <c r="M44" i="9" s="1"/>
  <c r="M43" i="9"/>
  <c r="D96" i="9"/>
  <c r="M18" i="15"/>
  <c r="A18" i="64"/>
  <c r="B74" i="63"/>
  <c r="C53" i="10"/>
  <c r="A25" i="64" s="1"/>
  <c r="A18" i="51"/>
  <c r="B14" i="63" s="1"/>
  <c r="BA16" i="3"/>
  <c r="BA17" i="3"/>
  <c r="AZ17" i="3" s="1"/>
  <c r="F3" i="35"/>
  <c r="K1" i="43"/>
  <c r="K1" i="12"/>
  <c r="G1" i="44"/>
  <c r="I4" i="6"/>
  <c r="AZ15" i="3"/>
  <c r="BK5" i="3"/>
  <c r="BP5" i="3"/>
  <c r="BN5" i="3"/>
  <c r="G29" i="6" s="1"/>
  <c r="BL18" i="3"/>
  <c r="AZ18" i="3" s="1"/>
  <c r="BC5" i="3"/>
  <c r="BD5" i="3"/>
  <c r="BR5" i="3"/>
  <c r="BS5" i="3"/>
  <c r="BQ5" i="3"/>
  <c r="BL16" i="3"/>
  <c r="BM5" i="3"/>
  <c r="G28" i="12"/>
  <c r="D24" i="44"/>
  <c r="D26" i="44"/>
  <c r="F50" i="46"/>
  <c r="H52" i="46" s="1"/>
  <c r="C6" i="46"/>
  <c r="I5" i="48"/>
  <c r="K21" i="46"/>
  <c r="F42" i="46"/>
  <c r="D74" i="46"/>
  <c r="D87" i="46"/>
  <c r="D72" i="46"/>
  <c r="A4" i="64"/>
  <c r="H83" i="46"/>
  <c r="H87" i="46"/>
  <c r="AA12" i="36"/>
  <c r="W11" i="35"/>
  <c r="AA11" i="35"/>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s="1"/>
  <c r="A17" i="51"/>
  <c r="B13" i="63" s="1"/>
  <c r="AT6" i="3"/>
  <c r="AZ16" i="3"/>
  <c r="E4" i="4"/>
  <c r="B21" i="55" s="1"/>
  <c r="B72" i="63" s="1"/>
  <c r="C4" i="4"/>
  <c r="G66" i="36"/>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L48" i="15"/>
  <c r="N3" i="65"/>
  <c r="F37" i="15"/>
  <c r="E11" i="67"/>
  <c r="B9" i="67"/>
  <c r="F15" i="44"/>
  <c r="B10" i="67"/>
  <c r="F7" i="15"/>
  <c r="F11" i="44"/>
  <c r="F12" i="67"/>
  <c r="N5" i="65"/>
  <c r="M26" i="15"/>
  <c r="F8" i="67"/>
  <c r="M29" i="15"/>
  <c r="N7" i="65"/>
  <c r="M23" i="15"/>
  <c r="B13" i="67"/>
  <c r="F6" i="15"/>
  <c r="M10" i="44"/>
  <c r="J3" i="65"/>
  <c r="F43" i="15"/>
  <c r="F10" i="44"/>
  <c r="F9" i="44"/>
  <c r="M24" i="44"/>
  <c r="N6" i="65"/>
  <c r="J15" i="15"/>
  <c r="J5" i="65"/>
  <c r="N4" i="65"/>
  <c r="E8" i="67"/>
  <c r="M8" i="15"/>
  <c r="L49" i="44"/>
  <c r="I4" i="65"/>
  <c r="F18" i="44"/>
  <c r="F38" i="15"/>
  <c r="F38" i="44"/>
  <c r="M28" i="15"/>
  <c r="J6" i="65"/>
  <c r="L48" i="44"/>
  <c r="F8" i="44"/>
  <c r="M30" i="44"/>
  <c r="M25" i="44"/>
  <c r="I5" i="65"/>
  <c r="E13" i="67"/>
  <c r="F14" i="67"/>
  <c r="F11" i="67"/>
  <c r="J36" i="15"/>
  <c r="F45" i="44"/>
  <c r="F39" i="44"/>
  <c r="F8" i="15"/>
  <c r="M24" i="15"/>
  <c r="L47" i="15"/>
  <c r="F9" i="67"/>
  <c r="J17" i="44"/>
  <c r="B12" i="67"/>
  <c r="F28" i="44"/>
  <c r="F26" i="15"/>
  <c r="F43" i="44"/>
  <c r="F13" i="15"/>
  <c r="E10" i="67"/>
  <c r="M9" i="15"/>
  <c r="M26" i="44"/>
  <c r="F13" i="67"/>
  <c r="E9" i="67"/>
  <c r="B14" i="67"/>
  <c r="M28" i="44"/>
  <c r="F40" i="15"/>
  <c r="E12" i="67"/>
  <c r="F36" i="15"/>
  <c r="F16" i="15"/>
  <c r="F42" i="15"/>
  <c r="M8" i="44"/>
  <c r="M31" i="44"/>
  <c r="F40" i="44"/>
  <c r="M22" i="15"/>
  <c r="J7" i="65"/>
  <c r="B11" i="67"/>
  <c r="M11" i="44"/>
  <c r="I3" i="65"/>
  <c r="J4" i="65"/>
  <c r="E14" i="67"/>
  <c r="I6" i="65"/>
  <c r="B8" i="67"/>
  <c r="I7" i="65"/>
  <c r="F10" i="67"/>
  <c r="M6" i="15"/>
  <c r="F9" i="15"/>
  <c r="W32" i="40" l="1"/>
  <c r="S32" i="40"/>
  <c r="W19" i="40"/>
  <c r="S19" i="40"/>
  <c r="U19" i="40"/>
  <c r="F12" i="1"/>
  <c r="AP12" i="1" s="1"/>
  <c r="F6" i="1"/>
  <c r="AP6" i="1" s="1"/>
  <c r="C42" i="1"/>
  <c r="C9" i="76"/>
  <c r="C64" i="76" s="1"/>
  <c r="W38" i="37"/>
  <c r="AC38" i="37"/>
  <c r="AC12" i="37"/>
  <c r="W12" i="37"/>
  <c r="F38" i="37"/>
  <c r="AA39" i="37"/>
  <c r="S37" i="37"/>
  <c r="AA33" i="37"/>
  <c r="W17" i="37"/>
  <c r="W19" i="37"/>
  <c r="U38" i="37"/>
  <c r="AC15" i="37"/>
  <c r="S14" i="37"/>
  <c r="S29" i="37"/>
  <c r="AA9" i="37"/>
  <c r="AA8" i="37"/>
  <c r="H12" i="37"/>
  <c r="AB27" i="37"/>
  <c r="F27" i="37"/>
  <c r="S27" i="37" s="1"/>
  <c r="U33" i="37"/>
  <c r="AC9" i="37"/>
  <c r="AA31" i="37"/>
  <c r="W37" i="37"/>
  <c r="S23" i="37"/>
  <c r="J27" i="37"/>
  <c r="AA11" i="37"/>
  <c r="U11" i="37"/>
  <c r="S38" i="40"/>
  <c r="AA37" i="40"/>
  <c r="AC17" i="40"/>
  <c r="AB13" i="40"/>
  <c r="AC13" i="40"/>
  <c r="AA13" i="40"/>
  <c r="F28" i="6"/>
  <c r="F29" i="6"/>
  <c r="H72" i="46"/>
  <c r="A2" i="9"/>
  <c r="C51" i="10"/>
  <c r="A9" i="64" s="1"/>
  <c r="F20" i="59"/>
  <c r="F19" i="59" s="1"/>
  <c r="F18" i="59" s="1"/>
  <c r="F17" i="59" s="1"/>
  <c r="V21" i="59"/>
  <c r="C20" i="59"/>
  <c r="D21" i="59"/>
  <c r="T21" i="59"/>
  <c r="AC37" i="40"/>
  <c r="W37" i="40"/>
  <c r="AA23" i="35"/>
  <c r="S23" i="35"/>
  <c r="O40" i="9"/>
  <c r="K31" i="9" s="1"/>
  <c r="K32" i="9" s="1"/>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s="1"/>
  <c r="BL568" i="3"/>
  <c r="AZ568" i="3" s="1"/>
  <c r="BL563" i="3"/>
  <c r="BA563" i="3"/>
  <c r="BA562" i="3"/>
  <c r="BA559" i="3"/>
  <c r="AZ559" i="3" s="1"/>
  <c r="BL550" i="3"/>
  <c r="BL549" i="3"/>
  <c r="AZ549" i="3" s="1"/>
  <c r="BA548" i="3"/>
  <c r="BL547" i="3"/>
  <c r="AZ547" i="3" s="1"/>
  <c r="BL522" i="3"/>
  <c r="BA522" i="3"/>
  <c r="BA521" i="3"/>
  <c r="AZ521" i="3" s="1"/>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s="1"/>
  <c r="BL507" i="3"/>
  <c r="AZ507" i="3" s="1"/>
  <c r="BL506" i="3"/>
  <c r="BA506" i="3"/>
  <c r="BA499" i="3"/>
  <c r="AZ499" i="3" s="1"/>
  <c r="BL497" i="3"/>
  <c r="BA497" i="3"/>
  <c r="AZ497" i="3" s="1"/>
  <c r="AZ514" i="3"/>
  <c r="AZ502" i="3"/>
  <c r="AB31" i="33"/>
  <c r="U31" i="33"/>
  <c r="AB30" i="21"/>
  <c r="U30" i="21"/>
  <c r="J25" i="35"/>
  <c r="H25" i="35"/>
  <c r="W26" i="37"/>
  <c r="AC26" i="37"/>
  <c r="BL511" i="3"/>
  <c r="AZ511" i="3" s="1"/>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s="1"/>
  <c r="BF5" i="3"/>
  <c r="B73" i="46"/>
  <c r="C23" i="39"/>
  <c r="B94" i="46"/>
  <c r="B84" i="46"/>
  <c r="U9" i="33"/>
  <c r="AB9" i="33"/>
  <c r="W26" i="36"/>
  <c r="AC26" i="36"/>
  <c r="J34" i="36"/>
  <c r="H34" i="36"/>
  <c r="F42" i="40"/>
  <c r="J42" i="40"/>
  <c r="BL561" i="3"/>
  <c r="AZ561" i="3" s="1"/>
  <c r="AZ557" i="3"/>
  <c r="AZ556" i="3"/>
  <c r="AZ545" i="3"/>
  <c r="AZ542" i="3"/>
  <c r="AZ528" i="3"/>
  <c r="BA519" i="3"/>
  <c r="AZ519" i="3" s="1"/>
  <c r="BA518" i="3"/>
  <c r="AZ518" i="3" s="1"/>
  <c r="BL517" i="3"/>
  <c r="AZ517" i="3" s="1"/>
  <c r="BL515" i="3"/>
  <c r="BA515" i="3"/>
  <c r="AZ515" i="3" s="1"/>
  <c r="BA513" i="3"/>
  <c r="AZ513" i="3" s="1"/>
  <c r="BL512" i="3"/>
  <c r="AZ512" i="3" s="1"/>
  <c r="BA512" i="3"/>
  <c r="AZ493" i="3"/>
  <c r="BH5" i="3"/>
  <c r="BL481" i="3"/>
  <c r="AZ481" i="3" s="1"/>
  <c r="BB5" i="3"/>
  <c r="BL19" i="3"/>
  <c r="AZ19" i="3" s="1"/>
  <c r="AZ495" i="3"/>
  <c r="AZ552" i="3"/>
  <c r="AZ381" i="3"/>
  <c r="AZ372" i="3"/>
  <c r="AZ307" i="3"/>
  <c r="AZ122" i="3"/>
  <c r="S25" i="37"/>
  <c r="BL484" i="3"/>
  <c r="AZ524" i="3"/>
  <c r="BL532" i="3"/>
  <c r="AZ532" i="3" s="1"/>
  <c r="AB42" i="34"/>
  <c r="S40" i="33"/>
  <c r="W24" i="35"/>
  <c r="E5" i="6"/>
  <c r="D12" i="11" s="1"/>
  <c r="C12" i="11" s="1"/>
  <c r="J12" i="36"/>
  <c r="H12" i="36"/>
  <c r="G519" i="3"/>
  <c r="G481" i="3"/>
  <c r="J9" i="36"/>
  <c r="F9" i="36"/>
  <c r="AZ420" i="3"/>
  <c r="AZ491" i="3"/>
  <c r="AC30" i="37"/>
  <c r="AZ370" i="3"/>
  <c r="AZ344" i="3"/>
  <c r="AZ323" i="3"/>
  <c r="AZ135" i="3"/>
  <c r="F36" i="35"/>
  <c r="BL482" i="3"/>
  <c r="BL516" i="3"/>
  <c r="AZ516" i="3" s="1"/>
  <c r="BL562" i="3"/>
  <c r="AZ562" i="3" s="1"/>
  <c r="H28" i="37"/>
  <c r="S31" i="33"/>
  <c r="J31" i="33"/>
  <c r="H5" i="3"/>
  <c r="BA570" i="3"/>
  <c r="AZ570" i="3" s="1"/>
  <c r="BE5" i="3"/>
  <c r="H12" i="35"/>
  <c r="J34" i="35"/>
  <c r="F34" i="35"/>
  <c r="H9" i="36"/>
  <c r="J24" i="36"/>
  <c r="J25" i="37"/>
  <c r="H25" i="37"/>
  <c r="A30" i="64"/>
  <c r="A30" i="51"/>
  <c r="B22" i="63" s="1"/>
  <c r="A2" i="55"/>
  <c r="B55" i="63" s="1"/>
  <c r="AZ391" i="3"/>
  <c r="AZ404" i="3"/>
  <c r="BL414" i="3"/>
  <c r="AZ414" i="3" s="1"/>
  <c r="AZ421" i="3"/>
  <c r="AZ433" i="3"/>
  <c r="AZ448" i="3"/>
  <c r="BA396" i="3"/>
  <c r="AZ396" i="3" s="1"/>
  <c r="BL397" i="3"/>
  <c r="BA400" i="3"/>
  <c r="AZ400" i="3" s="1"/>
  <c r="G408" i="3"/>
  <c r="BL408" i="3"/>
  <c r="AZ408" i="3" s="1"/>
  <c r="BA412" i="3"/>
  <c r="G416" i="3"/>
  <c r="BL417" i="3"/>
  <c r="BL418" i="3"/>
  <c r="AZ418" i="3" s="1"/>
  <c r="G424" i="3"/>
  <c r="BL424" i="3"/>
  <c r="AZ424" i="3" s="1"/>
  <c r="BL431" i="3"/>
  <c r="BA435" i="3"/>
  <c r="AZ435" i="3" s="1"/>
  <c r="BA437" i="3"/>
  <c r="BL440" i="3"/>
  <c r="AZ440" i="3" s="1"/>
  <c r="G452" i="3"/>
  <c r="BL455" i="3"/>
  <c r="AZ456" i="3"/>
  <c r="BA457" i="3"/>
  <c r="G460" i="3"/>
  <c r="BA462" i="3"/>
  <c r="BL464" i="3"/>
  <c r="BA473" i="3"/>
  <c r="G476" i="3"/>
  <c r="BA478" i="3"/>
  <c r="BL480" i="3"/>
  <c r="AZ480" i="3" s="1"/>
  <c r="BL312" i="3"/>
  <c r="AZ312" i="3" s="1"/>
  <c r="BA389" i="3"/>
  <c r="AZ389" i="3" s="1"/>
  <c r="BA393" i="3"/>
  <c r="AZ393" i="3" s="1"/>
  <c r="BL398" i="3"/>
  <c r="AZ398" i="3" s="1"/>
  <c r="BA401" i="3"/>
  <c r="AZ401" i="3" s="1"/>
  <c r="BL402" i="3"/>
  <c r="AZ402" i="3" s="1"/>
  <c r="BL404" i="3"/>
  <c r="AZ407" i="3"/>
  <c r="AZ416" i="3"/>
  <c r="BL420" i="3"/>
  <c r="BA423" i="3"/>
  <c r="AZ423" i="3" s="1"/>
  <c r="AZ431" i="3"/>
  <c r="AZ460" i="3"/>
  <c r="AZ476" i="3"/>
  <c r="AZ319" i="3"/>
  <c r="AZ335" i="3"/>
  <c r="BA572" i="3"/>
  <c r="AZ572" i="3" s="1"/>
  <c r="B101" i="46"/>
  <c r="B79" i="46"/>
  <c r="BA390" i="3"/>
  <c r="AZ390" i="3" s="1"/>
  <c r="BA394" i="3"/>
  <c r="AZ394" i="3" s="1"/>
  <c r="BL395" i="3"/>
  <c r="BL399" i="3"/>
  <c r="AZ399" i="3" s="1"/>
  <c r="G404" i="3"/>
  <c r="BL405" i="3"/>
  <c r="BA409" i="3"/>
  <c r="AZ409" i="3" s="1"/>
  <c r="BL412" i="3"/>
  <c r="BA418" i="3"/>
  <c r="BA419" i="3"/>
  <c r="AZ419" i="3" s="1"/>
  <c r="G428" i="3"/>
  <c r="BL428" i="3"/>
  <c r="AZ428" i="3" s="1"/>
  <c r="BA433" i="3"/>
  <c r="G436" i="3"/>
  <c r="G448" i="3"/>
  <c r="BL456" i="3"/>
  <c r="AZ464" i="3"/>
  <c r="BA465" i="3"/>
  <c r="G468" i="3"/>
  <c r="BA470" i="3"/>
  <c r="BL472" i="3"/>
  <c r="AZ472" i="3" s="1"/>
  <c r="G315" i="3"/>
  <c r="BL444" i="3"/>
  <c r="AZ444" i="3" s="1"/>
  <c r="BL452" i="3"/>
  <c r="AZ452" i="3" s="1"/>
  <c r="BA455" i="3"/>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AZ283" i="3" s="1"/>
  <c r="BA286" i="3"/>
  <c r="AZ286" i="3" s="1"/>
  <c r="BL287" i="3"/>
  <c r="BA290" i="3"/>
  <c r="AZ290" i="3" s="1"/>
  <c r="BL291" i="3"/>
  <c r="BL295" i="3"/>
  <c r="AZ295" i="3" s="1"/>
  <c r="BL118" i="3"/>
  <c r="AZ118" i="3" s="1"/>
  <c r="BA127" i="3"/>
  <c r="AZ127" i="3" s="1"/>
  <c r="BL133" i="3"/>
  <c r="BL134" i="3"/>
  <c r="AZ134" i="3" s="1"/>
  <c r="G139" i="3"/>
  <c r="G141" i="3"/>
  <c r="BL149" i="3"/>
  <c r="BL150" i="3"/>
  <c r="AZ150" i="3" s="1"/>
  <c r="G154" i="3"/>
  <c r="G172" i="3"/>
  <c r="AZ350" i="3"/>
  <c r="AZ351" i="3"/>
  <c r="AZ360" i="3"/>
  <c r="AZ376" i="3"/>
  <c r="AZ388" i="3"/>
  <c r="AZ207" i="3"/>
  <c r="AZ267" i="3"/>
  <c r="AZ279" i="3"/>
  <c r="AZ291" i="3"/>
  <c r="BA117" i="3"/>
  <c r="AZ117" i="3" s="1"/>
  <c r="AZ141" i="3"/>
  <c r="BA155" i="3"/>
  <c r="AZ155" i="3" s="1"/>
  <c r="AZ172"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L126" i="3"/>
  <c r="AZ126" i="3" s="1"/>
  <c r="BA133" i="3"/>
  <c r="AZ133" i="3" s="1"/>
  <c r="BA135" i="3"/>
  <c r="AZ148" i="3"/>
  <c r="BA149" i="3"/>
  <c r="BA151" i="3"/>
  <c r="AZ151" i="3" s="1"/>
  <c r="BL164" i="3"/>
  <c r="AZ164" i="3" s="1"/>
  <c r="BA166" i="3"/>
  <c r="AZ166" i="3" s="1"/>
  <c r="BL169" i="3"/>
  <c r="AZ169" i="3" s="1"/>
  <c r="G170"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A125" i="3"/>
  <c r="AZ125" i="3" s="1"/>
  <c r="G130" i="3"/>
  <c r="BA131" i="3"/>
  <c r="AZ131" i="3" s="1"/>
  <c r="BL141" i="3"/>
  <c r="BL142" i="3"/>
  <c r="AZ142" i="3" s="1"/>
  <c r="G146" i="3"/>
  <c r="BA147" i="3"/>
  <c r="AZ147" i="3" s="1"/>
  <c r="BL155" i="3"/>
  <c r="G156" i="3"/>
  <c r="BA159" i="3"/>
  <c r="AZ159" i="3" s="1"/>
  <c r="G164" i="3"/>
  <c r="BL156" i="3"/>
  <c r="AZ156" i="3" s="1"/>
  <c r="BA163" i="3"/>
  <c r="AZ163" i="3" s="1"/>
  <c r="BL165" i="3"/>
  <c r="AZ165" i="3" s="1"/>
  <c r="BL173" i="3"/>
  <c r="AZ173" i="3" s="1"/>
  <c r="BL182" i="3"/>
  <c r="BA185" i="3"/>
  <c r="AZ185" i="3" s="1"/>
  <c r="AZ202" i="3"/>
  <c r="AZ28" i="3"/>
  <c r="AZ34" i="3"/>
  <c r="AZ41" i="3"/>
  <c r="AZ83" i="3"/>
  <c r="AZ105" i="3"/>
  <c r="BL191" i="3"/>
  <c r="AZ191" i="3" s="1"/>
  <c r="BL199" i="3"/>
  <c r="AZ199" i="3" s="1"/>
  <c r="BA203" i="3"/>
  <c r="AZ203" i="3" s="1"/>
  <c r="BL204" i="3"/>
  <c r="AZ204" i="3" s="1"/>
  <c r="BL24" i="3"/>
  <c r="AZ24" i="3" s="1"/>
  <c r="BL25" i="3"/>
  <c r="BA30" i="3"/>
  <c r="AZ30" i="3" s="1"/>
  <c r="AZ36" i="3"/>
  <c r="BA37" i="3"/>
  <c r="BA53" i="3"/>
  <c r="AZ53" i="3" s="1"/>
  <c r="BA63" i="3"/>
  <c r="AZ73" i="3"/>
  <c r="AZ77" i="3"/>
  <c r="BA120" i="3"/>
  <c r="AZ120" i="3" s="1"/>
  <c r="BL122" i="3"/>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AZ186" i="3" s="1"/>
  <c r="BA189" i="3"/>
  <c r="AZ189" i="3" s="1"/>
  <c r="BL194" i="3"/>
  <c r="BA197" i="3"/>
  <c r="AZ197" i="3" s="1"/>
  <c r="BL26" i="3"/>
  <c r="BL27" i="3"/>
  <c r="AZ27" i="3" s="1"/>
  <c r="G33" i="3"/>
  <c r="BL33" i="3"/>
  <c r="BA38" i="3"/>
  <c r="AZ38" i="3" s="1"/>
  <c r="BL41" i="3"/>
  <c r="BL42" i="3"/>
  <c r="AZ42" i="3" s="1"/>
  <c r="BL44" i="3"/>
  <c r="G49" i="3"/>
  <c r="BL49" i="3"/>
  <c r="BA54" i="3"/>
  <c r="BA58" i="3"/>
  <c r="BA62" i="3"/>
  <c r="AZ62" i="3" s="1"/>
  <c r="BA64" i="3"/>
  <c r="AZ64" i="3" s="1"/>
  <c r="BA69" i="3"/>
  <c r="AZ69" i="3" s="1"/>
  <c r="AZ101" i="3"/>
  <c r="BL132" i="3"/>
  <c r="AZ132" i="3" s="1"/>
  <c r="BA137" i="3"/>
  <c r="AZ137" i="3" s="1"/>
  <c r="BL140" i="3"/>
  <c r="AZ140" i="3" s="1"/>
  <c r="BL148" i="3"/>
  <c r="BA152" i="3"/>
  <c r="AZ152" i="3" s="1"/>
  <c r="BA158" i="3"/>
  <c r="AZ158" i="3" s="1"/>
  <c r="BA160" i="3"/>
  <c r="AZ160" i="3" s="1"/>
  <c r="BL171" i="3"/>
  <c r="AZ171" i="3" s="1"/>
  <c r="BL177" i="3"/>
  <c r="AZ177" i="3" s="1"/>
  <c r="BL187" i="3"/>
  <c r="AZ187" i="3" s="1"/>
  <c r="BL195" i="3"/>
  <c r="AZ195" i="3" s="1"/>
  <c r="BA21" i="3"/>
  <c r="AZ21" i="3" s="1"/>
  <c r="BL22" i="3"/>
  <c r="AZ22" i="3" s="1"/>
  <c r="BA25" i="3"/>
  <c r="AZ26" i="3"/>
  <c r="G29" i="3"/>
  <c r="BL29" i="3"/>
  <c r="AZ29" i="3" s="1"/>
  <c r="BA32" i="3"/>
  <c r="AZ32" i="3" s="1"/>
  <c r="BL37" i="3"/>
  <c r="G41" i="3"/>
  <c r="BA44" i="3"/>
  <c r="AZ44" i="3" s="1"/>
  <c r="BL48" i="3"/>
  <c r="AZ48" i="3" s="1"/>
  <c r="AZ49" i="3"/>
  <c r="BL53" i="3"/>
  <c r="G57" i="3"/>
  <c r="BA61" i="3"/>
  <c r="BL63" i="3"/>
  <c r="G67" i="3"/>
  <c r="BL67" i="3"/>
  <c r="AZ67" i="3" s="1"/>
  <c r="AZ93" i="3"/>
  <c r="AZ97" i="3"/>
  <c r="BA31" i="3"/>
  <c r="AZ31" i="3" s="1"/>
  <c r="BA35" i="3"/>
  <c r="AZ35" i="3" s="1"/>
  <c r="BL36" i="3"/>
  <c r="BL40" i="3"/>
  <c r="AZ40" i="3" s="1"/>
  <c r="BA47" i="3"/>
  <c r="AZ47" i="3" s="1"/>
  <c r="BA51" i="3"/>
  <c r="AZ51" i="3" s="1"/>
  <c r="BL52" i="3"/>
  <c r="AZ52" i="3" s="1"/>
  <c r="BL56" i="3"/>
  <c r="AZ56" i="3" s="1"/>
  <c r="BL59" i="3"/>
  <c r="AZ59" i="3" s="1"/>
  <c r="BA65" i="3"/>
  <c r="AZ65" i="3" s="1"/>
  <c r="BL70" i="3"/>
  <c r="AZ70" i="3" s="1"/>
  <c r="BA72" i="3"/>
  <c r="AZ72" i="3" s="1"/>
  <c r="BL73" i="3"/>
  <c r="BA88" i="3"/>
  <c r="AZ88" i="3" s="1"/>
  <c r="BL89" i="3"/>
  <c r="AZ89" i="3" s="1"/>
  <c r="BA92" i="3"/>
  <c r="AZ92" i="3" s="1"/>
  <c r="BL93" i="3"/>
  <c r="BA104" i="3"/>
  <c r="AZ104" i="3" s="1"/>
  <c r="BL105" i="3"/>
  <c r="BA108" i="3"/>
  <c r="AZ108" i="3" s="1"/>
  <c r="BL109" i="3"/>
  <c r="BA112" i="3"/>
  <c r="AZ112" i="3" s="1"/>
  <c r="B88" i="46"/>
  <c r="C27" i="40"/>
  <c r="N66" i="59"/>
  <c r="N67" i="59"/>
  <c r="AA28" i="59"/>
  <c r="AA22" i="59"/>
  <c r="AZ109" i="3"/>
  <c r="S18" i="36"/>
  <c r="D67" i="59"/>
  <c r="O66" i="59"/>
  <c r="Y34" i="59"/>
  <c r="Z34" i="59" s="1"/>
  <c r="C35" i="59"/>
  <c r="C40" i="59"/>
  <c r="D39" i="59"/>
  <c r="C60" i="59"/>
  <c r="D59" i="59"/>
  <c r="Q67" i="59"/>
  <c r="Q66" i="59"/>
  <c r="AA26" i="59"/>
  <c r="BA78" i="3"/>
  <c r="AZ78" i="3" s="1"/>
  <c r="BA82" i="3"/>
  <c r="AZ82" i="3" s="1"/>
  <c r="BL83" i="3"/>
  <c r="BA86" i="3"/>
  <c r="AZ86" i="3" s="1"/>
  <c r="BL87" i="3"/>
  <c r="AZ87" i="3" s="1"/>
  <c r="BL91" i="3"/>
  <c r="AZ91" i="3" s="1"/>
  <c r="BA98" i="3"/>
  <c r="AZ98" i="3" s="1"/>
  <c r="BA102" i="3"/>
  <c r="AZ102" i="3" s="1"/>
  <c r="BL103" i="3"/>
  <c r="AZ103" i="3" s="1"/>
  <c r="BL107" i="3"/>
  <c r="AZ107" i="3" s="1"/>
  <c r="AA21" i="34"/>
  <c r="S21" i="34"/>
  <c r="Y30" i="59"/>
  <c r="Z30" i="59" s="1"/>
  <c r="C31" i="59"/>
  <c r="Y29" i="59"/>
  <c r="Z29" i="59" s="1"/>
  <c r="Y28" i="59"/>
  <c r="Z28" i="59" s="1"/>
  <c r="Y31" i="59"/>
  <c r="Z31" i="59" s="1"/>
  <c r="Y32" i="59"/>
  <c r="Z32" i="59" s="1"/>
  <c r="Y33" i="59"/>
  <c r="Z33" i="59" s="1"/>
  <c r="E35" i="59"/>
  <c r="E36" i="59" s="1"/>
  <c r="E37" i="59" s="1"/>
  <c r="U37" i="59" s="1"/>
  <c r="AA34" i="59"/>
  <c r="AA31" i="59"/>
  <c r="AA30" i="59"/>
  <c r="AA5" i="59"/>
  <c r="AA6" i="59"/>
  <c r="AA8" i="59"/>
  <c r="AA7" i="59"/>
  <c r="AA10" i="59"/>
  <c r="AA11" i="59"/>
  <c r="AA40" i="59"/>
  <c r="AA38" i="59"/>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L84" i="3"/>
  <c r="AZ84" i="3" s="1"/>
  <c r="BA95" i="3"/>
  <c r="AZ95" i="3" s="1"/>
  <c r="BL96" i="3"/>
  <c r="BA99" i="3"/>
  <c r="AZ99" i="3" s="1"/>
  <c r="BL100" i="3"/>
  <c r="AZ100" i="3" s="1"/>
  <c r="BA111" i="3"/>
  <c r="AZ111" i="3" s="1"/>
  <c r="AA18" i="35"/>
  <c r="S18" i="35"/>
  <c r="O67" i="59"/>
  <c r="C45" i="59"/>
  <c r="D44" i="59"/>
  <c r="E41" i="59"/>
  <c r="U41" i="59" s="1"/>
  <c r="X6" i="59"/>
  <c r="X8" i="59"/>
  <c r="X5" i="59"/>
  <c r="X7" i="59"/>
  <c r="X10" i="59"/>
  <c r="X40" i="59"/>
  <c r="X3" i="59"/>
  <c r="X27" i="59"/>
  <c r="X39" i="59"/>
  <c r="X37" i="59"/>
  <c r="L76" i="9"/>
  <c r="K76" i="9"/>
  <c r="Y24" i="59"/>
  <c r="Z24" i="59" s="1"/>
  <c r="AA24" i="59"/>
  <c r="X22" i="59"/>
  <c r="Y13" i="59"/>
  <c r="Z13" i="59" s="1"/>
  <c r="Y15" i="59"/>
  <c r="Z15" i="59" s="1"/>
  <c r="AA12" i="59"/>
  <c r="D68" i="59"/>
  <c r="AB28" i="59"/>
  <c r="AB29" i="59"/>
  <c r="X28" i="59"/>
  <c r="AA32" i="59"/>
  <c r="AA33" i="59"/>
  <c r="AA36" i="59"/>
  <c r="AA37" i="59"/>
  <c r="F80" i="59"/>
  <c r="F79" i="59" s="1"/>
  <c r="AA29" i="59"/>
  <c r="A26" i="51"/>
  <c r="B19" i="63" s="1"/>
  <c r="AB34" i="59"/>
  <c r="X30" i="59"/>
  <c r="F28" i="59"/>
  <c r="F27" i="59" s="1"/>
  <c r="S25" i="59"/>
  <c r="B24" i="59"/>
  <c r="B23" i="59" s="1"/>
  <c r="B22" i="59" s="1"/>
  <c r="B21" i="59" s="1"/>
  <c r="X19" i="59"/>
  <c r="AA19" i="59"/>
  <c r="AA16" i="59"/>
  <c r="AA13" i="59"/>
  <c r="AA3" i="59"/>
  <c r="AA15" i="59"/>
  <c r="AA14" i="59"/>
  <c r="AA18" i="59"/>
  <c r="S21" i="37"/>
  <c r="C84" i="59"/>
  <c r="C80" i="59"/>
  <c r="Y27" i="59"/>
  <c r="Z27" i="59" s="1"/>
  <c r="AA27" i="59"/>
  <c r="AA39" i="59"/>
  <c r="AB6" i="59"/>
  <c r="AB8" i="59"/>
  <c r="AB7" i="59"/>
  <c r="AB5" i="59"/>
  <c r="AB11" i="59"/>
  <c r="AB10" i="59"/>
  <c r="E64" i="59"/>
  <c r="E65" i="59" s="1"/>
  <c r="U65" i="59" s="1"/>
  <c r="F72" i="59"/>
  <c r="F71" i="59" s="1"/>
  <c r="AB37" i="59"/>
  <c r="C28" i="59"/>
  <c r="E29" i="59"/>
  <c r="AB24" i="59"/>
  <c r="Y19" i="59"/>
  <c r="Z19" i="59" s="1"/>
  <c r="Y14" i="59"/>
  <c r="Z14" i="59" s="1"/>
  <c r="AB19" i="59"/>
  <c r="Y11" i="59"/>
  <c r="Z11" i="59" s="1"/>
  <c r="D81" i="59"/>
  <c r="AB26" i="59"/>
  <c r="X31" i="59"/>
  <c r="X32" i="59"/>
  <c r="X35" i="59"/>
  <c r="X36" i="59"/>
  <c r="AB39" i="59"/>
  <c r="AB30" i="59"/>
  <c r="O76" i="9"/>
  <c r="D29" i="59"/>
  <c r="Y25" i="59"/>
  <c r="Z25" i="59" s="1"/>
  <c r="P62" i="15"/>
  <c r="P75" i="15"/>
  <c r="AB25" i="59"/>
  <c r="X24" i="59"/>
  <c r="X15" i="59"/>
  <c r="X18" i="59"/>
  <c r="X12" i="59"/>
  <c r="X13" i="59"/>
  <c r="AB16" i="59"/>
  <c r="Y18" i="59"/>
  <c r="Z18" i="59" s="1"/>
  <c r="AB18" i="59"/>
  <c r="X17" i="59"/>
  <c r="AB12" i="59"/>
  <c r="Y12" i="59"/>
  <c r="Z12" i="59" s="1"/>
  <c r="X14" i="59"/>
  <c r="X26" i="59"/>
  <c r="Y7" i="59"/>
  <c r="Z7" i="59" s="1"/>
  <c r="Y8" i="59"/>
  <c r="Z8" i="59" s="1"/>
  <c r="Y5" i="59"/>
  <c r="Z5" i="59" s="1"/>
  <c r="Y6" i="59"/>
  <c r="Z6" i="59" s="1"/>
  <c r="Y10" i="59"/>
  <c r="Z10" i="59" s="1"/>
  <c r="AB14" i="59"/>
  <c r="AB15" i="59"/>
  <c r="X11"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P29" i="46"/>
  <c r="B72" i="39" s="1"/>
  <c r="P25"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8" i="44"/>
  <c r="E3" i="65"/>
  <c r="E53" i="40" l="1"/>
  <c r="E53" i="76"/>
  <c r="B67" i="40"/>
  <c r="B67" i="76"/>
  <c r="A1" i="70"/>
  <c r="G12" i="1"/>
  <c r="D64" i="76"/>
  <c r="C66" i="76"/>
  <c r="U12" i="37"/>
  <c r="AB12" i="37"/>
  <c r="C32" i="15"/>
  <c r="C34" i="44"/>
  <c r="D21" i="12"/>
  <c r="C21" i="12" s="1"/>
  <c r="H58" i="33"/>
  <c r="I58" i="33" s="1"/>
  <c r="J58" i="33" s="1"/>
  <c r="K58" i="33" s="1"/>
  <c r="L58" i="33" s="1"/>
  <c r="M58" i="33" s="1"/>
  <c r="N58" i="33" s="1"/>
  <c r="O58" i="33" s="1"/>
  <c r="J7" i="33"/>
  <c r="D80" i="59"/>
  <c r="C79" i="59"/>
  <c r="D79" i="59" s="1"/>
  <c r="AZ455" i="3"/>
  <c r="AB9" i="36"/>
  <c r="U9" i="36"/>
  <c r="AA9" i="36"/>
  <c r="S9" i="36"/>
  <c r="U12" i="36"/>
  <c r="AB12" i="36"/>
  <c r="U34" i="36"/>
  <c r="AB34" i="36"/>
  <c r="AB25" i="35"/>
  <c r="U25" i="35"/>
  <c r="W9" i="21"/>
  <c r="AC9" i="21"/>
  <c r="E15" i="6"/>
  <c r="E61" i="76" s="1"/>
  <c r="O23" i="46"/>
  <c r="C83" i="59"/>
  <c r="D83" i="59" s="1"/>
  <c r="D84" i="59"/>
  <c r="D31" i="59"/>
  <c r="C32" i="59"/>
  <c r="D40" i="59"/>
  <c r="C41" i="59"/>
  <c r="AZ61" i="3"/>
  <c r="AZ25" i="3"/>
  <c r="AZ58" i="3"/>
  <c r="AZ5" i="3" s="1"/>
  <c r="E3" i="6" s="1"/>
  <c r="D16" i="43" s="1"/>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s="1"/>
  <c r="E14" i="59" s="1"/>
  <c r="E13" i="59" s="1"/>
  <c r="U17" i="59"/>
  <c r="C36" i="59"/>
  <c r="D35" i="59"/>
  <c r="AZ462" i="3"/>
  <c r="W25" i="37"/>
  <c r="AC25" i="37"/>
  <c r="AC34" i="35"/>
  <c r="W34" i="35"/>
  <c r="AC42" i="40"/>
  <c r="W42" i="40"/>
  <c r="W38" i="39"/>
  <c r="AC38" i="39"/>
  <c r="S44" i="33"/>
  <c r="AA44" i="33"/>
  <c r="U27" i="33"/>
  <c r="AB27" i="33"/>
  <c r="AA9" i="21"/>
  <c r="S9" i="21"/>
  <c r="U29" i="59"/>
  <c r="E28" i="59"/>
  <c r="E27" i="59" s="1"/>
  <c r="P27" i="46"/>
  <c r="D28" i="59"/>
  <c r="C27" i="59"/>
  <c r="D27" i="59" s="1"/>
  <c r="B20" i="59"/>
  <c r="B19" i="59" s="1"/>
  <c r="B18" i="59" s="1"/>
  <c r="B17" i="59" s="1"/>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s="1"/>
  <c r="F14" i="59" s="1"/>
  <c r="F13" i="59" s="1"/>
  <c r="V17" i="59"/>
  <c r="J60" i="44"/>
  <c r="J61" i="44" s="1"/>
  <c r="Q50" i="44" s="1"/>
  <c r="E83" i="46"/>
  <c r="B81" i="46" s="1"/>
  <c r="C29" i="12"/>
  <c r="BA5" i="3"/>
  <c r="E12" i="6"/>
  <c r="J7" i="21"/>
  <c r="AC7" i="21" s="1"/>
  <c r="V48" i="21" s="1"/>
  <c r="I48" i="21" s="1"/>
  <c r="E61" i="46"/>
  <c r="B59" i="46" s="1"/>
  <c r="E50" i="46"/>
  <c r="B48" i="46" s="1"/>
  <c r="C28"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F7" i="21"/>
  <c r="AA7" i="21" s="1"/>
  <c r="R48" i="21" s="1"/>
  <c r="H7" i="21"/>
  <c r="AB7" i="21" s="1"/>
  <c r="T48" i="21" s="1"/>
  <c r="G48" i="21" s="1"/>
  <c r="E12" i="59"/>
  <c r="U13" i="59"/>
  <c r="F58" i="15"/>
  <c r="H7" i="35"/>
  <c r="U7" i="35" s="1"/>
  <c r="B40" i="1"/>
  <c r="L36" i="46" s="1"/>
  <c r="E64" i="40"/>
  <c r="D66" i="40"/>
  <c r="AC7" i="33"/>
  <c r="V48" i="33" s="1"/>
  <c r="I48" i="33" s="1"/>
  <c r="W7" i="33"/>
  <c r="J7" i="37"/>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6" i="44"/>
  <c r="F41" i="15"/>
  <c r="E63" i="39" l="1"/>
  <c r="E58" i="76"/>
  <c r="E62" i="39"/>
  <c r="E57" i="76"/>
  <c r="E59" i="40"/>
  <c r="E59" i="76"/>
  <c r="E65" i="39"/>
  <c r="E60" i="76"/>
  <c r="W7" i="21"/>
  <c r="AB7" i="34"/>
  <c r="T49" i="34" s="1"/>
  <c r="G49" i="34" s="1"/>
  <c r="J12" i="40"/>
  <c r="H12" i="76"/>
  <c r="J12" i="76"/>
  <c r="F12" i="76"/>
  <c r="D66" i="76"/>
  <c r="E64" i="76"/>
  <c r="E58" i="40"/>
  <c r="S7" i="34"/>
  <c r="V13" i="59"/>
  <c r="F12" i="59"/>
  <c r="F11" i="59" s="1"/>
  <c r="D36" i="59"/>
  <c r="C37" i="59"/>
  <c r="C18" i="59"/>
  <c r="D19" i="59"/>
  <c r="C33" i="59"/>
  <c r="D32" i="59"/>
  <c r="D61" i="59"/>
  <c r="T61" i="59"/>
  <c r="B16" i="59"/>
  <c r="B15" i="59" s="1"/>
  <c r="B14" i="59" s="1"/>
  <c r="B13" i="59" s="1"/>
  <c r="S17" i="59"/>
  <c r="D41" i="59"/>
  <c r="T4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AC12" i="76" l="1"/>
  <c r="W12" i="76"/>
  <c r="E66" i="76"/>
  <c r="F64" i="76"/>
  <c r="AB12" i="76"/>
  <c r="U12" i="76"/>
  <c r="AA12" i="76"/>
  <c r="S12" i="76"/>
  <c r="T37" i="59"/>
  <c r="D37" i="59"/>
  <c r="S13" i="59"/>
  <c r="B12" i="59"/>
  <c r="B11" i="59" s="1"/>
  <c r="T33" i="59"/>
  <c r="D33" i="59"/>
  <c r="D22" i="12"/>
  <c r="C22" i="12" s="1"/>
  <c r="C20" i="12" s="1"/>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F1" i="46" l="1"/>
  <c r="E62" i="76"/>
  <c r="G64" i="76"/>
  <c r="F66" i="76"/>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C36" i="40" l="1"/>
  <c r="C36" i="76"/>
  <c r="M27" i="6"/>
  <c r="H64" i="76"/>
  <c r="G66" i="76"/>
  <c r="S16" i="1"/>
  <c r="H25" i="6"/>
  <c r="C15" i="59"/>
  <c r="D16" i="59"/>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3" i="44"/>
  <c r="C16" i="44"/>
  <c r="C14" i="15"/>
  <c r="F35" i="15"/>
  <c r="F37" i="44"/>
  <c r="M21" i="15"/>
  <c r="J36" i="76" l="1"/>
  <c r="F36" i="76"/>
  <c r="H36" i="76"/>
  <c r="J36" i="40"/>
  <c r="H36" i="40"/>
  <c r="F36" i="40"/>
  <c r="H66" i="76"/>
  <c r="I64" i="76"/>
  <c r="D15" i="59"/>
  <c r="C14" i="59"/>
  <c r="C36" i="44"/>
  <c r="J20" i="15"/>
  <c r="C34" i="15"/>
  <c r="R27" i="6"/>
  <c r="H27" i="6"/>
  <c r="C15" i="15"/>
  <c r="C18" i="15"/>
  <c r="C17" i="44"/>
  <c r="C20" i="44"/>
  <c r="T16" i="1"/>
  <c r="E7" i="59"/>
  <c r="B7" i="59"/>
  <c r="F6" i="59"/>
  <c r="I6" i="6"/>
  <c r="G3" i="46" s="1"/>
  <c r="I5" i="6"/>
  <c r="J22" i="44"/>
  <c r="F62" i="15"/>
  <c r="C61" i="15" s="1"/>
  <c r="R16" i="1"/>
  <c r="C18" i="43"/>
  <c r="C18" i="12"/>
  <c r="C23" i="12" s="1"/>
  <c r="C35" i="12" s="1"/>
  <c r="C33" i="12" s="1"/>
  <c r="O46" i="36"/>
  <c r="J7" i="36" s="1"/>
  <c r="F7" i="36"/>
  <c r="H7" i="36"/>
  <c r="J64" i="40"/>
  <c r="I66" i="40"/>
  <c r="J69" i="39"/>
  <c r="I71" i="39"/>
  <c r="B3" i="67"/>
  <c r="B4" i="67"/>
  <c r="AC36" i="40" l="1"/>
  <c r="W36" i="40"/>
  <c r="AB36" i="76"/>
  <c r="U36" i="76"/>
  <c r="Z7" i="46"/>
  <c r="B117" i="46"/>
  <c r="H26" i="46"/>
  <c r="J26" i="46"/>
  <c r="F26" i="46"/>
  <c r="E26" i="46"/>
  <c r="G26" i="46"/>
  <c r="AA36" i="40"/>
  <c r="S36" i="40"/>
  <c r="S36" i="76"/>
  <c r="AA36" i="76"/>
  <c r="AB36" i="40"/>
  <c r="U36" i="40"/>
  <c r="AC36" i="76"/>
  <c r="W36" i="76"/>
  <c r="I66" i="76"/>
  <c r="J64" i="76"/>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6" i="46" l="1"/>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K64" i="76"/>
  <c r="J66" i="76"/>
  <c r="C12" i="59"/>
  <c r="D13" i="59"/>
  <c r="T13" i="59"/>
  <c r="E5" i="59"/>
  <c r="U5" i="59" s="1"/>
  <c r="B5" i="59"/>
  <c r="C21" i="43"/>
  <c r="R37" i="36"/>
  <c r="E36" i="36"/>
  <c r="I41" i="36" s="1"/>
  <c r="J41" i="36" s="1"/>
  <c r="K66" i="40"/>
  <c r="L64" i="40"/>
  <c r="G41" i="36"/>
  <c r="H41" i="36" s="1"/>
  <c r="G40" i="36"/>
  <c r="H40" i="36" s="1"/>
  <c r="I40" i="36"/>
  <c r="J40" i="36" s="1"/>
  <c r="L69" i="39"/>
  <c r="K71" i="39"/>
  <c r="E33" i="46" l="1"/>
  <c r="C34" i="46"/>
  <c r="E34" i="46" s="1"/>
  <c r="C31" i="46" s="1"/>
  <c r="L64" i="76"/>
  <c r="K66" i="76"/>
  <c r="C11" i="59"/>
  <c r="D12" i="59"/>
  <c r="S5" i="59"/>
  <c r="L71" i="39"/>
  <c r="M69" i="39"/>
  <c r="M64" i="40"/>
  <c r="L66" i="40"/>
  <c r="E40" i="36"/>
  <c r="F40" i="36" s="1"/>
  <c r="E41" i="36"/>
  <c r="F41" i="36" s="1"/>
  <c r="C37" i="36"/>
  <c r="B3" i="36" s="1"/>
  <c r="B2" i="36" s="1"/>
  <c r="C36" i="36"/>
  <c r="AE6" i="1"/>
  <c r="C30" i="46" l="1"/>
  <c r="B2" i="46" s="1"/>
  <c r="L66" i="76"/>
  <c r="M64" i="76"/>
  <c r="C10" i="59"/>
  <c r="D11" i="59"/>
  <c r="N64" i="40"/>
  <c r="N66" i="40" s="1"/>
  <c r="M66" i="40"/>
  <c r="N69" i="39"/>
  <c r="N71" i="39" s="1"/>
  <c r="M71" i="39"/>
  <c r="D4" i="46" l="1"/>
  <c r="B3" i="46"/>
  <c r="B4" i="46"/>
  <c r="M66" i="76"/>
  <c r="N64" i="76"/>
  <c r="N66" i="76" s="1"/>
  <c r="C9" i="59"/>
  <c r="D10" i="59"/>
  <c r="J9" i="40"/>
  <c r="H9" i="40"/>
  <c r="F9" i="40"/>
  <c r="J9" i="39"/>
  <c r="H9" i="39"/>
  <c r="F9" i="39"/>
  <c r="F9" i="76" l="1"/>
  <c r="H9" i="76"/>
  <c r="J9" i="76"/>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C9" i="76" l="1"/>
  <c r="V44" i="76" s="1"/>
  <c r="I44" i="76" s="1"/>
  <c r="W9" i="76"/>
  <c r="AB9" i="76"/>
  <c r="T44" i="76" s="1"/>
  <c r="G44" i="76" s="1"/>
  <c r="U9" i="76"/>
  <c r="S9" i="76"/>
  <c r="AA9" i="76"/>
  <c r="R44" i="76" s="1"/>
  <c r="D8" i="59"/>
  <c r="C7" i="59"/>
  <c r="R45" i="40"/>
  <c r="E44" i="40"/>
  <c r="G53" i="39"/>
  <c r="H53" i="39" s="1"/>
  <c r="G54" i="39"/>
  <c r="H54" i="39" s="1"/>
  <c r="G48" i="40"/>
  <c r="H48" i="40" s="1"/>
  <c r="G49" i="40"/>
  <c r="H49" i="40" s="1"/>
  <c r="I53" i="39"/>
  <c r="J53" i="39" s="1"/>
  <c r="R50" i="39"/>
  <c r="E49" i="39"/>
  <c r="I54" i="39" s="1"/>
  <c r="J54" i="39" s="1"/>
  <c r="G48" i="76" l="1"/>
  <c r="H48" i="76" s="1"/>
  <c r="G49" i="76"/>
  <c r="H49" i="76" s="1"/>
  <c r="E44" i="76"/>
  <c r="I49" i="76" s="1"/>
  <c r="J49" i="76" s="1"/>
  <c r="R45" i="76"/>
  <c r="I48" i="76"/>
  <c r="J48" i="76" s="1"/>
  <c r="D7" i="59"/>
  <c r="C6" i="59"/>
  <c r="E54" i="39"/>
  <c r="F54" i="39" s="1"/>
  <c r="E53" i="39"/>
  <c r="F53" i="39" s="1"/>
  <c r="I49" i="40"/>
  <c r="J49" i="40" s="1"/>
  <c r="E49" i="40"/>
  <c r="F49" i="40" s="1"/>
  <c r="E48" i="40"/>
  <c r="F48" i="40" s="1"/>
  <c r="C49" i="39"/>
  <c r="C50" i="39"/>
  <c r="C44" i="40"/>
  <c r="C45" i="40"/>
  <c r="C45" i="76" l="1"/>
  <c r="C44" i="76"/>
  <c r="E8" i="11" s="1"/>
  <c r="C8" i="11" s="1"/>
  <c r="C7" i="11" s="1"/>
  <c r="E49" i="76"/>
  <c r="F49" i="76" s="1"/>
  <c r="E48" i="76"/>
  <c r="F48" i="76"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8" i="11" l="1"/>
  <c r="C17" i="11"/>
  <c r="C19" i="11" s="1"/>
  <c r="C20" i="11" s="1"/>
  <c r="C21" i="11" s="1"/>
  <c r="C22" i="11" s="1"/>
  <c r="C23" i="11" s="1"/>
  <c r="B2" i="11" s="1"/>
  <c r="L43" i="9"/>
  <c r="B54" i="76"/>
  <c r="F54" i="76" s="1"/>
  <c r="B60" i="76"/>
  <c r="F60" i="76" s="1"/>
  <c r="B56" i="76"/>
  <c r="F56" i="76" s="1"/>
  <c r="B61" i="76"/>
  <c r="F61" i="76" s="1"/>
  <c r="B58" i="76"/>
  <c r="F58" i="76" s="1"/>
  <c r="F62" i="76"/>
  <c r="B2" i="76" s="1"/>
  <c r="B59" i="76"/>
  <c r="F59" i="76" s="1"/>
  <c r="B55" i="76"/>
  <c r="F55" i="76" s="1"/>
  <c r="B57" i="76"/>
  <c r="F57" i="76" s="1"/>
  <c r="B53" i="76"/>
  <c r="F53" i="76" s="1"/>
  <c r="D5" i="59"/>
  <c r="T5" i="59"/>
  <c r="M24" i="46"/>
  <c r="B5" i="39"/>
  <c r="B4" i="39"/>
  <c r="B3" i="39"/>
  <c r="B5" i="40"/>
  <c r="B4" i="40"/>
  <c r="B3" i="40"/>
  <c r="C20" i="9"/>
  <c r="C21" i="9"/>
  <c r="D19" i="9"/>
  <c r="L44" i="9" l="1"/>
  <c r="G19" i="9"/>
  <c r="N43" i="9" s="1"/>
  <c r="D22" i="9"/>
  <c r="B3" i="11"/>
  <c r="B5" i="11"/>
  <c r="B4" i="11"/>
  <c r="B5" i="76"/>
  <c r="B4" i="76"/>
  <c r="B3" i="76"/>
  <c r="F20" i="43"/>
  <c r="D20" i="43" s="1"/>
  <c r="F26" i="12"/>
  <c r="F26" i="44"/>
  <c r="F24" i="15"/>
  <c r="D21" i="9"/>
  <c r="D20" i="9"/>
  <c r="G22" i="9" l="1"/>
  <c r="C32" i="9"/>
  <c r="O43" i="9" s="1"/>
  <c r="G20" i="9"/>
  <c r="G21" i="9"/>
  <c r="C20" i="43"/>
  <c r="C24" i="15"/>
  <c r="C23" i="15"/>
  <c r="C27" i="12"/>
  <c r="D26" i="12" s="1"/>
  <c r="C32" i="12" s="1"/>
  <c r="D30" i="12" s="1"/>
  <c r="C28" i="12"/>
  <c r="C26" i="12" s="1"/>
  <c r="C31" i="12" s="1"/>
  <c r="C30" i="12" s="1"/>
  <c r="C26" i="44"/>
  <c r="C25" i="44"/>
  <c r="C33" i="9" l="1"/>
  <c r="D42" i="9" s="1"/>
  <c r="Q5" i="54" s="1"/>
  <c r="B47" i="63" s="1"/>
  <c r="C35" i="9"/>
  <c r="F42" i="9" s="1"/>
  <c r="C42" i="9"/>
  <c r="N68" i="9" s="1"/>
  <c r="C34" i="9"/>
  <c r="M38" i="9" s="1"/>
  <c r="K27" i="9" s="1"/>
  <c r="O38" i="9"/>
  <c r="K26" i="9" s="1"/>
  <c r="C23" i="43"/>
  <c r="C31" i="44"/>
  <c r="C38" i="44" s="1"/>
  <c r="C36" i="12"/>
  <c r="B2" i="12" s="1"/>
  <c r="B3" i="12" s="1"/>
  <c r="C29" i="15"/>
  <c r="R5" i="54" l="1"/>
  <c r="B48" i="63" s="1"/>
  <c r="N38" i="9"/>
  <c r="K28" i="9" s="1"/>
  <c r="D63" i="9"/>
  <c r="D71" i="9" s="1"/>
  <c r="D66" i="9" s="1"/>
  <c r="N72" i="9" s="1"/>
  <c r="E42" i="9"/>
  <c r="P5" i="54" s="1"/>
  <c r="B46" i="63" s="1"/>
  <c r="K25"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82" i="9" l="1"/>
  <c r="C81" i="9" s="1"/>
  <c r="C85" i="9" s="1"/>
  <c r="C86" i="9" s="1"/>
  <c r="D72" i="9" s="1"/>
  <c r="D70" i="9"/>
  <c r="C90" i="9"/>
  <c r="D73" i="9"/>
  <c r="N73" i="9" s="1"/>
  <c r="C111" i="9"/>
  <c r="C104" i="9" s="1"/>
  <c r="C96" i="9"/>
  <c r="C91" i="9" s="1"/>
  <c r="C103"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113" i="9"/>
  <c r="C114" i="9" s="1"/>
  <c r="E114" i="9" s="1"/>
  <c r="E115" i="9" s="1"/>
  <c r="C98" i="9"/>
  <c r="E98" i="9" s="1"/>
  <c r="E99"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115" i="9" l="1"/>
  <c r="D76" i="9" s="1"/>
  <c r="D74" i="9" s="1"/>
  <c r="N74" i="9" s="1"/>
  <c r="O77" i="9" s="1"/>
  <c r="O78" i="9" s="1"/>
  <c r="C99" i="9"/>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<sst xmlns="http://schemas.openxmlformats.org/spreadsheetml/2006/main" count="7786" uniqueCount="3412">
  <si>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</si>
  <si>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</si>
  <si>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</si>
  <si>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</si>
  <si>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</si>
  <si>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</si>
  <si>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</si>
  <si>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</si>
  <si>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</si>
  <si>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</si>
  <si>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</si>
  <si>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</si>
  <si>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</si>
  <si>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</si>
  <si>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</si>
  <si>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</si>
  <si>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</si>
  <si>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</si>
  <si>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</si>
  <si>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</si>
  <si>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</si>
  <si>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</si>
  <si>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</si>
  <si>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</si>
  <si>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</si>
  <si>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</si>
  <si>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</si>
  <si>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</si>
  <si>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</si>
  <si>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</si>
  <si>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</si>
  <si>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</si>
  <si>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</si>
  <si>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</si>
  <si>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</si>
  <si>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</si>
  <si>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</si>
  <si>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</si>
  <si>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</si>
  <si>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</si>
  <si>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</si>
  <si>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</si>
  <si>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</si>
  <si>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</si>
  <si>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</si>
  <si>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</si>
  <si>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</si>
  <si>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</si>
  <si>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</si>
  <si>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</si>
  <si>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</si>
  <si>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</si>
  <si>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</si>
  <si>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</si>
  <si>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</si>
  <si>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</si>
  <si>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</si>
  <si>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</si>
  <si>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</si>
  <si>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</si>
  <si>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</si>
  <si>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</si>
  <si>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</si>
  <si>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</si>
  <si>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</si>
  <si>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</si>
  <si>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</si>
  <si>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</si>
  <si>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</si>
  <si>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</si>
  <si>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</si>
  <si>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</si>
  <si>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</si>
  <si>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</si>
  <si>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</si>
  <si>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</si>
  <si>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</si>
  <si>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</si>
  <si>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</si>
  <si>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</si>
  <si>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</si>
  <si>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</si>
  <si>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</si>
  <si>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</si>
  <si>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</si>
  <si>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</si>
  <si>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</si>
  <si>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</si>
  <si>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</si>
  <si>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</si>
  <si>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</si>
  <si>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</si>
  <si>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</si>
  <si>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</si>
  <si>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</si>
  <si>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</si>
  <si>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</si>
  <si>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</si>
  <si>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</si>
  <si>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</si>
  <si>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</si>
  <si>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</si>
  <si>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</si>
  <si>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</si>
  <si>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</si>
  <si>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</si>
  <si>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</si>
  <si>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</si>
  <si>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</si>
  <si>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</si>
  <si>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</si>
  <si>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</si>
  <si>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</si>
  <si>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</si>
  <si>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</si>
  <si>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</si>
  <si>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</si>
  <si>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</si>
  <si>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</si>
  <si>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</si>
  <si>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</si>
  <si>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</si>
  <si>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</si>
  <si>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</si>
  <si>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</si>
  <si>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</si>
  <si>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</si>
  <si>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</si>
  <si>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</si>
  <si>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</si>
  <si>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</si>
  <si>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</si>
  <si>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</si>
  <si>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</si>
  <si>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</si>
  <si>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</si>
  <si>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</si>
  <si>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</si>
  <si>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</si>
  <si>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</si>
  <si>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</si>
  <si>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</si>
  <si>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</si>
  <si>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</si>
  <si>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</si>
  <si>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</si>
  <si>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</si>
  <si>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</si>
  <si>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</si>
  <si>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</si>
  <si>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</si>
  <si>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</si>
  <si>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</si>
  <si>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</si>
  <si>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</si>
  <si>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</si>
  <si>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</si>
  <si>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</si>
  <si>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</si>
  <si>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</si>
  <si>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</si>
  <si>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</si>
  <si>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</si>
  <si>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</si>
  <si>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</si>
  <si>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</si>
  <si>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</si>
  <si>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</si>
  <si>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</si>
  <si>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</si>
  <si>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</si>
  <si>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</si>
  <si>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</si>
  <si>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</si>
  <si>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</si>
  <si>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</si>
  <si>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</si>
  <si>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</si>
  <si>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</si>
  <si>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</si>
  <si>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</si>
  <si>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</si>
  <si>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</si>
  <si>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</si>
  <si>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</si>
  <si>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</si>
  <si>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</si>
  <si>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</si>
  <si>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</si>
  <si>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</si>
  <si>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</si>
  <si>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</si>
  <si>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</si>
  <si>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</si>
  <si>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</si>
  <si>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</si>
  <si>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</si>
  <si>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</si>
  <si>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</si>
  <si>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</si>
  <si>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</si>
  <si>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</si>
  <si>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</si>
  <si>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</si>
  <si>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</si>
  <si>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</si>
  <si>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</si>
  <si>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</si>
  <si>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</si>
  <si>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</si>
  <si>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</si>
  <si>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</si>
  <si>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</si>
  <si>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</si>
  <si>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</si>
  <si>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</si>
  <si>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</si>
  <si>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</si>
  <si>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</si>
  <si>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</si>
  <si>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</si>
  <si>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</si>
  <si>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</si>
  <si>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</si>
  <si>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</si>
  <si>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</si>
  <si>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</si>
  <si>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</si>
  <si>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</si>
  <si>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</si>
  <si>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</si>
  <si>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</si>
  <si>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</si>
  <si>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</si>
  <si>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</si>
  <si>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</si>
  <si>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</si>
  <si>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</si>
  <si>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</si>
  <si>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</si>
  <si>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</si>
  <si>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</si>
  <si>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</si>
  <si>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</si>
  <si>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</si>
  <si>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</si>
  <si>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</si>
  <si>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</si>
  <si>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</si>
  <si>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</si>
  <si>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</si>
  <si>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</si>
  <si>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</si>
  <si>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</si>
  <si>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</si>
  <si>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</si>
  <si>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</si>
  <si>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</si>
  <si>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</si>
  <si>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</si>
  <si>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</si>
  <si>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</si>
  <si>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</si>
  <si>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</si>
  <si>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</si>
  <si>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</si>
  <si>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</si>
  <si>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</si>
  <si>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</si>
  <si>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</si>
  <si>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</si>
  <si>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</si>
  <si>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</si>
  <si>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</si>
  <si>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</si>
  <si>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</si>
  <si>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</si>
  <si>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</si>
  <si>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</si>
  <si>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</si>
  <si>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</si>
  <si>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</si>
  <si>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</si>
  <si>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</si>
  <si>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</si>
  <si>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</si>
  <si>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</si>
  <si>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</si>
  <si>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</si>
  <si>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</si>
  <si>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</si>
  <si>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</si>
  <si>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</si>
  <si>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</si>
  <si>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</si>
  <si>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</si>
  <si>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</si>
  <si>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</si>
  <si>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</si>
  <si>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</si>
  <si>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</si>
  <si>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</si>
  <si>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</si>
  <si>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</si>
  <si>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</si>
  <si>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</si>
  <si>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</si>
  <si>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</si>
  <si>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</si>
  <si>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</si>
  <si>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</si>
  <si>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</si>
  <si>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</si>
  <si>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</si>
  <si>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</si>
  <si>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</si>
  <si>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</si>
  <si>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</si>
  <si>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</si>
  <si>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</si>
  <si>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</si>
  <si>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</si>
  <si>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</si>
  <si>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</si>
  <si>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</si>
  <si>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</si>
  <si>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</si>
  <si>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</si>
  <si>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</si>
  <si>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</si>
  <si>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</si>
  <si>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</si>
  <si>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</si>
  <si>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</si>
  <si>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</si>
  <si>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</si>
  <si>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</si>
  <si>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</si>
  <si>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</si>
  <si>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</si>
  <si>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</si>
  <si>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</si>
  <si>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</si>
  <si>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</si>
  <si>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</si>
  <si>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</si>
  <si>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</si>
  <si>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</si>
  <si>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</si>
  <si>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</si>
  <si>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</si>
  <si>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</si>
  <si>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</si>
  <si>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</si>
  <si>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</si>
  <si>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</si>
  <si>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</si>
  <si>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</si>
  <si>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</si>
  <si>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</si>
  <si>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</si>
  <si>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</si>
  <si>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</si>
  <si>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</si>
  <si>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</si>
  <si>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</si>
  <si>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</si>
  <si>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</si>
  <si>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</si>
  <si>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</si>
  <si>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</si>
  <si>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</si>
  <si>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</si>
  <si>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</si>
  <si>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</si>
  <si>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</si>
  <si>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</si>
  <si>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</si>
  <si>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</si>
  <si>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</si>
  <si>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</si>
  <si>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</si>
  <si>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</si>
  <si>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</si>
  <si>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</si>
  <si>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</si>
  <si>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</si>
  <si>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</si>
  <si>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</si>
  <si>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</si>
  <si>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</si>
  <si>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</si>
  <si>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</si>
  <si>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</si>
  <si>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</si>
  <si>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</si>
  <si>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</si>
  <si>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</si>
  <si>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</si>
  <si>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</si>
  <si>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</si>
  <si>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</si>
  <si>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</si>
  <si>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</si>
  <si>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</si>
  <si>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</si>
  <si>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</si>
  <si>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</si>
  <si>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</si>
  <si>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</si>
  <si>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</si>
  <si>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</si>
  <si>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</si>
  <si>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</si>
  <si>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</si>
  <si>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</si>
  <si>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</si>
  <si>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</si>
  <si>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</si>
  <si>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</si>
  <si>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</si>
  <si>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</si>
  <si>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</si>
  <si>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</si>
  <si>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</si>
  <si>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</si>
  <si>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</si>
  <si>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</si>
  <si>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</si>
  <si>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</si>
  <si>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</si>
  <si>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</si>
  <si>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</si>
  <si>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</si>
  <si>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</si>
  <si>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</si>
  <si>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</si>
  <si>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</si>
  <si>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</si>
  <si>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</si>
  <si>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</si>
  <si>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</si>
  <si>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</si>
  <si>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</si>
  <si>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</si>
  <si>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</si>
  <si>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</si>
  <si>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</si>
  <si>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</si>
  <si>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</si>
  <si>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</si>
  <si>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</si>
  <si>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</si>
  <si>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</si>
  <si>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</si>
  <si>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</si>
  <si>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</si>
  <si>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</si>
  <si>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</si>
  <si>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</si>
  <si>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</si>
  <si>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</si>
  <si>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</si>
  <si>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</si>
  <si>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</si>
  <si>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</si>
  <si>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</si>
  <si>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</si>
  <si>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</si>
  <si>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</si>
  <si>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</si>
  <si>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</si>
  <si>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</si>
  <si>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</si>
  <si>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</si>
  <si>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</si>
  <si>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</si>
  <si>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</si>
  <si>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</si>
  <si>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</si>
  <si>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</si>
  <si>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</si>
  <si>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</si>
  <si>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</si>
  <si>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</si>
  <si>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</si>
  <si>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</si>
  <si>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</si>
  <si>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</si>
  <si>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</si>
  <si>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</si>
  <si>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</si>
  <si>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</si>
  <si>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</si>
  <si>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</si>
  <si>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</si>
  <si>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</si>
  <si>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</si>
  <si>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</si>
  <si>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</si>
  <si>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</si>
  <si>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</si>
  <si>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</si>
  <si>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</si>
  <si>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</si>
  <si>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</si>
  <si>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</si>
  <si>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</si>
  <si>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</si>
  <si>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</si>
  <si>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</si>
  <si>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</si>
  <si>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</si>
  <si>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</si>
  <si>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</si>
  <si>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</si>
  <si>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</si>
  <si>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</si>
  <si>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</si>
  <si>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</si>
  <si>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</si>
  <si>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</si>
  <si>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</si>
  <si>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</si>
  <si>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</si>
  <si>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</si>
  <si>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</si>
  <si>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</si>
  <si>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</si>
  <si>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</si>
  <si>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</si>
  <si>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</si>
  <si>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</si>
  <si>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</si>
  <si>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</si>
  <si>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</si>
  <si>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</si>
  <si>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</si>
  <si>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</si>
  <si>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</si>
  <si>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</si>
  <si>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</si>
  <si>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</si>
  <si>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</si>
  <si>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</si>
  <si>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</si>
  <si>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</si>
  <si>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</si>
  <si>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</si>
  <si>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</si>
  <si>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</si>
  <si>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</si>
  <si>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</si>
  <si>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</si>
  <si>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</si>
  <si>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</si>
  <si>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</si>
  <si>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</si>
  <si>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</si>
  <si>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</si>
  <si>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</si>
  <si>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</si>
  <si>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</si>
  <si>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</si>
  <si>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</si>
  <si>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</si>
  <si>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</si>
  <si>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</si>
  <si>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</si>
  <si>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</si>
  <si>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</si>
  <si>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</si>
  <si>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</si>
  <si>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</si>
  <si>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</si>
  <si>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</si>
  <si>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</si>
  <si>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</si>
  <si>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</si>
  <si>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</si>
  <si>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</si>
  <si>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</si>
  <si>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</si>
  <si>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</si>
  <si>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</si>
  <si>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</si>
  <si>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</si>
  <si>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</si>
  <si>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</si>
  <si>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</si>
  <si>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</si>
  <si>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</si>
  <si>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</si>
  <si>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</si>
  <si>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</si>
  <si>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</si>
  <si>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</si>
  <si>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</si>
  <si>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</si>
  <si>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</si>
  <si>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</si>
  <si>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</si>
  <si>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</si>
  <si>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</si>
  <si>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</si>
  <si>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</si>
  <si>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</si>
  <si>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</si>
  <si>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</si>
  <si>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</si>
  <si>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</si>
  <si>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</si>
  <si>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</si>
  <si>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</si>
  <si>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</si>
  <si>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</si>
  <si>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</si>
  <si>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</si>
  <si>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</si>
  <si>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</si>
  <si>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</si>
  <si>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</si>
  <si>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</si>
  <si>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</si>
  <si>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</si>
  <si>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</si>
  <si>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</si>
  <si>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</si>
  <si>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</si>
  <si>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</si>
  <si>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</si>
  <si>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</si>
  <si>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</si>
  <si>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</si>
  <si>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</si>
  <si>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</si>
  <si>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</si>
  <si>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</si>
  <si>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</si>
  <si>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</si>
  <si>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</si>
  <si>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</si>
  <si>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</si>
  <si>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</si>
  <si>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</si>
  <si>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</si>
  <si>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</si>
  <si>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</si>
  <si>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</si>
  <si>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</si>
  <si>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</si>
  <si>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</si>
  <si>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</si>
  <si>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</si>
  <si>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</si>
  <si>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</si>
  <si>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</si>
  <si>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</si>
  <si>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</si>
  <si>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</si>
  <si>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</si>
  <si>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</si>
  <si>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</si>
  <si>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</si>
  <si>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</si>
  <si>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</si>
  <si>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</si>
  <si>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</si>
  <si>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</si>
  <si>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</si>
  <si>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</si>
  <si>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</si>
  <si>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</si>
  <si>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</si>
  <si>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</si>
  <si>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</si>
  <si>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</si>
  <si>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</si>
  <si>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</si>
  <si>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</si>
  <si>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</si>
  <si>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</si>
  <si>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</si>
  <si>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</si>
  <si>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</si>
  <si>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</si>
  <si>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</si>
  <si>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</si>
  <si>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</si>
  <si>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</si>
  <si>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</si>
  <si>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</si>
  <si>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</si>
  <si>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</si>
  <si>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</si>
  <si>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</si>
  <si>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</si>
  <si>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</si>
  <si>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</si>
  <si>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</si>
  <si>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</si>
  <si>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</si>
  <si>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</si>
  <si>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</si>
  <si>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</si>
  <si>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</si>
  <si>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</si>
  <si>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</si>
  <si>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</si>
  <si>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</si>
  <si>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</si>
  <si>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</si>
  <si>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</si>
  <si>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</si>
  <si>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</si>
  <si>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</si>
  <si>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</si>
  <si>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</si>
  <si>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</si>
  <si>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</si>
  <si>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</si>
  <si>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</si>
  <si>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</si>
  <si>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</si>
  <si>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</si>
  <si>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</si>
  <si>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</si>
  <si>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</si>
  <si>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</si>
  <si>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</si>
  <si>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</si>
  <si>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</si>
  <si>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</si>
  <si>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</si>
  <si>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</si>
  <si>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</si>
  <si>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</si>
  <si>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</si>
  <si>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</si>
  <si>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</si>
  <si>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</si>
  <si>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</si>
  <si>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</si>
  <si>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</si>
  <si>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</si>
  <si>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</si>
  <si>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</si>
  <si>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</si>
  <si>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</si>
  <si>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</si>
  <si>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</si>
  <si>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</si>
  <si>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</si>
  <si>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</si>
  <si>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</si>
  <si>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</si>
  <si>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</si>
  <si>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</si>
  <si>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</si>
  <si>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</si>
  <si>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</si>
  <si>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</si>
  <si>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</si>
  <si>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</si>
  <si>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</si>
  <si>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</si>
  <si>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</si>
  <si>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</si>
  <si>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</si>
  <si>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</si>
  <si>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</si>
  <si>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</si>
  <si>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</si>
  <si>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</si>
  <si>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</si>
  <si>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</si>
  <si>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</si>
  <si>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</si>
  <si>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</si>
  <si>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</si>
  <si>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</si>
  <si>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</si>
  <si>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</si>
  <si>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</si>
  <si>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</si>
  <si>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</si>
  <si>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</si>
  <si>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</si>
  <si>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</si>
  <si>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</si>
  <si>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</si>
  <si>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</si>
  <si>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</si>
  <si>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</si>
  <si>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</si>
  <si>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</si>
  <si>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</si>
  <si>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</si>
  <si>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</si>
  <si>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</si>
  <si>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</si>
  <si>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</si>
  <si>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</si>
  <si>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</si>
  <si>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</si>
  <si>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</si>
  <si>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</si>
  <si>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</si>
  <si>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</si>
  <si>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</si>
  <si>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</si>
  <si>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</si>
  <si>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</si>
  <si>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</si>
  <si>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</si>
  <si>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</si>
  <si>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</si>
  <si>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</si>
  <si>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</si>
  <si>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</si>
  <si>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</si>
  <si>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</si>
  <si>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</si>
  <si>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</si>
  <si>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</si>
  <si>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</si>
  <si>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</si>
  <si>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</si>
  <si>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</si>
  <si>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</si>
  <si>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</si>
  <si>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</si>
  <si>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</si>
  <si>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</si>
  <si>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</si>
  <si>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</si>
  <si>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</si>
  <si>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</si>
  <si>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</si>
  <si>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</si>
  <si>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</si>
  <si>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</si>
  <si>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</si>
  <si>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</si>
  <si>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</si>
  <si>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</si>
  <si>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</si>
  <si>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</si>
  <si>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</si>
  <si>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</si>
  <si>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</si>
  <si>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</si>
  <si>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</si>
  <si>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</si>
  <si>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</si>
  <si>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</si>
  <si>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</si>
  <si>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</si>
  <si>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</si>
  <si>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</si>
  <si>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</si>
  <si>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</si>
  <si>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</si>
  <si>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</si>
  <si>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</si>
  <si>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</si>
  <si>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</si>
  <si>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</si>
  <si>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</si>
  <si>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</si>
  <si>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</si>
  <si>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</si>
  <si>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</si>
  <si>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</si>
  <si>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</si>
  <si>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</si>
  <si>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</si>
  <si>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</si>
  <si>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</si>
  <si>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</si>
  <si>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</si>
  <si>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</si>
  <si>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</si>
  <si>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</si>
  <si>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</si>
  <si>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</si>
  <si>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</si>
  <si>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</si>
  <si>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</si>
  <si>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</si>
  <si>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</si>
  <si>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</si>
  <si>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</si>
  <si>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</si>
  <si>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</si>
  <si>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</si>
  <si>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</si>
  <si>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</si>
  <si>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</si>
  <si>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</si>
  <si>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</si>
  <si>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</si>
  <si>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</si>
  <si>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</si>
  <si>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</si>
  <si>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</si>
  <si>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</si>
  <si>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</si>
  <si>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</si>
  <si>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</si>
  <si>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</si>
  <si>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</si>
  <si>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</si>
  <si>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</si>
  <si>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</si>
  <si>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</si>
  <si>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</si>
  <si>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</si>
  <si>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</si>
  <si>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</si>
  <si>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</si>
  <si>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</si>
  <si>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</si>
  <si>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</si>
  <si>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</si>
  <si>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</si>
  <si>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</si>
  <si>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</si>
  <si>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</si>
  <si>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</si>
  <si>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</si>
  <si>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</si>
  <si>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</si>
  <si>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</si>
  <si>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</si>
  <si>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</si>
  <si>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</si>
  <si>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</si>
  <si>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</si>
  <si>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</si>
  <si>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</si>
  <si>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</si>
  <si>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</si>
  <si>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</si>
  <si>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</si>
  <si>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</si>
  <si>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</si>
  <si>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</si>
  <si>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</si>
  <si>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</si>
  <si>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</si>
  <si>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</si>
  <si>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</si>
  <si>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</si>
  <si>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</si>
  <si>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</si>
  <si>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</si>
  <si>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</si>
  <si>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</si>
  <si>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</si>
  <si>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</si>
  <si>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</si>
  <si>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</si>
  <si>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</si>
  <si>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</si>
  <si>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</si>
  <si>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</si>
  <si>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</si>
  <si>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</si>
  <si>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</si>
  <si>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</si>
  <si>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</si>
  <si>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</si>
  <si>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</si>
  <si>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</si>
  <si>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</si>
  <si>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</si>
  <si>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</si>
  <si>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</si>
  <si>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</si>
  <si>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</si>
  <si>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</si>
  <si>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</si>
  <si>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</si>
  <si>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</si>
  <si>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</si>
  <si>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</si>
  <si>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</si>
  <si>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</si>
  <si>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</si>
  <si>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</si>
  <si>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</si>
  <si>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</si>
  <si>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</si>
  <si>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</si>
  <si>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</si>
  <si>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</si>
  <si>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</si>
  <si>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</si>
  <si>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</si>
  <si>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</si>
  <si>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</si>
  <si>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</si>
  <si>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</si>
  <si>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</si>
  <si>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</si>
  <si>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</si>
  <si>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</si>
  <si>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</si>
  <si>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</si>
  <si>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</si>
  <si>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</si>
  <si>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</si>
  <si>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</si>
  <si>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</si>
  <si>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</si>
  <si>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</si>
  <si>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</si>
  <si>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</si>
  <si>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</si>
  <si>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</si>
  <si>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</si>
  <si>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</si>
  <si>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</si>
  <si>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</si>
  <si>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</si>
  <si>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</si>
  <si>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</si>
  <si>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</si>
  <si>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</si>
  <si>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</si>
  <si>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</si>
  <si>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</si>
  <si>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</si>
  <si>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</si>
  <si>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</si>
  <si>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</si>
  <si>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</si>
  <si>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</si>
  <si>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</si>
  <si>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</si>
  <si>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</si>
  <si>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</si>
  <si>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</si>
  <si>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</si>
  <si>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</si>
  <si>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</si>
  <si>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</si>
  <si>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</si>
  <si>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</si>
  <si>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</si>
  <si>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</si>
  <si>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</si>
  <si>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</si>
  <si>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</si>
  <si>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</si>
  <si>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</si>
  <si>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</si>
  <si>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</si>
  <si>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</si>
  <si>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</si>
  <si>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</si>
  <si>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</si>
  <si>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</si>
  <si>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</si>
  <si>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</si>
  <si>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</si>
  <si>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</si>
  <si>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</si>
  <si>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</si>
  <si>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</si>
  <si>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</si>
  <si>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</si>
  <si>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</si>
  <si>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</si>
  <si>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</si>
  <si>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</si>
  <si>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</si>
  <si>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</si>
  <si>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</si>
  <si>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</si>
  <si>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</si>
  <si>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</si>
  <si>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</si>
  <si>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</si>
  <si>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</si>
  <si>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</si>
  <si>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</si>
  <si>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</si>
  <si>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</si>
  <si>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</si>
  <si>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</si>
  <si>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</si>
  <si>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</si>
  <si>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</si>
  <si>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</si>
  <si>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</si>
  <si>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</si>
  <si>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</si>
  <si>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</si>
  <si>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</si>
  <si>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</si>
  <si>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</si>
  <si>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</si>
  <si>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</si>
  <si>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</si>
  <si>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</si>
  <si>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</si>
  <si>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</si>
  <si>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</si>
  <si>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</si>
  <si>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</si>
  <si>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</si>
  <si>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</si>
  <si>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</si>
  <si>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</si>
  <si>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</si>
  <si>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</si>
  <si>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</si>
  <si>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</si>
  <si>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</si>
  <si>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</si>
  <si>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</si>
  <si>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</si>
  <si>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</si>
  <si>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</si>
  <si>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</si>
  <si>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</si>
  <si>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</si>
  <si>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</si>
  <si>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</si>
  <si>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</si>
  <si>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</si>
  <si>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</si>
  <si>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</si>
  <si>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</si>
  <si>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</si>
  <si>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</si>
  <si>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</si>
  <si>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</si>
  <si>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</si>
  <si>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</si>
  <si>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</si>
  <si>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</si>
  <si>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</si>
  <si>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</si>
  <si>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</si>
  <si>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</si>
  <si>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</si>
  <si>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</si>
  <si>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</si>
  <si>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</si>
  <si>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</si>
  <si>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</si>
  <si>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</si>
  <si>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</si>
  <si>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</si>
  <si>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</si>
  <si>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</si>
  <si>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</si>
  <si>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</si>
  <si>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</si>
  <si>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</si>
  <si>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</si>
  <si>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</si>
  <si>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</si>
  <si>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</si>
  <si>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</si>
  <si>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</si>
  <si>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</si>
  <si>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</si>
  <si>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</si>
  <si>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</si>
  <si>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</si>
  <si>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</si>
  <si>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</si>
  <si>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</si>
  <si>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</si>
  <si>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</si>
  <si>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</si>
  <si>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</si>
  <si>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</si>
  <si>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</si>
  <si>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</si>
  <si>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</si>
  <si>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</si>
  <si>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</si>
  <si>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</si>
  <si>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</si>
  <si>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</si>
  <si>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</si>
  <si>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</si>
  <si>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</si>
  <si>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</si>
  <si>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</si>
  <si>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</si>
  <si>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</si>
  <si>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</si>
  <si>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</si>
  <si>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</si>
  <si>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</si>
  <si>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</si>
  <si>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</si>
  <si>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</si>
  <si>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</si>
  <si>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</si>
  <si>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</si>
  <si>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</si>
  <si>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</si>
  <si>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</si>
  <si>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</si>
  <si>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</si>
  <si>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</si>
  <si>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</si>
  <si>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</si>
  <si>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</si>
  <si>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</si>
  <si>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</si>
  <si>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</si>
  <si>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</si>
  <si>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</si>
  <si>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</si>
  <si>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</si>
  <si>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</si>
  <si>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</si>
  <si>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</si>
  <si>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</si>
  <si>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</si>
  <si>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</si>
  <si>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</si>
  <si>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</si>
  <si>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</si>
  <si>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</si>
  <si>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</si>
  <si>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</si>
  <si>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</si>
  <si>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</si>
  <si>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</si>
  <si>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</si>
  <si>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</si>
  <si>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</si>
  <si>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</si>
  <si>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</si>
  <si>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</si>
  <si>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</si>
  <si>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</si>
  <si>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</si>
  <si>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</si>
  <si>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</si>
  <si>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</si>
  <si>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</si>
  <si>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</si>
  <si>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</si>
  <si>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</si>
  <si>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</si>
  <si>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</si>
  <si>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</si>
  <si>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</si>
  <si>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</si>
  <si>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</si>
  <si>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</si>
  <si>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</si>
  <si>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</si>
  <si>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</si>
  <si>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</si>
  <si>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</si>
  <si>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</si>
  <si>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</si>
  <si>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</si>
  <si>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</si>
  <si>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</si>
  <si>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</si>
  <si>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</si>
  <si>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</si>
  <si>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</si>
  <si>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</si>
  <si>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</si>
  <si>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</si>
  <si>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</si>
  <si>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</si>
  <si>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</si>
  <si>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</si>
  <si>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</si>
  <si>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</si>
  <si>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</si>
  <si>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</si>
  <si>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</si>
  <si>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</si>
  <si>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</si>
  <si>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</si>
  <si>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</si>
  <si>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</si>
  <si>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</si>
  <si>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</si>
  <si>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</si>
  <si>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</si>
  <si>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</si>
  <si>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</si>
  <si>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</si>
  <si>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</si>
  <si>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</si>
  <si>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</si>
  <si>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</si>
  <si>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</si>
  <si>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</si>
  <si>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</si>
  <si>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</si>
  <si>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</si>
  <si>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</si>
  <si>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</si>
  <si>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</si>
  <si>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</si>
  <si>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</si>
  <si>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</si>
  <si>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</si>
  <si>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</si>
  <si>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</si>
  <si>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</si>
  <si>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</si>
  <si>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</si>
  <si>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</si>
  <si>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</si>
  <si>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</si>
  <si>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</si>
  <si>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</si>
  <si>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</si>
  <si>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</si>
  <si>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</si>
  <si>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</si>
  <si>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</si>
  <si>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</si>
  <si>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</si>
  <si>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</si>
  <si>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</si>
  <si>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</si>
  <si>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</si>
  <si>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</si>
  <si>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</si>
  <si>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</si>
  <si>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</si>
  <si>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</si>
  <si>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</si>
  <si>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</si>
  <si>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</si>
  <si>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</si>
  <si>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</si>
  <si>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</si>
  <si>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</si>
  <si>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</si>
  <si>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</si>
  <si>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</si>
  <si>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</si>
  <si>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</si>
  <si>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</si>
  <si>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</si>
  <si>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</si>
  <si>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</si>
  <si>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</si>
  <si>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</si>
  <si>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</si>
  <si>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</si>
  <si>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</si>
  <si>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</si>
  <si>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</si>
  <si>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</si>
  <si>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</si>
  <si>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</si>
  <si>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</si>
  <si>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</si>
  <si>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</si>
  <si>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</si>
  <si>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</si>
  <si>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</si>
  <si>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</si>
  <si>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</si>
  <si>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</si>
  <si>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</si>
  <si>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</si>
  <si>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</si>
  <si>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</si>
  <si>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</si>
  <si>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</si>
  <si>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</si>
  <si>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</si>
  <si>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</si>
  <si>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</si>
  <si>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</si>
  <si>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</si>
  <si>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</si>
  <si>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</si>
  <si>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</si>
  <si>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</si>
  <si>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</si>
  <si>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</si>
  <si>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</si>
  <si>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</si>
  <si>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</si>
  <si>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</si>
  <si>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</si>
  <si>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</si>
  <si>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</si>
  <si>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</si>
  <si>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</si>
  <si>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</si>
  <si>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</si>
  <si>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</si>
  <si>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</si>
  <si>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</si>
  <si>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</si>
  <si>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</si>
  <si>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</si>
  <si>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</si>
  <si>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</si>
  <si>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</si>
  <si>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</si>
  <si>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</si>
  <si>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</si>
  <si>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</si>
  <si>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</si>
  <si>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</si>
  <si>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</si>
  <si>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</si>
  <si>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</si>
  <si>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</si>
  <si>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</si>
  <si>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</si>
  <si>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</si>
  <si>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</si>
  <si>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</si>
  <si>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</si>
  <si>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</si>
  <si>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</si>
  <si>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</si>
  <si>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</si>
  <si>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</si>
  <si>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</si>
  <si>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</si>
  <si>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</si>
  <si>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</si>
  <si>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</si>
  <si>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</si>
  <si>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</si>
  <si>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</si>
  <si>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</si>
  <si>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</si>
  <si>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</si>
  <si>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</si>
  <si>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</si>
  <si>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</si>
  <si>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</si>
  <si>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</si>
  <si>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</si>
  <si>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</si>
  <si>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</si>
  <si>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</si>
  <si>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</si>
  <si>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</si>
  <si>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</si>
  <si>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</si>
  <si>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</si>
  <si>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</si>
  <si>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</si>
  <si>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</si>
  <si>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</si>
  <si>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</si>
  <si>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</si>
  <si>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</si>
  <si>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</si>
  <si>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</si>
  <si>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</si>
  <si>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</si>
  <si>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</si>
  <si>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</si>
  <si>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</si>
  <si>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</si>
  <si>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</si>
  <si>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</si>
  <si>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</si>
  <si>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</si>
  <si>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</si>
  <si>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</si>
  <si>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</si>
  <si>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</si>
  <si>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</si>
  <si>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</si>
  <si>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</si>
  <si>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</si>
  <si>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</si>
  <si>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</si>
  <si>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</si>
  <si>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</si>
  <si>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</si>
  <si>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</si>
  <si>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</si>
  <si>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</si>
  <si>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</si>
  <si>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</si>
  <si>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</si>
  <si>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</si>
  <si>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</si>
  <si>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</si>
  <si>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</si>
  <si>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</si>
  <si>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</si>
  <si>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</si>
  <si>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</si>
  <si>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</si>
  <si>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</si>
  <si>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</si>
  <si>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</si>
  <si>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</si>
  <si>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</si>
  <si>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</si>
  <si>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</si>
  <si>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</si>
  <si>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</si>
  <si>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</si>
  <si>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</si>
  <si>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</si>
  <si>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</si>
  <si>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</si>
  <si>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</si>
  <si>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</si>
  <si>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</si>
  <si>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</si>
  <si>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</si>
  <si>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</si>
  <si>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</si>
  <si>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</si>
  <si>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</si>
  <si>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</si>
  <si>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</si>
  <si>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</si>
  <si>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</si>
  <si>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</si>
  <si>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</si>
  <si>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</si>
  <si>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</si>
  <si>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</si>
  <si>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</si>
  <si>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</si>
  <si>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</si>
  <si>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</si>
  <si>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</si>
  <si>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</si>
  <si>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</si>
  <si>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</si>
  <si>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</si>
  <si>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</si>
  <si>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</si>
  <si>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</si>
  <si>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</si>
  <si>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</si>
  <si>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</si>
  <si>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</si>
  <si>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</si>
  <si>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</si>
  <si>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</si>
  <si>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</si>
  <si>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</si>
  <si>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</si>
  <si>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</si>
  <si>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</si>
  <si>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</si>
  <si>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</si>
  <si>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</si>
  <si>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</si>
  <si>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</si>
  <si>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</si>
  <si>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</si>
  <si>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</si>
  <si>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</si>
  <si>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</si>
  <si>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</si>
  <si>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</si>
  <si>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</si>
  <si>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</si>
  <si>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</si>
  <si>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</si>
  <si>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</si>
  <si>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</si>
  <si>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</si>
  <si>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</si>
  <si>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</si>
  <si>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</si>
  <si>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</si>
  <si>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</si>
  <si>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</si>
  <si>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</si>
  <si>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</si>
  <si>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</si>
  <si>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</si>
  <si>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</si>
  <si>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</si>
  <si>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</si>
  <si>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</si>
  <si>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</si>
  <si>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</si>
  <si>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</si>
  <si>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</si>
  <si>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</si>
  <si>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</si>
  <si>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</si>
  <si>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</si>
  <si>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</si>
  <si>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</si>
  <si>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</si>
  <si>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</si>
  <si>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</si>
  <si>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</si>
  <si>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</si>
  <si>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</si>
  <si>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</si>
  <si>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</si>
  <si>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</si>
  <si>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</si>
  <si>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</si>
  <si>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</si>
  <si>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</si>
  <si>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</si>
  <si>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</si>
  <si>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</si>
  <si>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</si>
  <si>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</si>
  <si>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</si>
  <si>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</si>
  <si>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</si>
  <si>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</si>
  <si>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</si>
  <si>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</si>
  <si>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</si>
  <si>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</si>
  <si>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</si>
  <si>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</si>
  <si>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</si>
  <si>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</si>
  <si>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</si>
  <si>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</si>
  <si>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</si>
  <si>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</si>
  <si>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</si>
  <si>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</si>
  <si>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</si>
  <si>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</si>
  <si>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</si>
  <si>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</si>
  <si>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</si>
  <si>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</si>
  <si>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</si>
  <si>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</si>
  <si>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</si>
  <si>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</si>
  <si>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</si>
  <si>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</si>
  <si>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</si>
  <si>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</si>
  <si>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</si>
  <si>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</si>
  <si>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</si>
  <si>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</si>
  <si>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</si>
  <si>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</si>
  <si>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</si>
  <si>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</si>
  <si>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</si>
  <si>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</si>
  <si>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</si>
  <si>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</si>
  <si>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</si>
  <si>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</si>
  <si>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</si>
  <si>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</si>
  <si>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</si>
  <si>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</si>
  <si>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</si>
  <si>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</si>
  <si>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</si>
  <si>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</si>
  <si>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</si>
  <si>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</si>
  <si>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</si>
  <si>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</si>
  <si>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</si>
  <si>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</si>
  <si>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</si>
  <si>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</si>
  <si>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</si>
  <si>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</si>
  <si>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</si>
  <si>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</si>
  <si>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</si>
  <si>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</si>
  <si>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</si>
  <si>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</si>
  <si>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</si>
  <si>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</si>
  <si>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</si>
  <si>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</si>
  <si>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</si>
  <si>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</si>
  <si>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</si>
  <si>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</si>
  <si>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</si>
  <si>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</si>
  <si>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</si>
  <si>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</si>
  <si>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</si>
  <si>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</si>
  <si>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</si>
  <si>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</si>
  <si>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</si>
  <si>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</si>
  <si>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</si>
  <si>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</si>
  <si>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</si>
  <si>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</si>
  <si>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</si>
  <si>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</si>
  <si>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</si>
  <si>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</si>
  <si>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</si>
  <si>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</si>
  <si>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</si>
  <si>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</si>
  <si>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</si>
  <si>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</si>
  <si>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</si>
  <si>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</si>
  <si>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</si>
  <si>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</si>
  <si>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</si>
  <si>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</si>
  <si>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</si>
  <si>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</si>
  <si>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</si>
  <si>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</si>
  <si>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</si>
  <si>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</si>
  <si>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</si>
  <si>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</si>
  <si>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</si>
  <si>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</si>
  <si>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</si>
  <si>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</si>
  <si>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</si>
  <si>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</si>
  <si>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</si>
  <si>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</si>
  <si>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</si>
  <si>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</si>
  <si>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</si>
  <si>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</si>
  <si>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</si>
  <si>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</si>
  <si>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</si>
  <si>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</si>
  <si>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</si>
  <si>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</si>
  <si>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</si>
  <si>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</si>
  <si>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</si>
  <si>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</si>
  <si>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</si>
  <si>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</si>
  <si>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</si>
  <si>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</si>
  <si>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</si>
  <si>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</si>
  <si>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</si>
  <si>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</si>
  <si>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</si>
  <si>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</si>
  <si>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</si>
  <si>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</si>
  <si>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</si>
  <si>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</si>
  <si>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</si>
  <si>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</si>
  <si>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</si>
  <si>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</si>
  <si>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</si>
  <si>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</si>
  <si>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</si>
  <si>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</si>
  <si>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</si>
  <si>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</si>
  <si>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</si>
  <si>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</si>
  <si>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</si>
  <si>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</si>
  <si>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</si>
  <si>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</si>
  <si>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</si>
  <si>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</si>
  <si>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</si>
  <si>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</si>
  <si>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</si>
  <si>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</si>
  <si>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</si>
  <si>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</si>
  <si>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</si>
  <si>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</si>
  <si>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</si>
  <si>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</si>
  <si>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</si>
  <si>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</si>
  <si>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</si>
  <si>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</si>
  <si>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</si>
  <si>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</si>
  <si>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</si>
  <si>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</si>
  <si>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</si>
  <si>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</si>
  <si>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</si>
  <si>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</si>
  <si>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</si>
  <si>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</si>
  <si>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</si>
  <si>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</si>
  <si>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</si>
  <si>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</si>
  <si>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</si>
  <si>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</si>
  <si>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</si>
  <si>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</si>
  <si>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</si>
  <si>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</si>
  <si>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</si>
  <si>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</si>
  <si>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</si>
  <si>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</si>
  <si>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</si>
  <si>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</si>
  <si>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</si>
  <si>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</si>
  <si>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</si>
  <si>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</si>
  <si>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</si>
  <si>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</si>
  <si>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</si>
  <si>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</si>
  <si>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</si>
  <si>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</si>
  <si>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</si>
  <si>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</si>
  <si>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</si>
  <si>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</si>
  <si>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</si>
  <si>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</si>
  <si>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</si>
  <si>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</si>
  <si>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</si>
  <si>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</si>
  <si>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</si>
  <si>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</si>
  <si>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</si>
  <si>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</si>
  <si>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</si>
  <si>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</si>
  <si>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</si>
  <si>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</si>
  <si>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</si>
  <si>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</si>
  <si>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</si>
  <si>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</si>
  <si>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</si>
  <si>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</si>
  <si>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</si>
  <si>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</si>
  <si>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</si>
  <si>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</si>
  <si>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</si>
  <si>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</si>
  <si>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</si>
  <si>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</si>
  <si>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</si>
  <si>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</si>
  <si>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</si>
  <si>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</si>
  <si>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</si>
  <si>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</si>
  <si>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</si>
  <si>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</si>
  <si>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</si>
  <si>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</si>
  <si>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</si>
  <si>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</si>
  <si>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</si>
  <si>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</si>
  <si>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</si>
  <si>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</si>
  <si>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</si>
  <si>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</si>
  <si>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</si>
  <si>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</si>
  <si>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</si>
  <si>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</si>
  <si>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</si>
  <si>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</si>
  <si>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</si>
  <si>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</si>
  <si>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</si>
  <si>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</si>
  <si>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</si>
  <si>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</si>
  <si>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</si>
  <si>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</si>
  <si>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</si>
  <si>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</si>
  <si>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</si>
  <si>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</si>
  <si>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</si>
  <si>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</si>
  <si>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</si>
  <si>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</si>
  <si>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</si>
  <si>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</si>
  <si>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</si>
  <si>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</si>
  <si>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</si>
  <si>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</si>
  <si>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</si>
  <si>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</si>
  <si>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</si>
  <si>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</si>
  <si>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</si>
  <si>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</si>
  <si>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</si>
  <si>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</si>
  <si>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</si>
  <si>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</si>
  <si>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</si>
  <si>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</si>
  <si>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</si>
  <si>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</si>
  <si>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</si>
  <si>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</si>
  <si>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</si>
  <si>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</si>
  <si>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</si>
  <si>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</si>
  <si>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</si>
  <si>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</si>
  <si>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</si>
  <si>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</si>
  <si>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</si>
  <si>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</si>
  <si>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</si>
  <si>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</si>
  <si>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</si>
  <si>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</si>
  <si>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</si>
  <si>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</si>
  <si>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</si>
  <si>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</si>
  <si>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</si>
  <si>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</si>
  <si>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</si>
  <si>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</si>
  <si>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</si>
  <si>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</si>
  <si>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</si>
  <si>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</si>
  <si>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</si>
  <si>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</si>
  <si>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</si>
  <si>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</si>
  <si>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</si>
  <si>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</si>
  <si>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</si>
  <si>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</si>
  <si>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</si>
  <si>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</si>
  <si>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</si>
  <si>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</si>
  <si>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</si>
  <si>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</si>
  <si>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</si>
  <si>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</si>
  <si>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</si>
  <si>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</si>
  <si>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</si>
  <si>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</si>
  <si>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</si>
  <si>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</si>
  <si>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</si>
  <si>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</si>
  <si>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</si>
  <si>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</si>
  <si>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</si>
  <si>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</si>
  <si>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</si>
  <si>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</si>
  <si>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</si>
  <si>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</si>
  <si>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</si>
  <si>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</si>
  <si>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</si>
  <si>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</si>
  <si>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</si>
  <si>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</si>
  <si>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</si>
  <si>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</si>
  <si>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</si>
  <si>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</si>
  <si>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</si>
  <si>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</si>
  <si>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</si>
  <si>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</si>
  <si>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</si>
  <si>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</si>
  <si>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</si>
  <si>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</si>
  <si>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</si>
  <si>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</si>
  <si>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</si>
  <si>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</si>
  <si>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</si>
  <si>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</si>
  <si>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</si>
  <si>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</si>
  <si>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</si>
  <si>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</si>
  <si>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</si>
  <si>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</si>
  <si>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</si>
  <si>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</si>
  <si>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</si>
  <si>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</si>
  <si>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</si>
  <si>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</si>
  <si>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</si>
  <si>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</si>
  <si>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</si>
  <si>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</si>
  <si>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</si>
  <si>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</si>
  <si>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</si>
  <si>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</si>
  <si>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</si>
  <si>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</si>
  <si>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</si>
  <si>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</si>
  <si>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</si>
  <si>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</si>
  <si>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</si>
  <si>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</si>
  <si>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</si>
  <si>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</si>
  <si>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</si>
  <si>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</si>
  <si>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</si>
  <si>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</si>
  <si>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</si>
  <si>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</si>
  <si>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</si>
  <si>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</si>
  <si>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</si>
  <si>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</si>
  <si>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</si>
  <si>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</si>
  <si>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</si>
  <si>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</si>
  <si>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</si>
  <si>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</si>
  <si>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</si>
  <si>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</si>
  <si>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</si>
  <si>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</si>
  <si>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</si>
  <si>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</si>
  <si>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</si>
  <si>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</si>
  <si>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</si>
  <si>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</si>
  <si>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</si>
  <si>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</si>
  <si>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</si>
  <si>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</si>
  <si>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</si>
  <si>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</si>
  <si>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</si>
  <si>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</si>
  <si>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</si>
  <si>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</si>
  <si>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</si>
  <si>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</si>
  <si>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</si>
  <si>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</si>
  <si>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</si>
  <si>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</si>
  <si>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</si>
  <si>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</si>
  <si>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</si>
  <si>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</si>
  <si>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</si>
  <si>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</si>
  <si>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</si>
  <si>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</si>
  <si>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</si>
  <si>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</si>
  <si>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</si>
  <si>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</si>
  <si>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</si>
  <si>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</si>
  <si>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</si>
  <si>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</si>
  <si>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</si>
  <si>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</si>
  <si>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</si>
  <si>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</si>
  <si>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</si>
  <si>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</si>
  <si>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</si>
  <si>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</si>
  <si>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</si>
  <si>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</si>
  <si>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</si>
  <si>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</si>
  <si>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</si>
  <si>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</si>
  <si>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</si>
  <si>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</si>
  <si>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</si>
  <si>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</si>
  <si>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</si>
  <si>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</si>
  <si>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</si>
  <si>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</si>
  <si>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</si>
  <si>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</si>
  <si>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</si>
  <si>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</si>
  <si>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</si>
  <si>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</si>
  <si>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</si>
  <si>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</si>
  <si>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</si>
  <si>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</si>
  <si>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</si>
  <si>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</si>
  <si>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</si>
  <si>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</si>
  <si>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</si>
  <si>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</si>
  <si>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</si>
  <si>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</si>
  <si>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</si>
  <si>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</si>
  <si>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</si>
  <si>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</si>
  <si>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</si>
  <si>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</si>
  <si>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</si>
  <si>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</si>
  <si>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</si>
  <si>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</si>
  <si>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</si>
  <si>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</si>
  <si>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</si>
  <si>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</si>
  <si>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</si>
  <si>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</si>
  <si>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</si>
  <si>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</si>
  <si>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</si>
  <si>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</si>
  <si>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</si>
  <si>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</si>
  <si>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</si>
  <si>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</si>
  <si>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</si>
  <si>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</si>
  <si>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</si>
  <si>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</si>
  <si>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</si>
  <si>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</si>
  <si>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</si>
  <si>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</si>
  <si>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</si>
  <si>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</si>
  <si>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</si>
  <si>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</si>
  <si>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</si>
  <si>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</si>
  <si>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</si>
  <si>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</si>
  <si>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</si>
  <si>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</si>
  <si>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</si>
  <si>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</si>
  <si>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</si>
  <si>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</si>
  <si>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</si>
  <si>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</si>
  <si>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</si>
  <si>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</si>
  <si>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</si>
  <si>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</si>
  <si>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</si>
  <si>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</si>
  <si>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</si>
  <si>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</si>
  <si>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</si>
  <si>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</si>
  <si>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</si>
  <si>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</si>
  <si>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</si>
  <si>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</si>
  <si>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</si>
  <si>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</si>
  <si>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</si>
  <si>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</si>
  <si>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</si>
  <si>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</si>
  <si>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</si>
  <si>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</si>
  <si>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</si>
  <si>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</si>
  <si>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</si>
  <si>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</si>
  <si>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</si>
  <si>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</si>
  <si>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</si>
  <si>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</si>
  <si>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</si>
  <si>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</si>
  <si>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</si>
  <si>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</si>
  <si>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</si>
  <si>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</si>
  <si>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</si>
  <si>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</si>
  <si>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</si>
  <si>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</si>
  <si>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</si>
  <si>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</si>
  <si>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</si>
  <si>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</si>
  <si>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</si>
  <si>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</si>
  <si>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</si>
  <si>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</si>
  <si>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</si>
  <si>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</si>
  <si>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</si>
  <si>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</si>
  <si>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</si>
  <si>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</si>
  <si>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</si>
  <si>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</si>
  <si>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</si>
  <si>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</si>
  <si>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</si>
  <si>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</si>
  <si>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</si>
  <si>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</si>
  <si>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</si>
  <si>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</si>
  <si>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</si>
  <si>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</si>
  <si>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</si>
  <si>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</si>
  <si>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</si>
  <si>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</si>
  <si>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</si>
  <si>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</si>
  <si>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</si>
  <si>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</si>
  <si>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</si>
  <si>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</si>
  <si>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</si>
  <si>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</si>
  <si>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</si>
  <si>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</si>
  <si>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</si>
  <si>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</si>
  <si>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</si>
  <si>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</si>
  <si>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</si>
  <si>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</si>
  <si>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</si>
  <si>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</si>
  <si>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</si>
  <si>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</si>
  <si>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</si>
  <si>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</si>
  <si>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</si>
  <si>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</si>
  <si>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</si>
  <si>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</si>
  <si>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</si>
  <si>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</si>
  <si>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</si>
  <si>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</si>
  <si>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</si>
  <si>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</si>
  <si>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</si>
  <si>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</si>
  <si>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</si>
  <si>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</si>
  <si>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</si>
  <si>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</si>
  <si>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</si>
  <si>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</si>
  <si>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</si>
  <si>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</si>
  <si>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</si>
  <si>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</si>
  <si>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</si>
  <si>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</si>
  <si>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</si>
  <si>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</si>
  <si>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</si>
  <si>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</si>
  <si>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</si>
  <si>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</si>
  <si>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</si>
  <si>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</si>
  <si>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</si>
  <si>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</si>
  <si>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</si>
  <si>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</si>
  <si>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</si>
  <si>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</si>
  <si>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</si>
  <si>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</si>
  <si>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</si>
  <si>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</si>
  <si>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</si>
  <si>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</si>
  <si>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</si>
  <si>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</si>
  <si>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</si>
  <si>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</si>
  <si>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</si>
  <si>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</si>
  <si>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</si>
  <si>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</si>
  <si>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</si>
  <si>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</si>
  <si>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</si>
  <si>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</si>
  <si>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</si>
  <si>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</si>
  <si>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</si>
  <si>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</si>
  <si>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</si>
  <si>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</si>
  <si>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</si>
  <si>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</si>
  <si>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</si>
  <si>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</si>
  <si>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</si>
  <si>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</si>
  <si>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</si>
  <si>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</si>
  <si>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</si>
  <si>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</si>
  <si>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</si>
  <si>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</si>
  <si>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</si>
  <si>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</si>
  <si>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</si>
  <si>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</si>
  <si>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</si>
  <si>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</si>
  <si>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</si>
  <si>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</si>
  <si>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</si>
  <si>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</si>
  <si>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</si>
  <si>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</si>
  <si>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</si>
  <si>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</si>
  <si>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</si>
  <si>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</si>
  <si>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</si>
  <si>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</si>
  <si>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</si>
  <si>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</si>
  <si>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</si>
  <si>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</si>
  <si>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</si>
  <si>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</si>
  <si>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</si>
  <si>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</si>
  <si>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</si>
  <si>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</si>
  <si>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</si>
  <si>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</si>
  <si>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</si>
  <si>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</si>
  <si>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</si>
  <si>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</si>
  <si>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</si>
  <si>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</si>
  <si>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</si>
  <si>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</si>
  <si>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</si>
  <si>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</si>
  <si>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</si>
  <si>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</si>
  <si>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</si>
  <si>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</si>
  <si>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</si>
  <si>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</si>
  <si>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</si>
  <si>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</si>
  <si>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</si>
  <si>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</si>
  <si>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</si>
  <si>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</si>
  <si>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</si>
  <si>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</si>
  <si>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</si>
  <si>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</si>
  <si>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</si>
  <si>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</si>
  <si>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</si>
  <si>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</si>
  <si>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</si>
  <si>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</si>
  <si>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</si>
  <si>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</si>
  <si>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</si>
  <si>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</si>
  <si>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</si>
  <si>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</si>
  <si>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</si>
  <si>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</si>
  <si>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</si>
  <si>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</si>
  <si>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</si>
  <si>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</si>
  <si>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</si>
  <si>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</si>
  <si>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</si>
  <si>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</si>
  <si>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</si>
  <si>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</si>
  <si>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</si>
  <si>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</si>
  <si>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</si>
  <si>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</si>
  <si>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</si>
  <si>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</si>
  <si>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</si>
  <si>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</si>
  <si>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</si>
  <si>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</si>
  <si>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</si>
  <si>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</si>
  <si>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</si>
  <si>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</si>
  <si>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</si>
  <si>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</si>
  <si>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</si>
  <si>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</si>
  <si>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</si>
  <si>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</si>
  <si>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</si>
  <si>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</si>
  <si>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</si>
  <si>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</si>
  <si>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</si>
  <si>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</si>
  <si>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</si>
  <si>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</si>
  <si>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</si>
  <si>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</si>
  <si>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</si>
  <si>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</si>
  <si>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</si>
  <si>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</si>
  <si>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</si>
  <si>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</si>
  <si>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</si>
  <si>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</si>
  <si>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</si>
  <si>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</si>
  <si>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</si>
  <si>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</si>
  <si>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</si>
  <si>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</si>
  <si>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</si>
  <si>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</si>
  <si>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</si>
  <si>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</si>
  <si>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</si>
  <si>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</si>
  <si>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</si>
  <si>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</si>
  <si>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</si>
  <si>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</si>
  <si>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</si>
  <si>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</si>
  <si>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</si>
  <si>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</si>
  <si>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</si>
  <si>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</si>
  <si>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</si>
  <si>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</si>
  <si>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</si>
  <si>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</si>
  <si>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</si>
  <si>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</si>
  <si>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</si>
  <si>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</si>
  <si>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</si>
  <si>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</si>
  <si>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</si>
  <si>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</si>
  <si>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</si>
  <si>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</si>
  <si>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</si>
  <si>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</si>
  <si>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</si>
  <si>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</si>
  <si>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</si>
  <si>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</si>
  <si>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</si>
  <si>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</si>
  <si>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</si>
  <si>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</si>
  <si>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</si>
  <si>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</si>
  <si>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</si>
  <si>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</si>
  <si>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</si>
  <si>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</si>
  <si>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</si>
  <si>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</si>
  <si>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</si>
  <si>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</si>
  <si>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</si>
  <si>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</si>
  <si>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</si>
  <si>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</si>
  <si>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</si>
  <si>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</si>
  <si>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</si>
  <si>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</si>
  <si>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</si>
  <si>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</si>
  <si>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</si>
  <si>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</si>
  <si>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</si>
  <si>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</si>
  <si>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</si>
  <si>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</si>
  <si>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</si>
  <si>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</si>
  <si>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</si>
  <si>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</si>
  <si>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</si>
  <si>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</si>
  <si>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</si>
  <si>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</si>
  <si>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</si>
  <si>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</si>
  <si>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</si>
  <si>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</si>
  <si>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</si>
  <si>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</si>
  <si>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</si>
  <si>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</si>
  <si>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</si>
  <si>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</si>
  <si>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</si>
  <si>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</si>
  <si>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</si>
  <si>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</si>
  <si>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</si>
  <si>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</si>
  <si>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</si>
  <si>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</si>
  <si>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</si>
  <si>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</si>
  <si>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</si>
  <si>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</si>
  <si>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</si>
  <si>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</si>
  <si>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</si>
  <si>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</si>
  <si>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</si>
  <si>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</si>
  <si>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</si>
  <si>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</si>
  <si>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</si>
  <si>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</si>
  <si>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</si>
  <si>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</si>
  <si>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</si>
  <si>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</si>
  <si>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</si>
  <si>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</si>
  <si>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</si>
  <si>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</si>
  <si>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</si>
  <si>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</si>
  <si>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</si>
  <si>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</si>
  <si>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</si>
  <si>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</si>
  <si>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</si>
  <si>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</si>
  <si>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</si>
  <si>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</si>
  <si>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</si>
  <si>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</si>
  <si>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</si>
  <si>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</si>
  <si>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</si>
  <si>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</si>
  <si>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</si>
  <si>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</si>
  <si>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</si>
  <si>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</si>
  <si>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</si>
  <si>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</si>
  <si>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</si>
  <si>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</si>
  <si>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</si>
  <si>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</si>
  <si>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</si>
  <si>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</si>
  <si>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</si>
  <si>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</si>
  <si>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</si>
  <si>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</si>
  <si>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</si>
  <si>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</si>
  <si>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</si>
  <si>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</si>
  <si>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</si>
  <si>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</si>
  <si>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</si>
  <si>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</si>
  <si>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</si>
  <si>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</si>
  <si>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</si>
  <si>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</si>
  <si>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</si>
  <si>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</si>
  <si>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</si>
  <si>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</si>
  <si>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</si>
  <si>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</si>
  <si>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</si>
  <si>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</si>
  <si>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</si>
  <si>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</si>
  <si>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</si>
  <si>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</si>
  <si>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</si>
  <si>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</si>
  <si>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</si>
  <si>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</si>
  <si>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</si>
  <si>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</si>
  <si>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</si>
  <si>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</si>
  <si>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</si>
  <si>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</si>
  <si>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</si>
  <si>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</si>
  <si>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</si>
  <si>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</si>
  <si>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</si>
  <si>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</si>
  <si>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</si>
  <si>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</si>
  <si>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</si>
  <si>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</si>
  <si>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</si>
  <si>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</si>
  <si>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</si>
  <si>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</si>
  <si>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</si>
  <si>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</si>
  <si>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</si>
  <si>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</si>
  <si>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</si>
  <si>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</si>
  <si>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</si>
  <si>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</si>
  <si>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</si>
  <si>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</si>
  <si>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</si>
  <si>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</si>
  <si>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</si>
  <si>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</si>
  <si>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</si>
  <si>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</si>
  <si>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</si>
  <si>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</si>
  <si>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</si>
  <si>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</si>
  <si>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</si>
  <si>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</si>
  <si>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</si>
  <si>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</si>
  <si>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</si>
  <si>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</si>
  <si>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</si>
  <si>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</si>
  <si>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</si>
  <si>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</si>
  <si>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</si>
  <si>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</si>
  <si>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</si>
  <si>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</si>
  <si>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</si>
  <si>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</si>
  <si>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</si>
  <si>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</si>
  <si>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</si>
  <si>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</si>
  <si>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</si>
  <si>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</si>
  <si>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</si>
  <si>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</si>
  <si>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</si>
  <si>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</si>
  <si>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</si>
  <si>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</si>
  <si>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</si>
  <si>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</si>
  <si>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</si>
  <si>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</si>
  <si>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</si>
  <si>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</si>
  <si>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</si>
  <si>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</si>
  <si>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</si>
  <si>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</si>
  <si>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</si>
  <si>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</si>
  <si>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</si>
  <si>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</si>
  <si>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</si>
  <si>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</si>
  <si>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</si>
  <si>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</si>
  <si>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</si>
  <si>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</si>
  <si>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</si>
  <si>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</si>
  <si>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</si>
  <si>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</si>
  <si>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</si>
  <si>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</si>
  <si>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</si>
  <si>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</si>
  <si>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</si>
  <si>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</si>
  <si>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</si>
  <si>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</si>
  <si>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</si>
  <si>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</si>
  <si>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</si>
  <si>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</si>
  <si>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</si>
  <si>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</si>
  <si>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</si>
  <si>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</si>
  <si>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</si>
  <si>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</si>
  <si>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</si>
  <si>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</si>
  <si>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</si>
  <si>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</si>
  <si>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</si>
  <si>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</si>
  <si>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</si>
  <si>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</si>
  <si>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</si>
  <si>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</si>
  <si>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</si>
  <si>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</si>
  <si>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</si>
  <si>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</si>
  <si>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</si>
  <si>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</si>
  <si>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</si>
  <si>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</si>
  <si>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</si>
  <si>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</si>
  <si>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</si>
  <si>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</si>
  <si>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</si>
  <si>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</si>
  <si>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</si>
  <si>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</si>
  <si>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</si>
  <si>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</si>
  <si>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</si>
  <si>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</si>
  <si>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</si>
  <si>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</si>
  <si>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</si>
  <si>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</si>
  <si>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</si>
  <si>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</si>
  <si>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</si>
  <si>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</si>
  <si>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</si>
  <si>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</si>
  <si>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</si>
  <si>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</si>
  <si>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</si>
  <si>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</si>
  <si>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</si>
  <si>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</si>
  <si>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</si>
  <si>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</si>
  <si>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</si>
  <si>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</si>
  <si>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</si>
  <si>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</si>
  <si>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</si>
  <si>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</si>
  <si>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</si>
  <si>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</si>
  <si>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</si>
  <si>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</si>
  <si>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</si>
  <si>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</si>
  <si>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</si>
  <si>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</si>
  <si>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</si>
  <si>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</si>
  <si>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</si>
  <si>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</si>
  <si>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</si>
  <si>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</si>
  <si>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</si>
  <si>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</si>
  <si>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</si>
  <si>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</si>
  <si>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</si>
  <si>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</si>
  <si>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</si>
  <si>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</si>
  <si>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</si>
  <si>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</si>
  <si>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</si>
  <si>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</si>
  <si>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</si>
  <si>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</si>
  <si>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</si>
  <si>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</si>
  <si>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</si>
  <si>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</si>
  <si>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</si>
  <si>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</si>
  <si>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</si>
  <si>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</si>
  <si>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</si>
  <si>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</si>
  <si>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</si>
  <si>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</si>
  <si>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</si>
  <si>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</si>
  <si>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</si>
  <si>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</si>
  <si>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</si>
  <si>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</si>
  <si>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</si>
  <si>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</si>
  <si>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</si>
  <si>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</si>
  <si>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</si>
  <si>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</si>
  <si>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</si>
  <si>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</si>
  <si>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</si>
  <si>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</si>
  <si>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</si>
  <si>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</si>
  <si>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</si>
  <si>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</si>
  <si>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</si>
  <si>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</si>
  <si>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</si>
  <si>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</si>
  <si>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</si>
  <si>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</si>
  <si>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</si>
  <si>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</si>
  <si>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</si>
  <si>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</si>
  <si>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</si>
  <si>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</si>
  <si>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</si>
  <si>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</si>
  <si>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</si>
  <si>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</si>
  <si>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</si>
  <si>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</si>
  <si>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</si>
  <si>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</si>
  <si>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</si>
  <si>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</si>
  <si>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</si>
  <si>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</si>
  <si>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</si>
  <si>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</si>
  <si>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</si>
  <si>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</si>
  <si>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</si>
  <si>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</si>
  <si>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</si>
  <si>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</si>
  <si>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</si>
  <si>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</si>
  <si>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</si>
  <si>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</si>
  <si>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</si>
  <si>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</si>
  <si>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</si>
  <si>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</si>
  <si>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</si>
  <si>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</si>
  <si>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</si>
  <si>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</si>
  <si>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</si>
  <si>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</si>
  <si>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</si>
  <si>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</si>
  <si>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</si>
  <si>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</si>
  <si>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</si>
  <si>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</si>
  <si>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</si>
  <si>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</si>
  <si>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</si>
  <si>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</si>
  <si>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</si>
  <si>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</si>
  <si>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</si>
  <si>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</si>
  <si>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</si>
  <si>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</si>
  <si>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</si>
  <si>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</si>
  <si>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</si>
  <si>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</si>
  <si>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</si>
  <si>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</si>
  <si>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</si>
  <si>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</si>
  <si>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</si>
  <si>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</si>
  <si>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</si>
  <si>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</si>
  <si>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</si>
  <si>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</si>
  <si>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</si>
  <si>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</si>
  <si>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</si>
  <si>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</si>
  <si>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</si>
  <si>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</si>
  <si>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</si>
  <si>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</si>
  <si>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</si>
  <si>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</si>
  <si>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</si>
  <si>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</si>
  <si>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</si>
  <si>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</si>
  <si>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</si>
  <si>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</si>
  <si>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</si>
  <si>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</si>
  <si>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</si>
  <si>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</si>
  <si>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</si>
  <si>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</si>
  <si>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</si>
  <si>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</si>
  <si>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</si>
  <si>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</si>
  <si>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</si>
  <si>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</si>
  <si>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</si>
  <si>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</si>
  <si>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</si>
  <si>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</si>
  <si>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</si>
  <si>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</si>
  <si>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</si>
  <si>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</si>
  <si>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</si>
  <si>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</si>
  <si>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</si>
  <si>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</si>
  <si>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</si>
  <si>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</si>
  <si>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</si>
  <si>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</si>
  <si>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</si>
  <si>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</si>
  <si>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</si>
  <si>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</si>
  <si>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</si>
  <si>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</si>
  <si>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</si>
  <si>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</si>
  <si>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</si>
  <si>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</si>
  <si>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</si>
  <si>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</si>
  <si>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</si>
  <si>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</si>
  <si>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</si>
  <si>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</si>
  <si>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</si>
  <si>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</si>
  <si>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</si>
  <si>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</si>
  <si>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</si>
  <si>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</si>
  <si>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</si>
  <si>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</si>
  <si>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</si>
  <si>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</si>
  <si>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</si>
  <si>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</si>
  <si>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</si>
  <si>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</si>
  <si>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</si>
  <si>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</si>
  <si>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</si>
  <si>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</si>
  <si>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</si>
  <si>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</si>
  <si>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</si>
  <si>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</si>
  <si>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</si>
  <si>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</si>
  <si>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</si>
  <si>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</si>
  <si>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</si>
  <si>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</si>
  <si>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</si>
  <si>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</si>
  <si>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</si>
  <si>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</si>
  <si>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</si>
  <si>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</si>
  <si>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</si>
  <si>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</si>
  <si>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</si>
  <si>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</si>
  <si>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</si>
  <si>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</si>
  <si>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</si>
  <si>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</si>
  <si>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</si>
  <si>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</si>
  <si>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</si>
  <si>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</si>
  <si>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</si>
  <si>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</si>
  <si>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</si>
  <si>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</si>
  <si>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</si>
  <si>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</si>
  <si>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</si>
  <si>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</si>
  <si>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</si>
  <si>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</si>
  <si>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</si>
  <si>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</si>
  <si>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</si>
  <si>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</si>
  <si>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</si>
  <si>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</si>
  <si>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</si>
  <si>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</si>
  <si>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</si>
  <si>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</si>
  <si>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</si>
  <si>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</si>
  <si>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</si>
  <si>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</si>
  <si>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</si>
  <si>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</si>
  <si>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</si>
  <si>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</si>
  <si>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</si>
  <si>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</si>
  <si>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</si>
  <si>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</si>
  <si>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</si>
  <si>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</si>
  <si>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</si>
  <si>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</si>
  <si>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</si>
  <si>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</si>
  <si>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</si>
  <si>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</si>
  <si>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</si>
  <si>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</si>
  <si>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</si>
  <si>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</si>
  <si>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</si>
  <si>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</si>
  <si>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</si>
  <si>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</si>
  <si>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</si>
  <si>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</si>
  <si>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</si>
  <si>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</si>
  <si>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</si>
  <si>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</si>
  <si>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</si>
  <si>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</si>
  <si>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</si>
  <si>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</si>
  <si>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</si>
  <si>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</si>
  <si>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</si>
  <si>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</si>
  <si>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</si>
  <si>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</si>
  <si>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</si>
  <si>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</si>
  <si>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</si>
  <si>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</si>
  <si>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</si>
  <si>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</si>
  <si>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</si>
  <si>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</si>
  <si>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</si>
  <si>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</si>
  <si>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</si>
  <si>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</si>
  <si>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</si>
  <si>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</si>
  <si>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</si>
  <si>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</si>
  <si>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</si>
  <si>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</si>
  <si>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</si>
  <si>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</si>
  <si>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</si>
  <si>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</si>
  <si>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</si>
  <si>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</si>
  <si>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</si>
  <si>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</si>
  <si>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</si>
  <si>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</si>
  <si>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</si>
  <si>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</si>
  <si>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</si>
  <si>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</si>
  <si>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</si>
  <si>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</si>
  <si>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</si>
  <si>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</si>
  <si>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</si>
  <si>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</si>
  <si>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</si>
  <si>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</si>
  <si>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</si>
  <si>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</si>
  <si>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</si>
  <si>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</si>
  <si>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</si>
  <si>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</si>
  <si>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</si>
  <si>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</si>
  <si>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</si>
  <si>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</si>
  <si>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</si>
  <si>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</si>
  <si>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</si>
  <si>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</si>
  <si>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</si>
  <si>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</si>
  <si>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</si>
  <si>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</si>
  <si>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</si>
  <si>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</si>
  <si>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</si>
  <si>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</si>
  <si>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</si>
  <si>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</si>
  <si>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</si>
  <si>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</si>
  <si>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</si>
  <si>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</si>
  <si>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</si>
  <si>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</si>
  <si>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</si>
  <si>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</si>
  <si>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</si>
  <si>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</si>
  <si>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</si>
  <si>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</si>
  <si>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</si>
  <si>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</si>
  <si>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</si>
  <si>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</si>
  <si>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</si>
  <si>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</si>
  <si>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</si>
  <si>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</si>
  <si>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</si>
  <si>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</si>
  <si>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</si>
  <si>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</si>
  <si>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</si>
  <si>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</si>
  <si>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</si>
  <si>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</si>
  <si>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</si>
  <si>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</si>
  <si>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</si>
  <si>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</si>
  <si>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</si>
  <si>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</si>
  <si>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</si>
  <si>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</si>
  <si>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</si>
  <si>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</si>
  <si>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</si>
  <si>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</si>
  <si>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</si>
  <si>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</si>
  <si>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</si>
  <si>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</si>
  <si>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</si>
  <si>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</si>
  <si>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</si>
  <si>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</si>
  <si>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</si>
  <si>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</si>
  <si>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</si>
  <si>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</si>
  <si>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</si>
  <si>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</si>
  <si>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</si>
  <si>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</si>
  <si>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</si>
  <si>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</si>
  <si>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</si>
  <si>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</si>
  <si>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</si>
  <si>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</si>
  <si>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</si>
  <si>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</si>
  <si>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</si>
  <si>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</si>
  <si>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</si>
  <si>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</si>
  <si>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</si>
  <si>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</si>
  <si>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</si>
  <si>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</si>
  <si>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</si>
  <si>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</si>
  <si>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</si>
  <si>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</si>
  <si>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</si>
  <si>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</si>
  <si>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</si>
  <si>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</si>
  <si>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</si>
  <si>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</si>
  <si>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</si>
  <si>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</si>
  <si>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</si>
  <si>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</si>
  <si>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</si>
  <si>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</si>
  <si>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</si>
  <si>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</si>
  <si>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</si>
  <si>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</si>
  <si>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</si>
  <si>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</si>
  <si>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</si>
  <si>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</si>
  <si>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</si>
  <si>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</si>
  <si>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</si>
  <si>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</si>
  <si>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</si>
  <si>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</si>
  <si>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</si>
  <si>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</si>
  <si>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</si>
  <si>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</si>
  <si>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</si>
  <si>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</si>
  <si>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</si>
  <si>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</si>
  <si>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</si>
  <si>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</si>
  <si>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</si>
  <si>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</si>
  <si>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</si>
  <si>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</si>
  <si>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</si>
  <si>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</si>
  <si>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</si>
  <si>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</si>
  <si>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</si>
  <si>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</si>
  <si>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</si>
  <si>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</si>
  <si>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</si>
  <si>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</si>
  <si>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</si>
  <si>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</si>
  <si>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</si>
  <si>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</si>
  <si>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</si>
  <si>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</si>
  <si>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</si>
  <si>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</si>
  <si>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</si>
  <si>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</si>
  <si>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</si>
  <si>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</si>
  <si>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</si>
  <si>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</si>
  <si>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</si>
  <si>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</si>
  <si>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</si>
  <si>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</si>
  <si>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</si>
  <si>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</si>
  <si>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</si>
  <si>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</si>
  <si>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</si>
  <si>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</si>
  <si>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</si>
  <si>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</si>
  <si>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</si>
  <si>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</si>
  <si>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</si>
  <si>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</si>
  <si>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</si>
  <si>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</si>
  <si>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</si>
  <si>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</si>
  <si>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</si>
  <si>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</si>
  <si>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</si>
  <si>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</si>
  <si>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</si>
  <si>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</si>
  <si>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</si>
  <si>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</si>
  <si>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</si>
  <si>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</si>
  <si>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</si>
  <si>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</si>
  <si>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</si>
  <si>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</si>
  <si>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</si>
  <si>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</si>
  <si>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</si>
  <si>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</si>
  <si>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</si>
  <si>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</si>
  <si>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</si>
  <si>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</si>
  <si>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</si>
  <si>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</si>
  <si>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</si>
  <si>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</si>
  <si>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</si>
  <si>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</si>
  <si>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</si>
  <si>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</si>
  <si>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</si>
  <si>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</si>
  <si>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</si>
  <si>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</si>
  <si>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</si>
  <si>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</si>
  <si>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</si>
  <si>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</si>
  <si>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</si>
  <si>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</si>
  <si>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</si>
  <si>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</si>
  <si>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</si>
  <si>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</si>
  <si>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</si>
  <si>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</si>
  <si>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</si>
  <si>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</si>
  <si>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</si>
  <si>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</si>
  <si>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</si>
  <si>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</si>
  <si>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</si>
  <si>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t>比较法-工业</t>
  </si>
  <si>
    <t>成本逼近法</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</si>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</sst>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0" xfId="17" applyNumberFormat="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29</xdr:row>
      <xdr:rowOff>170807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xmlns=""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xmlns=""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xmlns=""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xmlns=""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xmlns=""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xmlns=""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xmlns=""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xmlns=""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xmlns=""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xmlns=""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xmlns=""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xmlns=""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a16="http://schemas.microsoft.com/office/drawing/2014/main" xmlns=""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a16="http://schemas.microsoft.com/office/drawing/2014/main" xmlns=""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a16="http://schemas.microsoft.com/office/drawing/2014/main" xmlns=""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a16="http://schemas.microsoft.com/office/drawing/2014/main" xmlns=""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xmlns=""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Desktop\&#27979;&#31639;&#8212;&#8212;&#21271;&#27801;&#27827;&#212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in10\Desktop\&#21271;&#20445;\&#27979;&#31639;&#8212;&#8212;&#21335;&#27861;&#20449;11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比较法案例（ppt）"/>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成本 (搭配划拨)"/>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北京金通资产经营管理公司</v>
          </cell>
          <cell r="C5" t="str">
            <v>北方智能微机电集团有限公司</v>
          </cell>
          <cell r="D5" t="str">
            <v>北京市通州区农业机械公司</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370379.14平方米。根据《建设工程规划许可证》[]、《出让合同》[]，估价对象规划建筑面积为370379.14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根据《国有土地使用证》[]，估价对象（分摊）出让国有建设用地使用权面积为370379.14平方米。根据《建设工程规划许可证》[]、《出让合同》[]，估价对象规划建筑面积为370379.14平方米。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370379.14</v>
      </c>
    </row>
    <row r="44" spans="1:2">
      <c r="A44" s="2357" t="s">
        <v>2022</v>
      </c>
      <c r="B44" s="2358" t="str">
        <f>'预评函-2'!O3</f>
        <v>规划建筑面积/㎡</v>
      </c>
    </row>
    <row r="45" spans="1:2">
      <c r="A45" s="2357" t="s">
        <v>2004</v>
      </c>
      <c r="B45" s="2358">
        <f>'预评函-2'!O5</f>
        <v>370379.14</v>
      </c>
    </row>
    <row r="46" spans="1:2">
      <c r="A46" s="2357" t="s">
        <v>2005</v>
      </c>
      <c r="B46" s="2358">
        <f ca="1">'预评函-2'!P5</f>
        <v>4230</v>
      </c>
    </row>
    <row r="47" spans="1:2">
      <c r="A47" s="2357" t="s">
        <v>2006</v>
      </c>
      <c r="B47" s="2358">
        <f ca="1">'预评函-2'!Q5</f>
        <v>4230</v>
      </c>
    </row>
    <row r="48" spans="1:2">
      <c r="A48" s="2357" t="s">
        <v>2007</v>
      </c>
      <c r="B48" s="2358">
        <f ca="1">'预评函-2'!R5</f>
        <v>156654</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45382</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-124.33</v>
      </c>
      <c r="D5" s="3294">
        <f>IF(ISERROR(ROUND(POWER(1+E5,A5-C5)*(POWER(1+E5,C5)-1)/(POWER(1+E5,A5)-1),3)),0,ROUND(POWER(1+E5,A5-C5)*(POWER(1+E5,C5)-1)/(POWER(1+E5,A5)-1),4))</f>
        <v>0</v>
      </c>
      <c r="E5" s="3295"/>
      <c r="F5" s="3288"/>
    </row>
    <row r="6" spans="1:6">
      <c r="A6" s="3293"/>
      <c r="B6" s="3290"/>
      <c r="C6" s="3292">
        <f>ROUNDDOWN(MIN((B6-B3)/365,A6),2)</f>
        <v>-124.33</v>
      </c>
      <c r="D6" s="3294">
        <f>IF(ISERROR(ROUND(POWER(1+E6,A6-C6)*(POWER(1+E6,C6)-1)/(POWER(1+E6,A6)-1),3)),0,ROUND(POWER(1+E6,A6-C6)*(POWER(1+E6,C6)-1)/(POWER(1+E6,A6)-1),4))</f>
        <v>0</v>
      </c>
      <c r="E6" s="3295"/>
      <c r="F6" s="3288"/>
    </row>
    <row r="7" spans="1:6">
      <c r="A7" s="3293"/>
      <c r="B7" s="3290"/>
      <c r="C7" s="3292">
        <f>ROUNDDOWN(MIN((B7-B3)/365,A7),2)</f>
        <v>-124.33</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5" thickBot="1">
      <c r="A18" s="3300" t="s">
        <v>2693</v>
      </c>
      <c r="B18" s="3301" t="e">
        <f>ROUND(B17*F11/F12,2)</f>
        <v>#DIV/0!</v>
      </c>
      <c r="C18" s="3301" t="e">
        <f>ROUND(F11/F12,4)</f>
        <v>#DIV/0!</v>
      </c>
      <c r="D18" s="3302"/>
      <c r="E18" s="3302"/>
      <c r="F18" s="3303"/>
    </row>
    <row r="19" spans="1:7" ht="1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6" sqref="D6"/>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69" t="str">
        <f>IF(B10="北京市","北京市",C10)&amp;F10&amp;A17&amp;"国有建设用地使用权"&amp;B9&amp;"预评估"</f>
        <v>北京市划拨国有建设用地使用权市场价格预评估</v>
      </c>
      <c r="C1" s="3770"/>
      <c r="D1" s="3770"/>
      <c r="E1" s="3770"/>
      <c r="F1" s="3770"/>
      <c r="G1" s="3770"/>
      <c r="H1" s="3770"/>
      <c r="I1" s="3771"/>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775"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3265</v>
      </c>
      <c r="C9" s="1477"/>
      <c r="D9" s="3776"/>
      <c r="E9" s="1476"/>
      <c r="F9" s="1536"/>
      <c r="G9" s="2821"/>
      <c r="H9" s="2821"/>
      <c r="I9" s="2822"/>
      <c r="J9" s="2816"/>
      <c r="K9" s="2799"/>
      <c r="L9" s="2795"/>
      <c r="M9" s="2795"/>
      <c r="N9" s="2796"/>
      <c r="O9" s="2797"/>
      <c r="P9" s="2796"/>
      <c r="Q9" s="2796"/>
      <c r="R9" s="2796"/>
      <c r="S9" s="2796"/>
      <c r="T9" s="2796"/>
      <c r="U9" s="2796"/>
    </row>
    <row r="10" spans="1:21" ht="31.8" thickTop="1">
      <c r="A10" s="2742" t="s">
        <v>1517</v>
      </c>
      <c r="B10" s="1513" t="s">
        <v>1465</v>
      </c>
      <c r="C10" s="1478" t="s">
        <v>3350</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72"/>
      <c r="C12" s="3773"/>
      <c r="D12" s="3774"/>
      <c r="E12" s="1494" t="s">
        <v>1579</v>
      </c>
      <c r="F12" s="3790" t="s">
        <v>2163</v>
      </c>
      <c r="G12" s="3791"/>
      <c r="H12" s="3791"/>
      <c r="I12" s="3792"/>
      <c r="J12" s="2816"/>
      <c r="K12" s="2799"/>
      <c r="L12" s="2795"/>
      <c r="M12" s="2795"/>
      <c r="N12" s="2796"/>
      <c r="O12" s="2797"/>
      <c r="P12" s="2796"/>
      <c r="Q12" s="2796"/>
      <c r="R12" s="2796"/>
      <c r="S12" s="2796"/>
      <c r="T12" s="2796"/>
      <c r="U12" s="2796"/>
    </row>
    <row r="13" spans="1:21">
      <c r="A13" s="1485" t="s">
        <v>1577</v>
      </c>
      <c r="B13" s="3772"/>
      <c r="C13" s="3773"/>
      <c r="D13" s="3774"/>
      <c r="E13" s="1494" t="s">
        <v>1579</v>
      </c>
      <c r="F13" s="3790" t="s">
        <v>2164</v>
      </c>
      <c r="G13" s="3791"/>
      <c r="H13" s="3791"/>
      <c r="I13" s="3792"/>
      <c r="J13" s="2816"/>
      <c r="K13" s="2799"/>
      <c r="L13" s="2795"/>
      <c r="M13" s="2795"/>
      <c r="N13" s="2796"/>
      <c r="O13" s="2797"/>
      <c r="P13" s="2796"/>
      <c r="Q13" s="2796"/>
      <c r="R13" s="2796"/>
      <c r="S13" s="2796"/>
      <c r="T13" s="2796"/>
      <c r="U13" s="2796"/>
    </row>
    <row r="14" spans="1:21">
      <c r="A14" s="1464" t="s">
        <v>1580</v>
      </c>
      <c r="B14" s="1494"/>
      <c r="C14" s="1629" t="s">
        <v>3267</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1"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3305</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87"/>
      <c r="E20" s="3788"/>
      <c r="F20" s="3788"/>
      <c r="G20" s="3788"/>
      <c r="H20" s="3788"/>
      <c r="I20" s="3789"/>
      <c r="J20" s="2816"/>
      <c r="K20" s="2799"/>
      <c r="L20" s="2795"/>
      <c r="M20" s="2795"/>
      <c r="N20" s="2796"/>
      <c r="O20" s="2797"/>
      <c r="P20" s="2796"/>
      <c r="Q20" s="2796"/>
      <c r="R20" s="2796"/>
      <c r="S20" s="2796"/>
      <c r="T20" s="2796"/>
      <c r="U20" s="2796"/>
    </row>
    <row r="21" spans="1:21">
      <c r="A21" s="1552" t="s">
        <v>1476</v>
      </c>
      <c r="B21" s="1553" t="s">
        <v>1477</v>
      </c>
      <c r="C21" s="1548">
        <f>'数据-汇总表'!E3</f>
        <v>370379.14</v>
      </c>
      <c r="D21" s="1549" t="s">
        <v>1478</v>
      </c>
      <c r="E21" s="3777" t="s">
        <v>1516</v>
      </c>
      <c r="F21" s="3778"/>
      <c r="G21" s="3778"/>
      <c r="H21" s="3778"/>
      <c r="I21" s="3779"/>
      <c r="J21" s="2816"/>
      <c r="K21" s="2799"/>
      <c r="L21" s="2795"/>
      <c r="M21" s="2795"/>
      <c r="N21" s="2796"/>
      <c r="O21" s="2797"/>
      <c r="P21" s="2796"/>
      <c r="Q21" s="2796"/>
      <c r="R21" s="2796"/>
      <c r="S21" s="2796"/>
      <c r="T21" s="2796"/>
      <c r="U21" s="2796"/>
    </row>
    <row r="22" spans="1:21">
      <c r="A22" s="2556" t="s">
        <v>877</v>
      </c>
      <c r="B22" s="1464" t="s">
        <v>1479</v>
      </c>
      <c r="C22" s="1484">
        <f>'数据-汇总表'!D3</f>
        <v>370379.14</v>
      </c>
      <c r="D22" s="1485" t="s">
        <v>1478</v>
      </c>
      <c r="E22" s="3777" t="s">
        <v>2165</v>
      </c>
      <c r="F22" s="3778"/>
      <c r="G22" s="3778"/>
      <c r="H22" s="3778"/>
      <c r="I22" s="3779"/>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80" t="s">
        <v>1484</v>
      </c>
      <c r="C24" s="3781"/>
      <c r="D24" s="3782" t="s">
        <v>1485</v>
      </c>
      <c r="E24" s="3783"/>
      <c r="F24" s="1502" t="s">
        <v>1486</v>
      </c>
      <c r="G24" s="2816"/>
      <c r="H24" s="2816"/>
      <c r="I24" s="2820"/>
      <c r="J24" s="2816"/>
      <c r="K24" s="376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6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6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54" t="s">
        <v>1519</v>
      </c>
      <c r="B31" s="1553" t="s">
        <v>1520</v>
      </c>
      <c r="C31" s="3793"/>
      <c r="D31" s="3794"/>
      <c r="E31" s="2816"/>
      <c r="F31" s="2816"/>
      <c r="G31" s="2816"/>
      <c r="H31" s="2816"/>
      <c r="I31" s="2820"/>
      <c r="J31" s="2816"/>
      <c r="K31" s="2802"/>
      <c r="L31" s="2796"/>
      <c r="M31" s="2796"/>
      <c r="N31" s="2796"/>
      <c r="O31" s="2796"/>
      <c r="P31" s="2796"/>
      <c r="Q31" s="2796"/>
      <c r="R31" s="2796"/>
      <c r="S31" s="2796"/>
      <c r="T31" s="2796"/>
      <c r="U31" s="2796"/>
    </row>
    <row r="32" spans="1:21">
      <c r="A32" s="375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5"/>
      <c r="B34" s="1464" t="s">
        <v>1523</v>
      </c>
      <c r="C34" s="3756"/>
      <c r="D34" s="3757"/>
      <c r="E34" s="2816"/>
      <c r="F34" s="2816"/>
      <c r="G34" s="2816"/>
      <c r="H34" s="2816"/>
      <c r="I34" s="2820"/>
      <c r="J34" s="2816"/>
      <c r="K34" s="2802"/>
      <c r="L34" s="2796"/>
      <c r="M34" s="2796"/>
      <c r="N34" s="2796"/>
      <c r="O34" s="2796"/>
      <c r="P34" s="2796"/>
      <c r="Q34" s="2796"/>
      <c r="R34" s="2796"/>
      <c r="S34" s="2796"/>
      <c r="T34" s="2796"/>
      <c r="U34" s="2796"/>
    </row>
    <row r="35" spans="1:28">
      <c r="A35" s="3758" t="s">
        <v>785</v>
      </c>
      <c r="B35" s="1516"/>
      <c r="C35" s="1562" t="str">
        <f>IF(B35="场地平整","——","具体情况：")</f>
        <v>具体情况：</v>
      </c>
      <c r="D35" s="3760"/>
      <c r="E35" s="3761"/>
      <c r="F35" s="3761"/>
      <c r="G35" s="3761"/>
      <c r="H35" s="3761"/>
      <c r="I35" s="3762"/>
      <c r="J35" s="2816"/>
      <c r="K35" s="2803"/>
      <c r="L35" s="2795"/>
      <c r="M35" s="2795"/>
      <c r="N35" s="2796"/>
      <c r="O35" s="2797"/>
      <c r="P35" s="2796"/>
      <c r="Q35" s="2796"/>
      <c r="R35" s="2796"/>
      <c r="S35" s="2796"/>
      <c r="T35" s="2796"/>
      <c r="U35" s="2796"/>
    </row>
    <row r="36" spans="1:28">
      <c r="A36" s="3754"/>
      <c r="B36" s="3763" t="s">
        <v>1572</v>
      </c>
      <c r="C36" s="3764"/>
      <c r="D36" s="1578"/>
      <c r="E36" s="3765"/>
      <c r="F36" s="3765"/>
      <c r="G36" s="1485" t="str">
        <f>IF(B35="场地未平整","估价结果处理","")</f>
        <v/>
      </c>
      <c r="H36" s="3766"/>
      <c r="I36" s="3766"/>
      <c r="J36" s="2816"/>
      <c r="K36" s="2803"/>
      <c r="L36" s="2795"/>
      <c r="M36" s="2795"/>
      <c r="N36" s="2796"/>
      <c r="O36" s="2797"/>
      <c r="P36" s="2796"/>
      <c r="Q36" s="2796"/>
      <c r="R36" s="2796"/>
      <c r="S36" s="2796"/>
      <c r="T36" s="2796"/>
      <c r="U36" s="2796"/>
    </row>
    <row r="37" spans="1:28" ht="31.2">
      <c r="A37" s="3754"/>
      <c r="B37" s="378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4"/>
      <c r="B38" s="3785"/>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55"/>
      <c r="B39" s="3786"/>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67" t="s">
        <v>1503</v>
      </c>
      <c r="T40" s="1525" t="str">
        <f>NUMBERSTRING(7-K40,1)&amp;"通"</f>
        <v>七通</v>
      </c>
      <c r="U40" s="2796"/>
    </row>
    <row r="41" spans="1:28" ht="31.2">
      <c r="A41" s="1466"/>
      <c r="B41" s="3759" t="s">
        <v>1250</v>
      </c>
      <c r="C41" s="3759"/>
      <c r="D41" s="3759"/>
      <c r="E41" s="3759"/>
      <c r="F41" s="1526" t="str">
        <f>C10</f>
        <v>昌平区北七家八仙庄</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67"/>
      <c r="T41" s="1527" t="str">
        <f>IF(T40="一通",L41,IF(T40="二通",M41,IF(T40="三通",N41,IF(T40="四通",O41,IF(T40="五通",P41,IF(T40="六通",Q41,R41))))))</f>
        <v>、、、、、、</v>
      </c>
      <c r="U41" s="2796"/>
    </row>
    <row r="42" spans="1:28">
      <c r="A42" s="1529"/>
      <c r="B42" s="1555" t="s">
        <v>1422</v>
      </c>
      <c r="C42" s="1555" t="s">
        <v>1423</v>
      </c>
      <c r="D42" s="1555" t="s">
        <v>1424</v>
      </c>
      <c r="E42" s="3281" t="s">
        <v>2746</v>
      </c>
      <c r="F42" s="3281"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1137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1" sqref="F11"/>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370379.14</v>
      </c>
      <c r="B3" s="20">
        <f>IF(C3="否",G5-AT5,G5)</f>
        <v>370379.14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370379.14</v>
      </c>
      <c r="H5" s="25">
        <f t="shared" ref="H5:AT5" si="0">SUM(H13:H641)</f>
        <v>370379.14</v>
      </c>
      <c r="I5" s="25">
        <f t="shared" si="0"/>
        <v>370379.14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370379.14</v>
      </c>
      <c r="BA5" s="27">
        <f t="shared" si="1"/>
        <v>370379.14</v>
      </c>
      <c r="BB5" s="27">
        <f t="shared" si="1"/>
        <v>370379.14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370379.14</v>
      </c>
      <c r="F6" s="25" t="s">
        <v>0</v>
      </c>
      <c r="G6" s="25" t="s">
        <v>1</v>
      </c>
      <c r="H6" s="31">
        <f>SUMIF(I$12:AB$12,"总值",I6:AB6)</f>
        <v>370379.14</v>
      </c>
      <c r="I6" s="25">
        <f t="shared" ref="I6:AB6" si="2">ROUND($A$3*I5/$B$3,2)</f>
        <v>370379.14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370379.14</v>
      </c>
      <c r="AZ6" s="25" t="s">
        <v>2</v>
      </c>
      <c r="BA6" s="25">
        <f>ROUND($AY$6*BA5/$AZ$5,2)</f>
        <v>370379.14</v>
      </c>
      <c r="BB6" s="25">
        <f>ROUND($AY$6*BB5/$AZ$5,2)</f>
        <v>370379.14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3352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2744</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3351</v>
      </c>
      <c r="E13" s="25">
        <f t="shared" ref="E13:E20" si="6">IF($C$3="是",ROUND($A$3*G13/$B$3,2),ROUND($A$3*(G13-AT13)/$B$3,2))</f>
        <v>370379.14</v>
      </c>
      <c r="F13" s="78"/>
      <c r="G13" s="79">
        <f t="shared" ref="G13:G20" si="7">H13+AC13+AT13</f>
        <v>370379.14</v>
      </c>
      <c r="H13" s="31">
        <f t="shared" ref="H13:H20" si="8">SUMIF(I$12:AB$12,"总值",I13:AB13)</f>
        <v>370379.14</v>
      </c>
      <c r="I13" s="2490">
        <f>A3</f>
        <v>370379.14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370379.14</v>
      </c>
      <c r="AZ13" s="25">
        <f t="shared" ref="AZ13:AZ20" si="12">BA13+BL13</f>
        <v>370379.14</v>
      </c>
      <c r="BA13" s="25">
        <f t="shared" ref="BA13:BA20" si="13">SUM(BB13:BK13)</f>
        <v>370379.14</v>
      </c>
      <c r="BB13" s="25">
        <f t="shared" ref="BB13:BB20" si="14">IF($D13="是",I13-J13,0)</f>
        <v>370379.14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04" t="s">
        <v>169</v>
      </c>
      <c r="B2" s="3804"/>
      <c r="C2" s="3804"/>
      <c r="D2" s="1729" t="s">
        <v>170</v>
      </c>
      <c r="E2" s="102" t="s">
        <v>171</v>
      </c>
      <c r="F2" s="2825"/>
      <c r="G2" s="1096"/>
      <c r="H2" s="1097"/>
      <c r="I2" s="1098" t="s">
        <v>795</v>
      </c>
      <c r="J2" s="2825"/>
      <c r="K2" s="2825"/>
      <c r="L2" s="2825"/>
      <c r="M2" s="2825"/>
      <c r="N2" s="2825"/>
      <c r="O2" s="2825"/>
      <c r="P2" s="2825"/>
    </row>
    <row r="3" spans="1:16" ht="15" thickBot="1">
      <c r="A3" s="3805" t="s">
        <v>172</v>
      </c>
      <c r="B3" s="3805"/>
      <c r="C3" s="3805"/>
      <c r="D3" s="103">
        <f>'数据-基础表'!AY6</f>
        <v>370379.14</v>
      </c>
      <c r="E3" s="103">
        <f>'数据-基础表'!AZ5</f>
        <v>370379.14</v>
      </c>
      <c r="F3" s="2825"/>
      <c r="G3" s="271" t="s">
        <v>796</v>
      </c>
      <c r="H3" s="266" t="s">
        <v>797</v>
      </c>
      <c r="I3" s="1730">
        <f>ROUND('数据-基础表'!B3/'数据-基础表'!A3,2)</f>
        <v>1</v>
      </c>
      <c r="J3" s="2825"/>
      <c r="K3" s="2825"/>
      <c r="L3" s="2825"/>
      <c r="M3" s="2825"/>
      <c r="N3" s="2825"/>
      <c r="O3" s="2825"/>
      <c r="P3" s="2825"/>
    </row>
    <row r="4" spans="1:16" ht="14.4">
      <c r="A4" s="3806"/>
      <c r="B4" s="3807"/>
      <c r="C4" s="3808"/>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ht="14.4">
      <c r="A5" s="106" t="s">
        <v>173</v>
      </c>
      <c r="B5" s="3809" t="s">
        <v>196</v>
      </c>
      <c r="C5" s="3809"/>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809" t="s">
        <v>174</v>
      </c>
      <c r="C6" s="3809"/>
      <c r="D6" s="107">
        <f>ROUND($D$3*E6/$E$3,2)</f>
        <v>370379.14</v>
      </c>
      <c r="E6" s="108">
        <f>E3-E5</f>
        <v>370379.14</v>
      </c>
      <c r="F6" s="2825"/>
      <c r="G6" s="1099"/>
      <c r="H6" s="266" t="s">
        <v>798</v>
      </c>
      <c r="I6" s="1730">
        <f>ROUND(F31/D31,2)</f>
        <v>1</v>
      </c>
      <c r="J6" s="2825"/>
      <c r="K6" s="2825"/>
      <c r="L6" s="2825"/>
      <c r="M6" s="2825"/>
      <c r="N6" s="2825"/>
      <c r="O6" s="2825"/>
      <c r="P6" s="2825"/>
    </row>
    <row r="7" spans="1:16" ht="14.4">
      <c r="A7" s="3801"/>
      <c r="B7" s="3802"/>
      <c r="C7" s="3803"/>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370379.14</v>
      </c>
      <c r="E8" s="112">
        <f>SUMIF('数据-基础表'!BB10:BK10,"地上",'数据-基础表'!BB5:BK5)</f>
        <v>370379.14</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370379.14</v>
      </c>
      <c r="E16" s="116">
        <f>SUM(E8:E15)</f>
        <v>370379.14</v>
      </c>
      <c r="F16" s="2825"/>
      <c r="G16" s="2826"/>
      <c r="H16" s="930" t="s">
        <v>185</v>
      </c>
      <c r="I16" s="931"/>
      <c r="J16" s="1738"/>
      <c r="K16" s="3795" t="s">
        <v>1849</v>
      </c>
      <c r="L16" s="3796"/>
      <c r="M16" s="3796"/>
      <c r="N16" s="3796"/>
      <c r="O16" s="3796"/>
      <c r="P16" s="3797"/>
    </row>
    <row r="17" spans="1:19" ht="14.4">
      <c r="A17" s="117" t="s">
        <v>182</v>
      </c>
      <c r="B17" s="118" t="s">
        <v>183</v>
      </c>
      <c r="C17" s="2016" t="s">
        <v>1670</v>
      </c>
      <c r="D17" s="104" t="s">
        <v>170</v>
      </c>
      <c r="E17" s="120" t="s">
        <v>171</v>
      </c>
      <c r="F17" s="121"/>
      <c r="G17" s="1225"/>
      <c r="H17" s="932" t="s">
        <v>184</v>
      </c>
      <c r="I17" s="933" t="s">
        <v>1669</v>
      </c>
      <c r="J17" s="1738"/>
      <c r="K17" s="3798" t="s">
        <v>1850</v>
      </c>
      <c r="L17" s="3799"/>
      <c r="M17" s="3800"/>
      <c r="N17" s="3798" t="s">
        <v>1851</v>
      </c>
      <c r="O17" s="3799"/>
      <c r="P17" s="3800"/>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3353</v>
      </c>
      <c r="D19" s="107">
        <f t="shared" ref="D19:D26" si="1">ROUND($D$3*E19/$E$3,2)</f>
        <v>370379.14</v>
      </c>
      <c r="E19" s="130">
        <f t="shared" ref="E19:E26" si="2">SUM(F19:G19)</f>
        <v>370379.14</v>
      </c>
      <c r="F19" s="2827">
        <f>'数据-基础表'!I13</f>
        <v>370379.14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370379.14</v>
      </c>
      <c r="S19" s="2019">
        <f t="shared" si="5"/>
        <v>370379.14</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370379.14</v>
      </c>
      <c r="E27" s="136">
        <f>IF(SUM(E19:E26)='数据-基础表'!BA5,SUM(E19:E26),IF(F27="地上面积有误","面积有误","地下面积有误"))</f>
        <v>370379.14</v>
      </c>
      <c r="F27" s="130">
        <f>IF(SUM(F19:F26)=E8,SUM(F19:F26),"地上面积有误")</f>
        <v>370379.14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370379.14</v>
      </c>
      <c r="S27" s="266">
        <f>IF(SUM(S19:S26)=$E$3,SUM(S19:S26),SUM(S19:S26)&amp;"误差"&amp;ROUND(SUM(S19:S26)-E3,2))</f>
        <v>370379.14</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370379.14</v>
      </c>
      <c r="E31" s="1229">
        <f>E27+E30</f>
        <v>370379.14</v>
      </c>
      <c r="F31" s="1230">
        <f>F27+F30</f>
        <v>370379.14</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33" activePane="bottomRight" state="frozen"/>
      <selection pane="topRight" activeCell="D1" sqref="D1"/>
      <selection pane="bottomLeft" activeCell="A4" sqref="A4"/>
      <selection pane="bottomRight" activeCell="B43" sqref="B43"/>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仓储</v>
      </c>
      <c r="B6" s="2055" t="str">
        <f>IF(A6=0,"","经营性")</f>
        <v>经营性</v>
      </c>
      <c r="C6" s="166" t="s">
        <v>2744</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370379.14</v>
      </c>
      <c r="L6" s="2499"/>
      <c r="M6" s="170">
        <f t="shared" ref="M6:M14" si="1">ROUND(K6*L6/10000,0)</f>
        <v>0</v>
      </c>
      <c r="N6" s="2500"/>
      <c r="O6" s="170">
        <f>IF($N$5="成新度","——",ROUND(M6*N6,0))</f>
        <v>0</v>
      </c>
      <c r="P6" s="171">
        <f>IF($N$5="成新度","——",M6-O6)</f>
        <v>0</v>
      </c>
      <c r="Q6" s="2501"/>
      <c r="R6" s="172">
        <f>SUMIF('数据-汇总表'!C$19:C$33,A6,'数据-汇总表'!R$19:R$33)</f>
        <v>370379.14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3400</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370379.14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370379.14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ROUND(B28*'数据-基础表'!A3/10000,4)</f>
        <v>6852.0141000000003</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2291</v>
      </c>
      <c r="B40" s="2129">
        <f ca="1">IF(A40="利息：取LPR",存贷款利率!E2,存贷款利率!E2+C40)</f>
        <v>3.4500000000000003E-2</v>
      </c>
      <c r="C40" s="3021">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10" t="s">
        <v>1198</v>
      </c>
      <c r="B1" s="3811"/>
      <c r="C1" s="3811"/>
      <c r="D1" s="3811"/>
      <c r="E1" s="3811"/>
      <c r="F1" s="3811"/>
      <c r="G1" s="3811"/>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15" t="s">
        <v>3404</v>
      </c>
    </row>
    <row r="24" spans="1:7" ht="1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8" customWidth="1"/>
    <col min="2" max="16384" width="14.6640625" style="2928"/>
  </cols>
  <sheetData>
    <row r="1" spans="1:10" ht="15.6">
      <c r="A1" s="2927" t="s">
        <v>2118</v>
      </c>
      <c r="B1" s="2927">
        <f>SUM(B14:B23)</f>
        <v>0</v>
      </c>
      <c r="C1" s="2936"/>
      <c r="D1" s="2936"/>
      <c r="E1" s="2936"/>
      <c r="F1" s="2936"/>
      <c r="G1" s="2937"/>
      <c r="H1" s="2937"/>
      <c r="I1" s="2937"/>
      <c r="J1" s="2937"/>
    </row>
    <row r="2" spans="1:10" ht="15.6">
      <c r="A2" s="2927" t="s">
        <v>2119</v>
      </c>
      <c r="B2" s="2927">
        <f>SUM(C14:C23)</f>
        <v>0</v>
      </c>
      <c r="C2" s="2936"/>
      <c r="D2" s="2936"/>
      <c r="E2" s="2936"/>
      <c r="F2" s="2936"/>
      <c r="G2" s="2937"/>
      <c r="H2" s="2937"/>
      <c r="I2" s="2937"/>
      <c r="J2" s="2937"/>
    </row>
    <row r="3" spans="1:10" ht="15.6">
      <c r="A3" s="2927" t="s">
        <v>2120</v>
      </c>
      <c r="B3" s="2929">
        <f>项目基本情况!D3</f>
        <v>45382</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SUM(D14:D23)</f>
        <v>0</v>
      </c>
      <c r="C5" s="2927" t="e">
        <f>ROUND(B5*10000/$B$1,0)</f>
        <v>#DIV/0!</v>
      </c>
      <c r="D5" s="2927" t="e">
        <f>ROUND(B5*10000/$B$2,0)</f>
        <v>#DIV/0!</v>
      </c>
      <c r="E5" s="2936"/>
      <c r="F5" s="2936"/>
      <c r="G5" s="2937"/>
      <c r="H5" s="2937"/>
      <c r="I5" s="2937"/>
      <c r="J5" s="2937"/>
    </row>
    <row r="6" spans="1:10" ht="15.6">
      <c r="A6" s="2927" t="s">
        <v>2126</v>
      </c>
      <c r="B6" s="2927">
        <f>SUM(G14:G23)</f>
        <v>0</v>
      </c>
      <c r="C6" s="2927" t="e">
        <f>ROUND(B6*10000/$B$1,0)</f>
        <v>#DIV/0!</v>
      </c>
      <c r="D6" s="2927" t="e">
        <f>ROUND(B6*10000/$B$2,0)</f>
        <v>#DIV/0!</v>
      </c>
      <c r="E6" s="2936"/>
      <c r="F6" s="2936"/>
      <c r="G6" s="2937"/>
      <c r="H6" s="2937"/>
      <c r="I6" s="2937"/>
      <c r="J6" s="2937"/>
    </row>
    <row r="7" spans="1:10" ht="15.6">
      <c r="A7" s="2927" t="s">
        <v>2127</v>
      </c>
      <c r="B7" s="2927">
        <f>SUM(H14:H23)</f>
        <v>0</v>
      </c>
      <c r="C7" s="2927" t="e">
        <f>ROUND(B7*10000/$B$1,0)</f>
        <v>#DIV/0!</v>
      </c>
      <c r="D7" s="2927" t="e">
        <f>ROUND(B7*10000/$B$2,0)</f>
        <v>#DIV/0!</v>
      </c>
      <c r="E7" s="2936"/>
      <c r="F7" s="2936"/>
      <c r="G7" s="2937"/>
      <c r="H7" s="2937"/>
      <c r="I7" s="2937"/>
      <c r="J7" s="2937"/>
    </row>
    <row r="8" spans="1:10" ht="15.6">
      <c r="A8" s="2927" t="s">
        <v>2128</v>
      </c>
      <c r="B8" s="2927">
        <f>SUM(I14:I23)</f>
        <v>0</v>
      </c>
      <c r="C8" s="2927" t="e">
        <f>ROUND(B8*10000/$B$1,0)</f>
        <v>#DIV/0!</v>
      </c>
      <c r="D8" s="2927" t="e">
        <f>ROUND(B8*10000/$B$2,0)</f>
        <v>#DIV/0!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c r="C14" s="2933"/>
      <c r="D14" s="2933"/>
      <c r="E14" s="2933" t="e">
        <f>ROUND(D14*10000/B14,0)</f>
        <v>#DIV/0!</v>
      </c>
      <c r="F14" s="2933" t="e">
        <f>ROUND(D14*10000/C14,0)</f>
        <v>#DIV/0!</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4"/>
      <c r="H15" s="2514"/>
      <c r="I15" s="2934"/>
      <c r="J15" s="2937"/>
    </row>
    <row r="16" spans="1:10" ht="15.6">
      <c r="A16" s="2932" t="s">
        <v>2136</v>
      </c>
      <c r="B16" s="2934"/>
      <c r="C16" s="2934"/>
      <c r="D16" s="2934"/>
      <c r="E16" s="2933" t="e">
        <f t="shared" si="0"/>
        <v>#DIV/0!</v>
      </c>
      <c r="F16" s="2933" t="e">
        <f t="shared" si="1"/>
        <v>#DIV/0!</v>
      </c>
      <c r="G16" s="2514"/>
      <c r="H16" s="2514"/>
      <c r="I16" s="2934"/>
      <c r="J16" s="2937"/>
    </row>
    <row r="17" spans="1:10" ht="15.6">
      <c r="A17" s="2932" t="s">
        <v>2137</v>
      </c>
      <c r="B17" s="2934"/>
      <c r="C17" s="2934"/>
      <c r="D17" s="2934"/>
      <c r="E17" s="2933" t="e">
        <f t="shared" si="0"/>
        <v>#DIV/0!</v>
      </c>
      <c r="F17" s="2933" t="e">
        <f t="shared" si="1"/>
        <v>#DIV/0!</v>
      </c>
      <c r="G17" s="2514"/>
      <c r="H17" s="2514"/>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4.4"/>
  <sheetData>
    <row r="1" spans="1:1">
      <c r="A1">
        <v>5414</v>
      </c>
    </row>
    <row r="2" spans="1:1">
      <c r="A2">
        <v>9301.2999999999993</v>
      </c>
    </row>
    <row r="3" spans="1:1">
      <c r="A3">
        <v>9856.6</v>
      </c>
    </row>
    <row r="4" spans="1:1">
      <c r="A4">
        <v>15208</v>
      </c>
    </row>
    <row r="5" spans="1:1">
      <c r="A5">
        <v>2006</v>
      </c>
    </row>
    <row r="6" spans="1:1">
      <c r="A6" s="3720">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N38" sqref="N38"/>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6" t="str">
        <f>项目基本情况!K2</f>
        <v>北京市划拨国有建设用地使用权</v>
      </c>
      <c r="B2" s="3857"/>
      <c r="C2" s="3858"/>
      <c r="D2" s="3858"/>
      <c r="E2" s="3858"/>
      <c r="F2" s="3858"/>
      <c r="G2" s="3857"/>
      <c r="H2" s="3857"/>
      <c r="I2" s="3859"/>
      <c r="J2" s="1753"/>
      <c r="K2" s="1752"/>
      <c r="L2" s="1752"/>
      <c r="M2" s="1752"/>
      <c r="N2" s="1752"/>
      <c r="O2" s="1752"/>
      <c r="P2" s="1752"/>
      <c r="Q2" s="1752"/>
      <c r="R2" s="1752"/>
      <c r="S2" s="1752"/>
      <c r="T2" s="1752"/>
      <c r="U2" s="1752"/>
      <c r="V2" s="1752"/>
    </row>
    <row r="3" spans="1:22" ht="13.8">
      <c r="A3" s="3849" t="s">
        <v>264</v>
      </c>
      <c r="B3" s="3850"/>
      <c r="C3" s="3850"/>
      <c r="D3" s="3850"/>
      <c r="E3" s="3850"/>
      <c r="F3" s="3850"/>
      <c r="G3" s="3850"/>
      <c r="H3" s="3850"/>
      <c r="I3" s="3850"/>
      <c r="J3" s="1753"/>
      <c r="K3" s="1752"/>
      <c r="L3" s="1752"/>
      <c r="M3" s="1752"/>
      <c r="N3" s="1752"/>
      <c r="O3" s="1752"/>
      <c r="P3" s="1752"/>
      <c r="Q3" s="1752"/>
      <c r="R3" s="1752"/>
      <c r="S3" s="1752"/>
      <c r="T3" s="1752"/>
      <c r="U3" s="1752"/>
      <c r="V3" s="1752"/>
    </row>
    <row r="4" spans="1:22" ht="14.4">
      <c r="A4" s="249" t="s">
        <v>265</v>
      </c>
      <c r="B4" s="250" t="s">
        <v>266</v>
      </c>
      <c r="C4" s="251" t="s">
        <v>3407</v>
      </c>
      <c r="D4" s="251" t="s">
        <v>3408</v>
      </c>
      <c r="E4" s="3815" t="s">
        <v>267</v>
      </c>
      <c r="F4" s="3816"/>
      <c r="G4" s="3816"/>
      <c r="H4" s="3816"/>
      <c r="I4" s="3851"/>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14" t="s">
        <v>268</v>
      </c>
      <c r="B5" s="3843">
        <v>25</v>
      </c>
      <c r="C5" s="3841">
        <v>7</v>
      </c>
      <c r="D5" s="3845">
        <v>3</v>
      </c>
      <c r="E5" s="252" t="s">
        <v>269</v>
      </c>
      <c r="F5" s="253"/>
      <c r="G5" s="253"/>
      <c r="H5" s="253"/>
      <c r="I5" s="254"/>
      <c r="J5" s="1753"/>
      <c r="K5" s="1752"/>
      <c r="L5" s="1752"/>
      <c r="M5" s="1752"/>
      <c r="N5" s="1752"/>
      <c r="O5" s="1752"/>
      <c r="P5" s="1752"/>
      <c r="Q5" s="1752"/>
      <c r="R5" s="1752"/>
      <c r="S5" s="1752"/>
      <c r="T5" s="1752"/>
      <c r="U5" s="1752"/>
      <c r="V5" s="1752"/>
    </row>
    <row r="6" spans="1:22" ht="13.8">
      <c r="A6" s="3814"/>
      <c r="B6" s="3843"/>
      <c r="C6" s="3844"/>
      <c r="D6" s="3845"/>
      <c r="E6" s="252" t="s">
        <v>270</v>
      </c>
      <c r="F6" s="253"/>
      <c r="G6" s="253"/>
      <c r="H6" s="253"/>
      <c r="I6" s="254"/>
      <c r="J6" s="1753"/>
      <c r="K6" s="1752"/>
      <c r="L6" s="1752"/>
      <c r="M6" s="1752"/>
      <c r="N6" s="1752"/>
      <c r="O6" s="1752"/>
      <c r="P6" s="1752"/>
      <c r="Q6" s="1752"/>
      <c r="R6" s="1752"/>
      <c r="S6" s="1752"/>
      <c r="T6" s="1752"/>
      <c r="U6" s="1752"/>
      <c r="V6" s="1752"/>
    </row>
    <row r="7" spans="1:22" ht="13.8">
      <c r="A7" s="3814"/>
      <c r="B7" s="3843"/>
      <c r="C7" s="3842"/>
      <c r="D7" s="3845"/>
      <c r="E7" s="252" t="s">
        <v>271</v>
      </c>
      <c r="F7" s="253"/>
      <c r="G7" s="253"/>
      <c r="H7" s="253"/>
      <c r="I7" s="254"/>
      <c r="J7" s="1753"/>
      <c r="K7" s="1752"/>
      <c r="L7" s="1752"/>
      <c r="M7" s="1752"/>
      <c r="N7" s="1752"/>
      <c r="O7" s="1752"/>
      <c r="P7" s="1752"/>
      <c r="Q7" s="1752"/>
      <c r="R7" s="1752"/>
      <c r="S7" s="1752"/>
      <c r="T7" s="1752"/>
      <c r="U7" s="1752"/>
      <c r="V7" s="1752"/>
    </row>
    <row r="8" spans="1:22" ht="13.8">
      <c r="A8" s="3814" t="s">
        <v>272</v>
      </c>
      <c r="B8" s="3843">
        <v>15</v>
      </c>
      <c r="C8" s="3841"/>
      <c r="D8" s="3845"/>
      <c r="E8" s="252" t="s">
        <v>273</v>
      </c>
      <c r="F8" s="253"/>
      <c r="G8" s="253"/>
      <c r="H8" s="253"/>
      <c r="I8" s="254"/>
      <c r="J8" s="1753"/>
      <c r="K8" s="1752"/>
      <c r="L8" s="1752"/>
      <c r="M8" s="1752"/>
      <c r="N8" s="1752"/>
      <c r="O8" s="1752"/>
      <c r="P8" s="1752"/>
      <c r="Q8" s="1752"/>
      <c r="R8" s="1752"/>
      <c r="S8" s="1752"/>
      <c r="T8" s="1752"/>
      <c r="U8" s="1752"/>
      <c r="V8" s="1752"/>
    </row>
    <row r="9" spans="1:22" ht="13.8">
      <c r="A9" s="3814"/>
      <c r="B9" s="3843"/>
      <c r="C9" s="3842"/>
      <c r="D9" s="3845"/>
      <c r="E9" s="252" t="s">
        <v>274</v>
      </c>
      <c r="F9" s="253"/>
      <c r="G9" s="253"/>
      <c r="H9" s="253"/>
      <c r="I9" s="254"/>
      <c r="J9" s="1753"/>
      <c r="K9" s="1752"/>
      <c r="L9" s="1752"/>
      <c r="M9" s="1752"/>
      <c r="N9" s="1752"/>
      <c r="O9" s="1752"/>
      <c r="P9" s="1752"/>
      <c r="Q9" s="1752"/>
      <c r="R9" s="1752"/>
      <c r="S9" s="1752"/>
      <c r="T9" s="1752"/>
      <c r="U9" s="1752"/>
      <c r="V9" s="1752"/>
    </row>
    <row r="10" spans="1:22" ht="13.8">
      <c r="A10" s="3814" t="s">
        <v>275</v>
      </c>
      <c r="B10" s="3843">
        <v>15</v>
      </c>
      <c r="C10" s="3841"/>
      <c r="D10" s="3845"/>
      <c r="E10" s="252" t="s">
        <v>276</v>
      </c>
      <c r="F10" s="253"/>
      <c r="G10" s="253"/>
      <c r="H10" s="253"/>
      <c r="I10" s="254"/>
      <c r="J10" s="1753"/>
      <c r="K10" s="1752"/>
      <c r="L10" s="1752"/>
      <c r="M10" s="1752"/>
      <c r="N10" s="1752"/>
      <c r="O10" s="1752"/>
      <c r="P10" s="1752"/>
      <c r="Q10" s="1752"/>
      <c r="R10" s="1752"/>
      <c r="S10" s="1752"/>
      <c r="T10" s="1752"/>
      <c r="U10" s="1752"/>
      <c r="V10" s="1752"/>
    </row>
    <row r="11" spans="1:22" ht="13.8">
      <c r="A11" s="3814"/>
      <c r="B11" s="3843"/>
      <c r="C11" s="3842"/>
      <c r="D11" s="3845"/>
      <c r="E11" s="252" t="s">
        <v>277</v>
      </c>
      <c r="F11" s="253"/>
      <c r="G11" s="253"/>
      <c r="H11" s="253"/>
      <c r="I11" s="254"/>
      <c r="J11" s="1753"/>
      <c r="K11" s="1752"/>
      <c r="L11" s="1752"/>
      <c r="M11" s="1752"/>
      <c r="N11" s="1752"/>
      <c r="O11" s="1752"/>
      <c r="P11" s="1752"/>
      <c r="Q11" s="1752"/>
      <c r="R11" s="1752"/>
      <c r="S11" s="1752"/>
      <c r="T11" s="1752"/>
      <c r="U11" s="1752"/>
      <c r="V11" s="1752"/>
    </row>
    <row r="12" spans="1:22" ht="13.8">
      <c r="A12" s="3814" t="s">
        <v>278</v>
      </c>
      <c r="B12" s="3843">
        <v>15</v>
      </c>
      <c r="C12" s="3841"/>
      <c r="D12" s="3845"/>
      <c r="E12" s="252" t="s">
        <v>279</v>
      </c>
      <c r="F12" s="253"/>
      <c r="G12" s="253"/>
      <c r="H12" s="253"/>
      <c r="I12" s="254"/>
      <c r="J12" s="1753"/>
      <c r="K12" s="1752"/>
      <c r="L12" s="1752"/>
      <c r="M12" s="1752"/>
      <c r="N12" s="1752"/>
      <c r="O12" s="1752"/>
      <c r="P12" s="1752"/>
      <c r="Q12" s="1752"/>
      <c r="R12" s="1752"/>
      <c r="S12" s="1752"/>
      <c r="T12" s="1752"/>
      <c r="U12" s="1752"/>
      <c r="V12" s="1752"/>
    </row>
    <row r="13" spans="1:22" ht="13.8">
      <c r="A13" s="3814"/>
      <c r="B13" s="3843"/>
      <c r="C13" s="3842"/>
      <c r="D13" s="3845"/>
      <c r="E13" s="252" t="s">
        <v>280</v>
      </c>
      <c r="F13" s="253"/>
      <c r="G13" s="253"/>
      <c r="H13" s="253"/>
      <c r="I13" s="254"/>
      <c r="J13" s="1753"/>
      <c r="K13" s="1752"/>
      <c r="L13" s="1752"/>
      <c r="M13" s="1752"/>
      <c r="N13" s="1752"/>
      <c r="O13" s="1752"/>
      <c r="P13" s="1752"/>
      <c r="Q13" s="1752"/>
      <c r="R13" s="1752"/>
      <c r="S13" s="1752"/>
      <c r="T13" s="1752"/>
      <c r="U13" s="1752"/>
      <c r="V13" s="1752"/>
    </row>
    <row r="14" spans="1:22" ht="13.8">
      <c r="A14" s="3814" t="s">
        <v>281</v>
      </c>
      <c r="B14" s="3843">
        <v>30</v>
      </c>
      <c r="C14" s="3841"/>
      <c r="D14" s="3845"/>
      <c r="E14" s="252" t="s">
        <v>282</v>
      </c>
      <c r="F14" s="253"/>
      <c r="G14" s="253"/>
      <c r="H14" s="253"/>
      <c r="I14" s="254"/>
      <c r="J14" s="1753"/>
      <c r="K14" s="1752"/>
      <c r="L14" s="1752"/>
      <c r="M14" s="1752"/>
      <c r="N14" s="1752"/>
      <c r="O14" s="1752"/>
      <c r="P14" s="1752"/>
      <c r="Q14" s="1752"/>
      <c r="R14" s="1752"/>
      <c r="S14" s="1752"/>
      <c r="T14" s="1752"/>
      <c r="U14" s="1752"/>
      <c r="V14" s="1752"/>
    </row>
    <row r="15" spans="1:22" ht="13.8">
      <c r="A15" s="3814"/>
      <c r="B15" s="3843"/>
      <c r="C15" s="3844"/>
      <c r="D15" s="3845"/>
      <c r="E15" s="252" t="s">
        <v>283</v>
      </c>
      <c r="F15" s="253"/>
      <c r="G15" s="253"/>
      <c r="H15" s="253"/>
      <c r="I15" s="254"/>
      <c r="J15" s="1753"/>
      <c r="K15" s="1752"/>
      <c r="L15" s="1752"/>
      <c r="M15" s="1752"/>
      <c r="N15" s="1752"/>
      <c r="O15" s="1752"/>
      <c r="P15" s="1752"/>
      <c r="Q15" s="1752"/>
      <c r="R15" s="1752"/>
      <c r="S15" s="1752"/>
      <c r="T15" s="1752"/>
      <c r="U15" s="1752"/>
      <c r="V15" s="1752"/>
    </row>
    <row r="16" spans="1:22" ht="13.8">
      <c r="A16" s="3814"/>
      <c r="B16" s="3843"/>
      <c r="C16" s="3842"/>
      <c r="D16" s="3845"/>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3846" t="s">
        <v>2254</v>
      </c>
      <c r="F18" s="3847"/>
      <c r="G18" s="3847"/>
      <c r="H18" s="3847"/>
      <c r="I18" s="3847"/>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174337</v>
      </c>
      <c r="D19" s="262">
        <f ca="1">SUMIF(INDIRECT("'"&amp;D4&amp;"'"&amp;"!A:A"),结果表!B19,INDIRECT("'"&amp;D4&amp;"'"&amp;"!B:B"))</f>
        <v>115395</v>
      </c>
      <c r="E19" s="259" t="s">
        <v>289</v>
      </c>
      <c r="F19" s="260" t="s">
        <v>288</v>
      </c>
      <c r="G19" s="263">
        <f ca="1">ROUND(C19*$C$18+D19*$D$18,0)</f>
        <v>156654</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4707</v>
      </c>
      <c r="D20" s="268">
        <f ca="1">SUMIF(INDIRECT("'"&amp;D4&amp;"'"&amp;"!A:A"),结果表!B20,INDIRECT("'"&amp;D4&amp;"'"&amp;"!B:B"))</f>
        <v>3116</v>
      </c>
      <c r="E20" s="265"/>
      <c r="F20" s="266" t="s">
        <v>291</v>
      </c>
      <c r="G20" s="269">
        <f ca="1">ROUND(C20*$C$18+D20*$D$18,0)</f>
        <v>4230</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4707</v>
      </c>
      <c r="D21" s="144">
        <f ca="1">SUMIF(INDIRECT("'"&amp;D4&amp;"'"&amp;"!A:A"),结果表!B21,INDIRECT("'"&amp;D4&amp;"'"&amp;"!B:B"))</f>
        <v>3116</v>
      </c>
      <c r="E21" s="265"/>
      <c r="F21" s="271" t="s">
        <v>293</v>
      </c>
      <c r="G21" s="273">
        <f ca="1">ROUND(C21*$C$18+D21*$D$18,0)</f>
        <v>4230</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0.51078469604402277</v>
      </c>
      <c r="E22" s="275"/>
      <c r="F22" s="276"/>
      <c r="G22" s="277">
        <f ca="1">ROUND(G19/('数据-汇总表'!D3/666.67),0)</f>
        <v>282</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20"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21"/>
      <c r="B25" s="1190" t="s">
        <v>297</v>
      </c>
      <c r="C25" s="281">
        <f>IF(B30=0,0,C30)</f>
        <v>0</v>
      </c>
      <c r="D25" s="282"/>
      <c r="E25" s="302"/>
      <c r="F25" s="302"/>
      <c r="G25" s="3721" t="s">
        <v>3409</v>
      </c>
      <c r="H25" s="302"/>
      <c r="I25" s="302"/>
      <c r="J25" s="1752"/>
      <c r="K25" s="1124" t="str">
        <f ca="1">项目基本情况!A17&amp;"国有建设用地使用权价格："&amp;O38&amp;"万元"</f>
        <v>划拨国有建设用地使用权价格：156654万元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大写金额：人民币壹拾伍亿陆仟陆佰伍拾肆万元整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单位面积地价：4230元/平方米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楼面地价：4230元/平方米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8" t="s">
        <v>2256</v>
      </c>
      <c r="B31" s="3848"/>
      <c r="C31" s="3848"/>
      <c r="D31" s="3848"/>
      <c r="E31" s="3848"/>
      <c r="F31" s="3848"/>
      <c r="G31" s="3848"/>
      <c r="H31" s="3848"/>
      <c r="I31" s="384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156654</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4230</v>
      </c>
      <c r="D33" s="1240" t="s">
        <v>1224</v>
      </c>
      <c r="E33" s="3820"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4230</v>
      </c>
      <c r="D34" s="1242" t="s">
        <v>1224</v>
      </c>
      <c r="E34" s="386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282</v>
      </c>
      <c r="D35" s="1245" t="s">
        <v>1226</v>
      </c>
      <c r="E35" s="3865"/>
      <c r="F35" s="292" t="s">
        <v>308</v>
      </c>
      <c r="G35" s="944"/>
      <c r="H35" s="943" t="s">
        <v>309</v>
      </c>
      <c r="I35" s="302"/>
      <c r="J35" s="1752"/>
      <c r="K35" s="3838" t="s">
        <v>316</v>
      </c>
      <c r="L35" s="3838" t="s">
        <v>317</v>
      </c>
      <c r="M35" s="1133" t="s">
        <v>318</v>
      </c>
      <c r="N35" s="3838" t="s">
        <v>319</v>
      </c>
      <c r="O35" s="3838" t="s">
        <v>320</v>
      </c>
      <c r="P35" s="1752"/>
      <c r="V35" s="1752"/>
    </row>
    <row r="36" spans="1:26" ht="16.5" customHeight="1">
      <c r="A36" s="294" t="s">
        <v>310</v>
      </c>
      <c r="B36" s="295" t="s">
        <v>299</v>
      </c>
      <c r="C36" s="296" t="s">
        <v>311</v>
      </c>
      <c r="D36" s="296" t="s">
        <v>312</v>
      </c>
      <c r="E36" s="297" t="s">
        <v>313</v>
      </c>
      <c r="F36" s="302"/>
      <c r="G36" s="302"/>
      <c r="H36" s="302"/>
      <c r="I36" s="302"/>
      <c r="J36" s="1754"/>
      <c r="K36" s="3839"/>
      <c r="L36" s="3839"/>
      <c r="M36" s="1135" t="s">
        <v>321</v>
      </c>
      <c r="N36" s="3839"/>
      <c r="O36" s="3839"/>
      <c r="P36" s="1752"/>
      <c r="V36" s="1752"/>
    </row>
    <row r="37" spans="1:26" ht="16.5" customHeight="1" thickBot="1">
      <c r="A37" s="1129" t="s">
        <v>314</v>
      </c>
      <c r="B37" s="298"/>
      <c r="C37" s="285"/>
      <c r="D37" s="285"/>
      <c r="E37" s="286"/>
      <c r="F37" s="302"/>
      <c r="G37" s="302"/>
      <c r="H37" s="302"/>
      <c r="I37" s="302"/>
      <c r="J37" s="1754"/>
      <c r="K37" s="3840"/>
      <c r="L37" s="3840"/>
      <c r="M37" s="1136"/>
      <c r="N37" s="3840"/>
      <c r="O37" s="3840"/>
      <c r="P37" s="1752"/>
      <c r="V37" s="1752"/>
    </row>
    <row r="38" spans="1:26" ht="16.5" customHeight="1" thickBot="1">
      <c r="A38" s="1129" t="s">
        <v>315</v>
      </c>
      <c r="B38" s="298"/>
      <c r="C38" s="285"/>
      <c r="D38" s="285"/>
      <c r="E38" s="286"/>
      <c r="F38" s="302"/>
      <c r="G38" s="302"/>
      <c r="H38" s="302"/>
      <c r="I38" s="302"/>
      <c r="J38" s="1754"/>
      <c r="K38" s="1137">
        <f>'数据-汇总表'!D3</f>
        <v>370379.14</v>
      </c>
      <c r="L38" s="1138">
        <f>'数据-汇总表'!E3</f>
        <v>370379.14</v>
      </c>
      <c r="M38" s="1138">
        <f ca="1">C34</f>
        <v>4230</v>
      </c>
      <c r="N38" s="1138">
        <f ca="1">C33</f>
        <v>4230</v>
      </c>
      <c r="O38" s="1139">
        <f ca="1">C32</f>
        <v>156654</v>
      </c>
      <c r="P38" s="1752"/>
      <c r="V38" s="1752"/>
    </row>
    <row r="39" spans="1:26" ht="16.5" customHeight="1" thickBot="1">
      <c r="A39" s="1134"/>
      <c r="B39" s="299"/>
      <c r="C39" s="300"/>
      <c r="D39" s="300"/>
      <c r="E39" s="301"/>
      <c r="F39" s="302"/>
      <c r="G39" s="302"/>
      <c r="H39" s="302"/>
      <c r="I39" s="302"/>
      <c r="J39" s="1754"/>
      <c r="K39" s="3878" t="str">
        <f>MID(A44,3,LEN(A44)-2)</f>
        <v/>
      </c>
      <c r="L39" s="3879"/>
      <c r="M39" s="3879"/>
      <c r="N39" s="3880"/>
      <c r="O39" s="1247" t="str">
        <f>C44</f>
        <v>——</v>
      </c>
      <c r="P39" s="1752"/>
      <c r="V39" s="1752"/>
    </row>
    <row r="40" spans="1:26" ht="18" thickBot="1">
      <c r="A40" s="100" t="s">
        <v>810</v>
      </c>
      <c r="B40" s="302"/>
      <c r="C40" s="302"/>
      <c r="D40" s="302"/>
      <c r="E40" s="302"/>
      <c r="F40" s="302"/>
      <c r="G40" s="302"/>
      <c r="H40" s="302"/>
      <c r="I40" s="302"/>
      <c r="J40" s="1754"/>
      <c r="K40" s="3878" t="str">
        <f>MID(A45,3,LEN(A45)-2)</f>
        <v/>
      </c>
      <c r="L40" s="3879"/>
      <c r="M40" s="3879"/>
      <c r="N40" s="3880"/>
      <c r="O40" s="1247" t="str">
        <f>C45</f>
        <v>——</v>
      </c>
      <c r="P40" s="1752"/>
      <c r="V40" s="1752"/>
    </row>
    <row r="41" spans="1:26" ht="16.2" thickBot="1">
      <c r="A41" s="303" t="s">
        <v>322</v>
      </c>
      <c r="B41" s="304"/>
      <c r="C41" s="305" t="s">
        <v>323</v>
      </c>
      <c r="D41" s="306" t="s">
        <v>324</v>
      </c>
      <c r="E41" s="306" t="s">
        <v>325</v>
      </c>
      <c r="F41" s="307" t="s">
        <v>326</v>
      </c>
      <c r="G41" s="302"/>
      <c r="H41" s="302"/>
      <c r="I41" s="302"/>
      <c r="J41" s="1754"/>
      <c r="K41" s="3878" t="str">
        <f>MID(A46,3,LEN(A46)-2)</f>
        <v/>
      </c>
      <c r="L41" s="3879"/>
      <c r="M41" s="3879"/>
      <c r="N41" s="3880"/>
      <c r="O41" s="1247" t="str">
        <f>C46</f>
        <v>——</v>
      </c>
      <c r="P41" s="1752"/>
      <c r="V41" s="1752"/>
    </row>
    <row r="42" spans="1:26" ht="31.2">
      <c r="A42" s="3822" t="s">
        <v>1585</v>
      </c>
      <c r="B42" s="3823"/>
      <c r="C42" s="255">
        <f ca="1">C32</f>
        <v>156654</v>
      </c>
      <c r="D42" s="308">
        <f ca="1">C33</f>
        <v>4230</v>
      </c>
      <c r="E42" s="308">
        <f ca="1">C34</f>
        <v>4230</v>
      </c>
      <c r="F42" s="309">
        <f ca="1">C35</f>
        <v>282</v>
      </c>
      <c r="G42" s="302"/>
      <c r="H42" s="302"/>
      <c r="I42" s="310"/>
      <c r="J42" s="1754"/>
      <c r="K42" s="1140" t="s">
        <v>327</v>
      </c>
      <c r="L42" s="1771" t="s">
        <v>328</v>
      </c>
      <c r="M42" s="1141" t="s">
        <v>329</v>
      </c>
      <c r="N42" s="1772" t="s">
        <v>330</v>
      </c>
      <c r="O42" s="1773" t="s">
        <v>331</v>
      </c>
      <c r="P42" s="1752"/>
      <c r="V42" s="1752"/>
    </row>
    <row r="43" spans="1:26" ht="17.399999999999999">
      <c r="A43" s="3833" t="s">
        <v>2012</v>
      </c>
      <c r="B43" s="3834"/>
      <c r="C43" s="255">
        <f>IF(H33="正常操作",G33+G34+G35,G34+G35)</f>
        <v>0</v>
      </c>
      <c r="D43" s="308" t="s">
        <v>17</v>
      </c>
      <c r="E43" s="308" t="s">
        <v>18</v>
      </c>
      <c r="F43" s="309" t="s">
        <v>18</v>
      </c>
      <c r="G43" s="2346" t="s">
        <v>877</v>
      </c>
      <c r="H43" s="302"/>
      <c r="I43" s="310"/>
      <c r="J43" s="1754"/>
      <c r="K43" s="1142" t="str">
        <f>C4</f>
        <v>比较法-工业</v>
      </c>
      <c r="L43" s="1143">
        <f ca="1">IF(L42="估价结果/万元",C19,C20)</f>
        <v>174337</v>
      </c>
      <c r="M43" s="1144">
        <f>C18</f>
        <v>0.7</v>
      </c>
      <c r="N43" s="1145">
        <f ca="1">IF(N42="测算结果/万元",G19,G20)</f>
        <v>156654</v>
      </c>
      <c r="O43" s="1146">
        <f ca="1">IF(O42="最终结果/万元",C32,C33)</f>
        <v>156654</v>
      </c>
      <c r="P43" s="1752"/>
      <c r="V43" s="1752"/>
    </row>
    <row r="44" spans="1:26" ht="18" thickBot="1">
      <c r="A44" s="3822" t="str">
        <f>IF(OR(项目基本情况!E8="抵押价格",项目基本情况!E8="已注销及未注销"),"3.抵押价格","——")</f>
        <v>——</v>
      </c>
      <c r="B44" s="3823"/>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115395</v>
      </c>
      <c r="M44" s="1149">
        <f>D18</f>
        <v>0.30000000000000004</v>
      </c>
      <c r="N44" s="1150"/>
      <c r="O44" s="1151"/>
      <c r="P44" s="1752"/>
      <c r="V44" s="1752"/>
    </row>
    <row r="45" spans="1:26" ht="13.8">
      <c r="A45" s="3828" t="str">
        <f>IF(项目基本情况!E8="已注销及未注销","4.抵押担保权已注销时的抵押价格",IF(项目基本情况!E8="已注销","3.抵押担保权已注销时的抵押价格","——"))</f>
        <v>——</v>
      </c>
      <c r="B45" s="382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24" t="str">
        <f>IF(项目基本情况!E9="抵押净值",IF(A45="——","4.抵押净值","5.抵押净值"),"——")</f>
        <v>——</v>
      </c>
      <c r="B46" s="382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72" t="s">
        <v>340</v>
      </c>
      <c r="B63" s="3873"/>
      <c r="C63" s="3874"/>
      <c r="D63" s="332">
        <f ca="1">ROUND(C42*F63,0)</f>
        <v>156654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0" t="s">
        <v>344</v>
      </c>
      <c r="B64" s="3831"/>
      <c r="C64" s="3831"/>
      <c r="D64" s="3831"/>
      <c r="E64" s="3831"/>
      <c r="F64" s="3831"/>
      <c r="G64" s="383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26" t="s">
        <v>352</v>
      </c>
      <c r="B66" s="3827"/>
      <c r="C66" s="382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87" t="s">
        <v>351</v>
      </c>
      <c r="M66" s="3888"/>
      <c r="N66" s="2110"/>
      <c r="O66" s="2111"/>
      <c r="P66" s="2112"/>
      <c r="Q66" s="1752"/>
      <c r="R66" s="1752"/>
      <c r="S66" s="1752"/>
      <c r="T66" s="1752"/>
      <c r="U66" s="1752"/>
      <c r="V66" s="1752"/>
    </row>
    <row r="67" spans="1:22" ht="25.5" customHeight="1">
      <c r="A67" s="343" t="s">
        <v>355</v>
      </c>
      <c r="B67" s="3817" t="s">
        <v>356</v>
      </c>
      <c r="C67" s="3817"/>
      <c r="D67" s="344">
        <v>0</v>
      </c>
      <c r="E67" s="39" t="s">
        <v>357</v>
      </c>
      <c r="F67" s="60" t="s">
        <v>15</v>
      </c>
      <c r="G67" s="3875"/>
      <c r="H67" s="2749" t="s">
        <v>2257</v>
      </c>
      <c r="I67" s="2751"/>
      <c r="J67" s="1759"/>
      <c r="K67" s="1731">
        <v>2</v>
      </c>
      <c r="L67" s="3881" t="s">
        <v>354</v>
      </c>
      <c r="M67" s="3881"/>
      <c r="N67" s="1194">
        <f>'数据-取费表'!B2</f>
        <v>45382</v>
      </c>
      <c r="O67" s="1194"/>
      <c r="P67" s="1194"/>
      <c r="Q67" s="1752"/>
      <c r="R67" s="1752"/>
      <c r="S67" s="1752"/>
      <c r="T67" s="1752"/>
      <c r="U67" s="1752"/>
      <c r="V67" s="1752"/>
    </row>
    <row r="68" spans="1:22" ht="25.5" customHeight="1">
      <c r="A68" s="345"/>
      <c r="B68" s="3817" t="s">
        <v>359</v>
      </c>
      <c r="C68" s="3817"/>
      <c r="D68" s="346"/>
      <c r="E68" s="75"/>
      <c r="F68" s="347"/>
      <c r="G68" s="3876"/>
      <c r="H68" s="2750" t="s">
        <v>2258</v>
      </c>
      <c r="I68" s="2751"/>
      <c r="J68" s="1759"/>
      <c r="K68" s="1731">
        <v>3</v>
      </c>
      <c r="L68" s="3881" t="s">
        <v>358</v>
      </c>
      <c r="M68" s="3881"/>
      <c r="N68" s="1162">
        <f ca="1">C42</f>
        <v>156654</v>
      </c>
      <c r="O68" s="1162"/>
      <c r="P68" s="1162"/>
      <c r="Q68" s="1752"/>
      <c r="R68" s="1752"/>
      <c r="S68" s="1752"/>
      <c r="T68" s="1752"/>
      <c r="U68" s="1752"/>
      <c r="V68" s="1752"/>
    </row>
    <row r="69" spans="1:22" ht="23.4" customHeight="1">
      <c r="A69" s="348"/>
      <c r="B69" s="3817" t="s">
        <v>360</v>
      </c>
      <c r="C69" s="3817"/>
      <c r="D69" s="349"/>
      <c r="E69" s="71"/>
      <c r="F69" s="347"/>
      <c r="G69" s="3877"/>
      <c r="H69" s="2750" t="s">
        <v>2259</v>
      </c>
      <c r="I69" s="2751"/>
      <c r="J69" s="1759"/>
      <c r="K69" s="1163">
        <v>4</v>
      </c>
      <c r="L69" s="3891" t="s">
        <v>2157</v>
      </c>
      <c r="M69" s="3892"/>
      <c r="N69" s="1164" t="str">
        <f>C44</f>
        <v>——</v>
      </c>
      <c r="O69" s="1164"/>
      <c r="P69" s="1164"/>
      <c r="Q69" s="1752"/>
      <c r="R69" s="1752"/>
      <c r="S69" s="1752"/>
      <c r="T69" s="1752"/>
      <c r="U69" s="1752"/>
      <c r="V69" s="1752"/>
    </row>
    <row r="70" spans="1:22" ht="24" customHeight="1">
      <c r="A70" s="350" t="s">
        <v>361</v>
      </c>
      <c r="B70" s="3817" t="s">
        <v>362</v>
      </c>
      <c r="C70" s="3817"/>
      <c r="D70" s="349">
        <f ca="1">ROUND(D63*'数据-取费表'!B41/(1+'数据-取费表'!C42),0)</f>
        <v>8206</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8" t="s">
        <v>2286</v>
      </c>
      <c r="C71" s="3819"/>
      <c r="D71" s="349">
        <f ca="1">ROUND(D63*'数据-取费表'!B41/(1+'数据-取费表'!C42),0)</f>
        <v>8206</v>
      </c>
      <c r="E71" s="15" t="s">
        <v>363</v>
      </c>
      <c r="F71" s="351">
        <f>'数据-取费表'!B41</f>
        <v>5.5000000000000007E-2</v>
      </c>
      <c r="G71" s="352"/>
      <c r="H71" s="302"/>
      <c r="I71" s="1161"/>
      <c r="J71" s="1759"/>
      <c r="K71" s="2521" t="s">
        <v>364</v>
      </c>
      <c r="L71" s="3893" t="s">
        <v>365</v>
      </c>
      <c r="M71" s="3893"/>
      <c r="N71" s="2521" t="s">
        <v>366</v>
      </c>
      <c r="O71" s="2521" t="s">
        <v>367</v>
      </c>
      <c r="P71" s="2521" t="s">
        <v>368</v>
      </c>
      <c r="Q71" s="1752"/>
      <c r="R71" s="1752"/>
      <c r="S71" s="1752"/>
      <c r="T71" s="1752"/>
      <c r="U71" s="1752"/>
      <c r="V71" s="1752"/>
    </row>
    <row r="72" spans="1:22" ht="12" customHeight="1">
      <c r="A72" s="350" t="s">
        <v>371</v>
      </c>
      <c r="B72" s="3818" t="s">
        <v>2287</v>
      </c>
      <c r="C72" s="3819"/>
      <c r="D72" s="349">
        <f ca="1">C86</f>
        <v>8206</v>
      </c>
      <c r="E72" s="71" t="s">
        <v>372</v>
      </c>
      <c r="F72" s="351">
        <f>'数据-取费表'!B41</f>
        <v>5.5000000000000007E-2</v>
      </c>
      <c r="G72" s="352"/>
      <c r="H72" s="1167"/>
      <c r="I72" s="1161"/>
      <c r="J72" s="1759"/>
      <c r="K72" s="1731">
        <v>1</v>
      </c>
      <c r="L72" s="3868" t="s">
        <v>370</v>
      </c>
      <c r="M72" s="3868"/>
      <c r="N72" s="1165" t="b">
        <f>D66</f>
        <v>0</v>
      </c>
      <c r="O72" s="1636" t="str">
        <f>E66</f>
        <v>销售额×税（费）率</v>
      </c>
      <c r="P72" s="1166">
        <f>F66</f>
        <v>5.5000000000000007E-2</v>
      </c>
      <c r="Q72" s="1752"/>
      <c r="R72" s="1752"/>
      <c r="S72" s="1752"/>
      <c r="T72" s="1752"/>
      <c r="U72" s="1752"/>
      <c r="V72" s="1752"/>
    </row>
    <row r="73" spans="1:22" ht="24" customHeight="1">
      <c r="A73" s="3863" t="s">
        <v>374</v>
      </c>
      <c r="B73" s="3827"/>
      <c r="C73" s="3827"/>
      <c r="D73" s="353">
        <f ca="1">IF(H73="个人住宅",0,ROUND(D63*I73,0))</f>
        <v>78</v>
      </c>
      <c r="E73" s="15" t="s">
        <v>375</v>
      </c>
      <c r="F73" s="351" t="str">
        <f>IF(H73="正常",I73,"免征")</f>
        <v>免征</v>
      </c>
      <c r="G73" s="352"/>
      <c r="H73" s="184"/>
      <c r="I73" s="351">
        <f>'数据-取费表'!B49</f>
        <v>5.0000000000000001E-4</v>
      </c>
      <c r="J73" s="1759"/>
      <c r="K73" s="1731">
        <v>2</v>
      </c>
      <c r="L73" s="3868" t="s">
        <v>373</v>
      </c>
      <c r="M73" s="3868"/>
      <c r="N73" s="1165">
        <f t="shared" ref="N73:P74" ca="1" si="0">D73</f>
        <v>78</v>
      </c>
      <c r="O73" s="1636" t="str">
        <f t="shared" si="0"/>
        <v>销售额×税（费）率</v>
      </c>
      <c r="P73" s="1166" t="str">
        <f t="shared" si="0"/>
        <v>免征</v>
      </c>
      <c r="Q73" s="1752"/>
      <c r="R73" s="1752"/>
      <c r="S73" s="1752"/>
      <c r="T73" s="1752"/>
      <c r="U73" s="1752"/>
      <c r="V73" s="1752"/>
    </row>
    <row r="74" spans="1:22" ht="25.2">
      <c r="A74" s="3863" t="s">
        <v>377</v>
      </c>
      <c r="B74" s="3827"/>
      <c r="C74" s="3827"/>
      <c r="D74" s="353">
        <f ca="1">IF(H74="个人住宅",D75,D76)</f>
        <v>88808</v>
      </c>
      <c r="E74" s="15" t="s">
        <v>378</v>
      </c>
      <c r="F74" s="351" t="str">
        <f>IF(H74="正常",F76,"免征")</f>
        <v>免征</v>
      </c>
      <c r="G74" s="945" t="s">
        <v>379</v>
      </c>
      <c r="H74" s="354"/>
      <c r="I74" s="40"/>
      <c r="J74" s="1759"/>
      <c r="K74" s="1731">
        <v>3</v>
      </c>
      <c r="L74" s="3868" t="s">
        <v>376</v>
      </c>
      <c r="M74" s="3868"/>
      <c r="N74" s="1165">
        <f t="shared" ca="1" si="0"/>
        <v>88808</v>
      </c>
      <c r="O74" s="1636" t="str">
        <f t="shared" si="0"/>
        <v>增值额×税（费）率</v>
      </c>
      <c r="P74" s="1168" t="str">
        <f t="shared" si="0"/>
        <v>免征</v>
      </c>
      <c r="Q74" s="1752"/>
      <c r="R74" s="1752"/>
      <c r="S74" s="1752"/>
      <c r="T74" s="1752"/>
      <c r="U74" s="1752"/>
      <c r="V74" s="1752"/>
    </row>
    <row r="75" spans="1:22" ht="13.2">
      <c r="A75" s="350" t="s">
        <v>380</v>
      </c>
      <c r="B75" s="3815" t="s">
        <v>381</v>
      </c>
      <c r="C75" s="3851"/>
      <c r="D75" s="355">
        <v>0</v>
      </c>
      <c r="E75" s="39" t="s">
        <v>382</v>
      </c>
      <c r="F75" s="356"/>
      <c r="G75" s="352"/>
      <c r="H75" s="40"/>
      <c r="I75" s="40"/>
      <c r="J75" s="1759"/>
      <c r="K75" s="2515">
        <f>IF(H77="非个人房产","",4)</f>
        <v>4</v>
      </c>
      <c r="L75" s="3868" t="str">
        <f>IF(H77="非个人房产","——","个人所得税")</f>
        <v>个人所得税</v>
      </c>
      <c r="M75" s="3868"/>
      <c r="N75" s="1169">
        <f>D77</f>
        <v>0</v>
      </c>
      <c r="O75" s="1637" t="str">
        <f>E77</f>
        <v>差额计税</v>
      </c>
      <c r="P75" s="1170">
        <f>F77</f>
        <v>0.01</v>
      </c>
      <c r="Q75" s="1752"/>
      <c r="R75" s="1752"/>
      <c r="S75" s="1752"/>
      <c r="T75" s="1752"/>
      <c r="U75" s="1752"/>
      <c r="V75" s="1752"/>
    </row>
    <row r="76" spans="1:22" ht="25.2">
      <c r="A76" s="350" t="s">
        <v>361</v>
      </c>
      <c r="B76" s="3815" t="s">
        <v>384</v>
      </c>
      <c r="C76" s="3816"/>
      <c r="D76" s="353">
        <f ca="1">IF(H76="转让取得",C99,C115)</f>
        <v>88808</v>
      </c>
      <c r="E76" s="15" t="s">
        <v>385</v>
      </c>
      <c r="F76" s="51" t="s">
        <v>15</v>
      </c>
      <c r="G76" s="352"/>
      <c r="H76" s="354"/>
      <c r="I76" s="40"/>
      <c r="J76" s="1759"/>
      <c r="K76" s="2515" t="str">
        <f>IF(项目基本情况!K6="上海银行",IF(K75="",4,K75+1),"")</f>
        <v/>
      </c>
      <c r="L76" s="3883" t="str">
        <f>IF(项目基本情况!K6="上海银行","其他处置费用","")</f>
        <v/>
      </c>
      <c r="M76" s="3884"/>
      <c r="N76" s="1165" t="str">
        <f>IF(项目基本情况!K6="上海银行",N89,"")</f>
        <v/>
      </c>
      <c r="O76" s="3885" t="str">
        <f>IF(项目基本情况!K6="上海银行","包含处置中涉及的律师、诉讼、拍卖、评估等费用","")</f>
        <v/>
      </c>
      <c r="P76" s="3886"/>
      <c r="Q76" s="1752"/>
      <c r="R76" s="1752"/>
      <c r="S76" s="1752"/>
      <c r="T76" s="1752"/>
      <c r="U76" s="1752"/>
      <c r="V76" s="1752"/>
    </row>
    <row r="77" spans="1:22" ht="24.6" thickBot="1">
      <c r="A77" s="3870" t="s">
        <v>387</v>
      </c>
      <c r="B77" s="3871"/>
      <c r="C77" s="3871"/>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69">
        <f>IF(AND(K75="",K76=""),4,IF(项目基本情况!K6="上海银行",K76+1,K75+1))</f>
        <v>5</v>
      </c>
      <c r="L77" s="3868" t="s">
        <v>2158</v>
      </c>
      <c r="M77" s="2520" t="s">
        <v>383</v>
      </c>
      <c r="N77" s="1171"/>
      <c r="O77" s="1172">
        <f ca="1">SUMIF(N72:N76,"&lt;9e307")</f>
        <v>88886</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69"/>
      <c r="L78" s="3868"/>
      <c r="M78" s="2520" t="s">
        <v>386</v>
      </c>
      <c r="N78" s="1171"/>
      <c r="O78" s="1172" t="str">
        <f ca="1">NUMBERSTRING(INT(O77*10000),2)&amp;"元整"</f>
        <v>捌亿捌仟捌佰捌拾陆万元整</v>
      </c>
      <c r="P78" s="1173"/>
      <c r="Q78" s="1752"/>
      <c r="R78" s="1752"/>
      <c r="S78" s="1752"/>
      <c r="T78" s="1752"/>
      <c r="U78" s="1752"/>
      <c r="V78" s="1752"/>
    </row>
    <row r="79" spans="1:22" ht="13.8" thickBot="1">
      <c r="A79" s="3835" t="s">
        <v>388</v>
      </c>
      <c r="B79" s="3835"/>
      <c r="C79" s="3835"/>
      <c r="D79" s="3835"/>
      <c r="E79" s="3835"/>
      <c r="F79" s="40"/>
      <c r="G79" s="40"/>
      <c r="H79" s="965"/>
      <c r="I79" s="302"/>
      <c r="J79" s="1759"/>
      <c r="K79" s="3889">
        <f>K77+1</f>
        <v>6</v>
      </c>
      <c r="L79" s="3868" t="s">
        <v>2159</v>
      </c>
      <c r="M79" s="2520" t="s">
        <v>383</v>
      </c>
      <c r="N79" s="1171"/>
      <c r="O79" s="1172" t="e">
        <f ca="1">N69-O77</f>
        <v>#VALUE!</v>
      </c>
      <c r="P79" s="1173"/>
      <c r="Q79" s="1752"/>
      <c r="R79" s="1752"/>
      <c r="S79" s="1752"/>
      <c r="T79" s="1752"/>
      <c r="U79" s="1752"/>
      <c r="V79" s="1752"/>
    </row>
    <row r="80" spans="1:22" ht="13.2">
      <c r="A80" s="3836" t="s">
        <v>389</v>
      </c>
      <c r="B80" s="3837"/>
      <c r="C80" s="956"/>
      <c r="D80" s="956" t="s">
        <v>390</v>
      </c>
      <c r="E80" s="357" t="s">
        <v>391</v>
      </c>
      <c r="F80" s="40"/>
      <c r="G80" s="40"/>
      <c r="H80" s="965"/>
      <c r="I80" s="302"/>
      <c r="J80" s="1752"/>
      <c r="K80" s="3890"/>
      <c r="L80" s="3868"/>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149194</v>
      </c>
      <c r="D81" s="360"/>
      <c r="E81" s="361"/>
      <c r="F81" s="40"/>
      <c r="G81" s="40"/>
      <c r="H81" s="965"/>
      <c r="I81" s="302"/>
      <c r="J81" s="1752"/>
      <c r="K81" s="2515">
        <f>K79+1</f>
        <v>7</v>
      </c>
      <c r="L81" s="3866" t="s">
        <v>2160</v>
      </c>
      <c r="M81" s="3867"/>
      <c r="N81" s="1175"/>
      <c r="O81" s="1176" t="e">
        <f ca="1">ROUND(O79*10000/'数据-汇总表'!E3,0)</f>
        <v>#VALUE!</v>
      </c>
      <c r="P81" s="1177"/>
      <c r="Q81" s="1752"/>
      <c r="R81" s="1752"/>
      <c r="S81" s="1752"/>
      <c r="T81" s="1752"/>
      <c r="U81" s="1752"/>
      <c r="V81" s="1752"/>
    </row>
    <row r="82" spans="1:26" ht="13.8" thickTop="1">
      <c r="A82" s="362" t="s">
        <v>1353</v>
      </c>
      <c r="B82" s="363" t="s">
        <v>393</v>
      </c>
      <c r="C82" s="364">
        <f ca="1">D63</f>
        <v>156654</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82"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82"/>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149194</v>
      </c>
      <c r="D85" s="365" t="s">
        <v>13</v>
      </c>
      <c r="E85" s="366"/>
      <c r="F85" s="40"/>
      <c r="G85" s="40"/>
      <c r="H85" s="965"/>
      <c r="I85" s="302"/>
      <c r="J85" s="1752"/>
      <c r="K85" s="3882"/>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8206</v>
      </c>
      <c r="D86" s="376">
        <f>'数据-取费表'!B41</f>
        <v>5.5000000000000007E-2</v>
      </c>
      <c r="E86" s="377"/>
      <c r="F86" s="40"/>
      <c r="G86" s="40"/>
      <c r="H86" s="965"/>
      <c r="I86" s="302"/>
      <c r="J86" s="1752"/>
      <c r="K86" s="3882"/>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82"/>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61" t="s">
        <v>398</v>
      </c>
      <c r="B88" s="3862"/>
      <c r="C88" s="3862"/>
      <c r="D88" s="3862"/>
      <c r="E88" s="3862"/>
      <c r="F88" s="3862"/>
      <c r="G88" s="3862"/>
      <c r="H88" s="3862"/>
      <c r="I88" s="1184"/>
      <c r="J88" s="1760"/>
      <c r="K88" s="3882"/>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36" t="s">
        <v>389</v>
      </c>
      <c r="B89" s="3837"/>
      <c r="C89" s="956"/>
      <c r="D89" s="956" t="s">
        <v>390</v>
      </c>
      <c r="E89" s="378" t="s">
        <v>399</v>
      </c>
      <c r="F89" s="379"/>
      <c r="G89" s="379"/>
      <c r="H89" s="380"/>
      <c r="I89" s="1185"/>
      <c r="J89" s="1762"/>
      <c r="K89" s="3882"/>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149194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746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8" t="s">
        <v>407</v>
      </c>
      <c r="F94" s="3817"/>
      <c r="G94" s="3817"/>
      <c r="H94" s="3860"/>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746</v>
      </c>
      <c r="D96" s="393">
        <f>'数据-取费表'!B43</f>
        <v>5.000000000000001E-3</v>
      </c>
      <c r="E96" s="3852" t="s">
        <v>1780</v>
      </c>
      <c r="F96" s="3853"/>
      <c r="G96" s="3853"/>
      <c r="H96" s="385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148448</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198.99195710455763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88808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61" t="s">
        <v>414</v>
      </c>
      <c r="B101" s="3862"/>
      <c r="C101" s="3862"/>
      <c r="D101" s="3862"/>
      <c r="E101" s="3862"/>
      <c r="F101" s="3862"/>
      <c r="G101" s="3862"/>
      <c r="H101" s="3862"/>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36" t="s">
        <v>389</v>
      </c>
      <c r="B102" s="383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149194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746</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12" t="s">
        <v>2252</v>
      </c>
      <c r="H108" s="3813"/>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5" t="s">
        <v>422</v>
      </c>
      <c r="F109" s="3853"/>
      <c r="G109" s="385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55" t="s">
        <v>424</v>
      </c>
      <c r="F110" s="3853"/>
      <c r="G110" s="3853"/>
      <c r="H110" s="3854"/>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746</v>
      </c>
      <c r="D111" s="393">
        <f>'数据-取费表'!B43</f>
        <v>5.000000000000001E-3</v>
      </c>
      <c r="E111" s="3852" t="s">
        <v>1780</v>
      </c>
      <c r="F111" s="3853"/>
      <c r="G111" s="3853"/>
      <c r="H111" s="385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5" t="s">
        <v>1799</v>
      </c>
      <c r="F112" s="3853"/>
      <c r="G112" s="3853"/>
      <c r="H112" s="385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148448</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198.99195710455763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88808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23" t="str">
        <f>项目基本情况!B1</f>
        <v>北京市划拨国有建设用地使用权市场价格预评估</v>
      </c>
      <c r="C37" s="3723"/>
      <c r="D37" s="3723"/>
      <c r="E37" s="3723"/>
      <c r="F37" s="3723"/>
      <c r="G37" s="3723"/>
      <c r="H37" s="3723"/>
      <c r="I37" s="3723"/>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6852</v>
      </c>
      <c r="D16" s="2324">
        <f ca="1">IF(B1="",'数据-汇总表'!E3,INDIRECT("'数据-取费表'!K"&amp;$K$1)+INDIRECT("'数据-取费表'!S"&amp;$K$1))</f>
        <v>370379.14</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6852</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370379.14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-1.4100000000325963E-2</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6852</v>
      </c>
      <c r="D22" s="2324">
        <f ca="1">IF(B1="",'数据-汇总表'!E6,IF(INDIRECT("'数据-取费表'!c"&amp;$K$1)="住宅",INDIRECT("'数据-取费表'!s"&amp;$K$1),INDIRECT("'数据-取费表'!k"&amp;$K$1)+INDIRECT("'数据-取费表'!s"&amp;$K$1)))</f>
        <v>370379.14</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137</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6988.9858999999997</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6988.9858999999997</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6852</v>
      </c>
      <c r="D16" s="437">
        <f ca="1">IF(B1="",'数据-汇总表'!E3,INDIRECT("'数据-取费表'!K"&amp;$K$1)+INDIRECT("'数据-取费表'!S"&amp;$K$1))</f>
        <v>370379.14</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6852</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137</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60</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2299</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2300</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94" t="s">
        <v>1394</v>
      </c>
      <c r="B24" s="3895"/>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94" t="s">
        <v>2297</v>
      </c>
      <c r="B25" s="3895"/>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94" t="s">
        <v>2298</v>
      </c>
      <c r="B26" s="3895"/>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6" t="s">
        <v>2296</v>
      </c>
      <c r="B27" s="3897"/>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05" t="s">
        <v>471</v>
      </c>
      <c r="D6" s="3906"/>
      <c r="E6" s="3905" t="s">
        <v>472</v>
      </c>
      <c r="F6" s="3906"/>
      <c r="G6" s="3905" t="s">
        <v>473</v>
      </c>
      <c r="H6" s="3906"/>
      <c r="I6" s="3905" t="s">
        <v>474</v>
      </c>
      <c r="J6" s="3906"/>
      <c r="K6" s="484" t="s">
        <v>475</v>
      </c>
      <c r="L6" s="1856"/>
      <c r="M6" s="1855"/>
      <c r="N6" s="1855"/>
      <c r="O6" s="1857"/>
      <c r="P6" s="3907" t="s">
        <v>476</v>
      </c>
      <c r="Q6" s="3908"/>
      <c r="R6" s="3913" t="s">
        <v>472</v>
      </c>
      <c r="S6" s="3914"/>
      <c r="T6" s="3913" t="s">
        <v>473</v>
      </c>
      <c r="U6" s="3914"/>
      <c r="V6" s="3900" t="s">
        <v>474</v>
      </c>
      <c r="W6" s="3900"/>
      <c r="X6" s="1380"/>
      <c r="Y6" s="3913" t="s">
        <v>476</v>
      </c>
      <c r="Z6" s="3914"/>
      <c r="AA6" s="3902" t="s">
        <v>472</v>
      </c>
      <c r="AB6" s="3903" t="s">
        <v>473</v>
      </c>
      <c r="AC6" s="3902" t="s">
        <v>474</v>
      </c>
    </row>
    <row r="7" spans="1:30" ht="21">
      <c r="A7" s="485"/>
      <c r="B7" s="486"/>
      <c r="C7" s="3921" t="s">
        <v>2192</v>
      </c>
      <c r="D7" s="3922"/>
      <c r="E7" s="3921" t="s">
        <v>2193</v>
      </c>
      <c r="F7" s="3922"/>
      <c r="G7" s="3921" t="s">
        <v>2194</v>
      </c>
      <c r="H7" s="3922"/>
      <c r="I7" s="3921" t="s">
        <v>2195</v>
      </c>
      <c r="J7" s="3922"/>
      <c r="K7" s="484"/>
      <c r="L7" s="1856"/>
      <c r="M7" s="1855"/>
      <c r="N7" s="1855"/>
      <c r="O7" s="1857"/>
      <c r="P7" s="3909"/>
      <c r="Q7" s="3910"/>
      <c r="R7" s="3915"/>
      <c r="S7" s="3916"/>
      <c r="T7" s="3915"/>
      <c r="U7" s="3916"/>
      <c r="V7" s="3900"/>
      <c r="W7" s="3900"/>
      <c r="X7" s="1380"/>
      <c r="Y7" s="3915"/>
      <c r="Z7" s="3916"/>
      <c r="AA7" s="3903"/>
      <c r="AB7" s="3903"/>
      <c r="AC7" s="3903"/>
    </row>
    <row r="8" spans="1:30" ht="21.6" thickBot="1">
      <c r="A8" s="485"/>
      <c r="B8" s="486"/>
      <c r="C8" s="3923" t="s">
        <v>2196</v>
      </c>
      <c r="D8" s="3924"/>
      <c r="E8" s="3923" t="s">
        <v>2196</v>
      </c>
      <c r="F8" s="3924"/>
      <c r="G8" s="3919" t="s">
        <v>2196</v>
      </c>
      <c r="H8" s="3920"/>
      <c r="I8" s="3919" t="s">
        <v>2196</v>
      </c>
      <c r="J8" s="3920"/>
      <c r="K8" s="484" t="s">
        <v>477</v>
      </c>
      <c r="L8" s="1856"/>
      <c r="M8" s="1855"/>
      <c r="N8" s="1855"/>
      <c r="O8" s="1857"/>
      <c r="P8" s="3911"/>
      <c r="Q8" s="3912"/>
      <c r="R8" s="3915"/>
      <c r="S8" s="3916"/>
      <c r="T8" s="3917"/>
      <c r="U8" s="3918"/>
      <c r="V8" s="3900"/>
      <c r="W8" s="3900"/>
      <c r="X8" s="1380"/>
      <c r="Y8" s="3917"/>
      <c r="Z8" s="3918"/>
      <c r="AA8" s="3904"/>
      <c r="AB8" s="3904"/>
      <c r="AC8" s="3904"/>
    </row>
    <row r="9" spans="1:30" s="1118" customFormat="1" ht="21.6"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29" t="s">
        <v>479</v>
      </c>
      <c r="Q9" s="3931"/>
      <c r="R9" s="1381" t="s">
        <v>5</v>
      </c>
      <c r="S9" s="1382">
        <f t="shared" ref="S9:S17" si="0">F9</f>
        <v>0</v>
      </c>
      <c r="T9" s="1381" t="s">
        <v>5</v>
      </c>
      <c r="U9" s="1382">
        <f t="shared" ref="U9:U17" si="1">H9</f>
        <v>0</v>
      </c>
      <c r="V9" s="1381" t="s">
        <v>5</v>
      </c>
      <c r="W9" s="1382">
        <f t="shared" ref="W9:W17" si="2">J9</f>
        <v>0</v>
      </c>
      <c r="X9" s="1383"/>
      <c r="Y9" s="3929" t="s">
        <v>479</v>
      </c>
      <c r="Z9" s="3930"/>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29" t="s">
        <v>482</v>
      </c>
      <c r="Q10" s="3930"/>
      <c r="R10" s="1381" t="s">
        <v>5</v>
      </c>
      <c r="S10" s="1382">
        <f t="shared" si="0"/>
        <v>0</v>
      </c>
      <c r="T10" s="1381" t="s">
        <v>5</v>
      </c>
      <c r="U10" s="1382">
        <f t="shared" si="1"/>
        <v>0</v>
      </c>
      <c r="V10" s="1381" t="s">
        <v>5</v>
      </c>
      <c r="W10" s="1382">
        <f t="shared" si="2"/>
        <v>0</v>
      </c>
      <c r="X10" s="1383"/>
      <c r="Y10" s="3929" t="s">
        <v>482</v>
      </c>
      <c r="Z10" s="3930"/>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9" t="s">
        <v>484</v>
      </c>
      <c r="Q11" s="1050" t="str">
        <f t="shared" ref="Q11:Q17" si="6">B11</f>
        <v>用途</v>
      </c>
      <c r="R11" s="1381" t="s">
        <v>5</v>
      </c>
      <c r="S11" s="1382">
        <f t="shared" si="0"/>
        <v>100</v>
      </c>
      <c r="T11" s="1381" t="s">
        <v>5</v>
      </c>
      <c r="U11" s="1382">
        <f t="shared" si="1"/>
        <v>100</v>
      </c>
      <c r="V11" s="1381" t="s">
        <v>5</v>
      </c>
      <c r="W11" s="1382">
        <f t="shared" si="2"/>
        <v>100</v>
      </c>
      <c r="X11" s="1383"/>
      <c r="Y11" s="3843"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9"/>
      <c r="Q12" s="1050" t="str">
        <f t="shared" si="6"/>
        <v>土地使用年限（年）</v>
      </c>
      <c r="R12" s="1381" t="s">
        <v>5</v>
      </c>
      <c r="S12" s="1382">
        <f t="shared" si="0"/>
        <v>100</v>
      </c>
      <c r="T12" s="1381" t="s">
        <v>5</v>
      </c>
      <c r="U12" s="1382">
        <f t="shared" si="1"/>
        <v>100</v>
      </c>
      <c r="V12" s="1381" t="s">
        <v>5</v>
      </c>
      <c r="W12" s="1382">
        <f t="shared" si="2"/>
        <v>100</v>
      </c>
      <c r="X12" s="1383"/>
      <c r="Y12" s="3843"/>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9"/>
      <c r="Q13" s="1050" t="str">
        <f t="shared" si="6"/>
        <v>容积率</v>
      </c>
      <c r="R13" s="1381" t="s">
        <v>5</v>
      </c>
      <c r="S13" s="1382" t="e">
        <f t="shared" si="0"/>
        <v>#N/A</v>
      </c>
      <c r="T13" s="1381" t="s">
        <v>5</v>
      </c>
      <c r="U13" s="1382" t="e">
        <f t="shared" si="1"/>
        <v>#N/A</v>
      </c>
      <c r="V13" s="1381" t="s">
        <v>5</v>
      </c>
      <c r="W13" s="1382" t="e">
        <f t="shared" si="2"/>
        <v>#N/A</v>
      </c>
      <c r="X13" s="1383"/>
      <c r="Y13" s="3843"/>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9"/>
      <c r="Q14" s="1050" t="str">
        <f t="shared" si="6"/>
        <v>配建</v>
      </c>
      <c r="R14" s="1381" t="s">
        <v>5</v>
      </c>
      <c r="S14" s="1382">
        <f t="shared" si="0"/>
        <v>100</v>
      </c>
      <c r="T14" s="1381" t="s">
        <v>5</v>
      </c>
      <c r="U14" s="1382">
        <f t="shared" si="1"/>
        <v>100</v>
      </c>
      <c r="V14" s="1381" t="s">
        <v>5</v>
      </c>
      <c r="W14" s="1382">
        <f t="shared" si="2"/>
        <v>100</v>
      </c>
      <c r="X14" s="1383"/>
      <c r="Y14" s="3843"/>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9"/>
      <c r="Q15" s="1050">
        <f t="shared" si="6"/>
        <v>111</v>
      </c>
      <c r="R15" s="1381" t="s">
        <v>5</v>
      </c>
      <c r="S15" s="1382">
        <f t="shared" si="0"/>
        <v>100</v>
      </c>
      <c r="T15" s="1381" t="s">
        <v>5</v>
      </c>
      <c r="U15" s="1382">
        <f t="shared" si="1"/>
        <v>100</v>
      </c>
      <c r="V15" s="1381" t="s">
        <v>5</v>
      </c>
      <c r="W15" s="1382">
        <f t="shared" si="2"/>
        <v>100</v>
      </c>
      <c r="X15" s="1383"/>
      <c r="Y15" s="3843"/>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9"/>
      <c r="Q16" s="1050">
        <f t="shared" si="6"/>
        <v>111</v>
      </c>
      <c r="R16" s="1381" t="s">
        <v>5</v>
      </c>
      <c r="S16" s="1382">
        <f t="shared" si="0"/>
        <v>100</v>
      </c>
      <c r="T16" s="1381" t="s">
        <v>5</v>
      </c>
      <c r="U16" s="1382">
        <f t="shared" si="1"/>
        <v>100</v>
      </c>
      <c r="V16" s="1381" t="s">
        <v>5</v>
      </c>
      <c r="W16" s="1382">
        <f t="shared" si="2"/>
        <v>100</v>
      </c>
      <c r="X16" s="1383"/>
      <c r="Y16" s="3843"/>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32" t="s">
        <v>489</v>
      </c>
      <c r="Q17" s="1385" t="str">
        <f t="shared" si="6"/>
        <v>居住社区成熟度</v>
      </c>
      <c r="R17" s="1386" t="s">
        <v>5</v>
      </c>
      <c r="S17" s="1387">
        <f t="shared" si="0"/>
        <v>100</v>
      </c>
      <c r="T17" s="1386" t="s">
        <v>5</v>
      </c>
      <c r="U17" s="1387">
        <f t="shared" si="1"/>
        <v>100</v>
      </c>
      <c r="V17" s="1386" t="s">
        <v>5</v>
      </c>
      <c r="W17" s="1387">
        <f t="shared" si="2"/>
        <v>100</v>
      </c>
      <c r="X17" s="1380"/>
      <c r="Y17" s="3932"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33"/>
      <c r="Q18" s="1385"/>
      <c r="R18" s="1386"/>
      <c r="S18" s="1387"/>
      <c r="T18" s="1386"/>
      <c r="U18" s="1387"/>
      <c r="V18" s="1386"/>
      <c r="W18" s="1387"/>
      <c r="X18" s="1380"/>
      <c r="Y18" s="3933"/>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33"/>
      <c r="Q19" s="1385" t="str">
        <f>B19</f>
        <v>商业繁华度</v>
      </c>
      <c r="R19" s="1386" t="s">
        <v>5</v>
      </c>
      <c r="S19" s="1387">
        <f>F19</f>
        <v>100</v>
      </c>
      <c r="T19" s="1386" t="s">
        <v>5</v>
      </c>
      <c r="U19" s="1387">
        <f>H19</f>
        <v>100</v>
      </c>
      <c r="V19" s="1386" t="s">
        <v>5</v>
      </c>
      <c r="W19" s="1387">
        <f>J19</f>
        <v>100</v>
      </c>
      <c r="X19" s="1380"/>
      <c r="Y19" s="3933"/>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33"/>
      <c r="Q20" s="1385"/>
      <c r="R20" s="1386"/>
      <c r="S20" s="1387"/>
      <c r="T20" s="1386"/>
      <c r="U20" s="1387"/>
      <c r="V20" s="1386"/>
      <c r="W20" s="1387"/>
      <c r="X20" s="1380"/>
      <c r="Y20" s="3933"/>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33"/>
      <c r="Q21" s="1385" t="str">
        <f>B21</f>
        <v>办公集聚程度</v>
      </c>
      <c r="R21" s="1386" t="s">
        <v>5</v>
      </c>
      <c r="S21" s="1387">
        <f>F21</f>
        <v>100</v>
      </c>
      <c r="T21" s="1386" t="s">
        <v>5</v>
      </c>
      <c r="U21" s="1387">
        <f>H21</f>
        <v>100</v>
      </c>
      <c r="V21" s="1386" t="s">
        <v>5</v>
      </c>
      <c r="W21" s="1387">
        <f>J21</f>
        <v>100</v>
      </c>
      <c r="X21" s="1380"/>
      <c r="Y21" s="3933"/>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33"/>
      <c r="Q22" s="1385"/>
      <c r="R22" s="1386"/>
      <c r="S22" s="1387"/>
      <c r="T22" s="1386"/>
      <c r="U22" s="1387"/>
      <c r="V22" s="1386"/>
      <c r="W22" s="1387"/>
      <c r="X22" s="1380"/>
      <c r="Y22" s="3933"/>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33"/>
      <c r="Q23" s="1385" t="str">
        <f>B23</f>
        <v>交通便捷度</v>
      </c>
      <c r="R23" s="1386" t="s">
        <v>5</v>
      </c>
      <c r="S23" s="1387">
        <f>F23</f>
        <v>100</v>
      </c>
      <c r="T23" s="1386" t="s">
        <v>5</v>
      </c>
      <c r="U23" s="1387">
        <f>H23</f>
        <v>100</v>
      </c>
      <c r="V23" s="1386" t="s">
        <v>5</v>
      </c>
      <c r="W23" s="1387">
        <f>J23</f>
        <v>100</v>
      </c>
      <c r="X23" s="1380"/>
      <c r="Y23" s="3933"/>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33"/>
      <c r="Q24" s="1385"/>
      <c r="R24" s="1386"/>
      <c r="S24" s="1387"/>
      <c r="T24" s="1386"/>
      <c r="U24" s="1387"/>
      <c r="V24" s="1386"/>
      <c r="W24" s="1387"/>
      <c r="X24" s="1380"/>
      <c r="Y24" s="3933"/>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33"/>
      <c r="Q25" s="1385" t="str">
        <f t="shared" ref="Q25:Q39" si="8">B25</f>
        <v>区域土地利用方向</v>
      </c>
      <c r="R25" s="1386" t="s">
        <v>5</v>
      </c>
      <c r="S25" s="1387">
        <f>F25</f>
        <v>100</v>
      </c>
      <c r="T25" s="1386" t="s">
        <v>5</v>
      </c>
      <c r="U25" s="1387">
        <f>H25</f>
        <v>100</v>
      </c>
      <c r="V25" s="1386" t="s">
        <v>5</v>
      </c>
      <c r="W25" s="1387">
        <f>J25</f>
        <v>100</v>
      </c>
      <c r="X25" s="1380"/>
      <c r="Y25" s="3933"/>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33"/>
      <c r="Q26" s="1385"/>
      <c r="R26" s="1386"/>
      <c r="S26" s="1387"/>
      <c r="T26" s="1386"/>
      <c r="U26" s="1387"/>
      <c r="V26" s="1386"/>
      <c r="W26" s="1387"/>
      <c r="X26" s="1380"/>
      <c r="Y26" s="3933"/>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33"/>
      <c r="Q27" s="1385" t="str">
        <f t="shared" si="8"/>
        <v>自然及人文环境状况</v>
      </c>
      <c r="R27" s="1386" t="s">
        <v>5</v>
      </c>
      <c r="S27" s="1387">
        <f>F27</f>
        <v>100</v>
      </c>
      <c r="T27" s="1386" t="s">
        <v>5</v>
      </c>
      <c r="U27" s="1387">
        <f>H27</f>
        <v>100</v>
      </c>
      <c r="V27" s="1386" t="s">
        <v>5</v>
      </c>
      <c r="W27" s="1387">
        <f>J27</f>
        <v>100</v>
      </c>
      <c r="X27" s="1380"/>
      <c r="Y27" s="3933"/>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33"/>
      <c r="Q28" s="1385"/>
      <c r="R28" s="1386"/>
      <c r="S28" s="1387"/>
      <c r="T28" s="1386"/>
      <c r="U28" s="1387"/>
      <c r="V28" s="1386"/>
      <c r="W28" s="1387"/>
      <c r="X28" s="1380"/>
      <c r="Y28" s="3933"/>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33"/>
      <c r="Q29" s="1050" t="str">
        <f t="shared" si="8"/>
        <v>公共配套设施</v>
      </c>
      <c r="R29" s="1381" t="s">
        <v>5</v>
      </c>
      <c r="S29" s="1382">
        <f>F29</f>
        <v>100</v>
      </c>
      <c r="T29" s="1381" t="s">
        <v>5</v>
      </c>
      <c r="U29" s="1382">
        <f>H29</f>
        <v>100</v>
      </c>
      <c r="V29" s="1381" t="s">
        <v>5</v>
      </c>
      <c r="W29" s="1382">
        <f>J29</f>
        <v>100</v>
      </c>
      <c r="X29" s="1383"/>
      <c r="Y29" s="3933"/>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33"/>
      <c r="Q30" s="1050"/>
      <c r="R30" s="1381"/>
      <c r="S30" s="1382"/>
      <c r="T30" s="1381"/>
      <c r="U30" s="1382"/>
      <c r="V30" s="1381"/>
      <c r="W30" s="1382"/>
      <c r="X30" s="1383"/>
      <c r="Y30" s="3933"/>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33"/>
      <c r="Q31" s="2192" t="str">
        <f>B31</f>
        <v>基础设施水平</v>
      </c>
      <c r="R31" s="1381" t="s">
        <v>5</v>
      </c>
      <c r="S31" s="1382">
        <f>F31</f>
        <v>100</v>
      </c>
      <c r="T31" s="1381" t="s">
        <v>5</v>
      </c>
      <c r="U31" s="1382">
        <f>H31</f>
        <v>100</v>
      </c>
      <c r="V31" s="1381" t="s">
        <v>5</v>
      </c>
      <c r="W31" s="1382">
        <f>J31</f>
        <v>100</v>
      </c>
      <c r="X31" s="1383"/>
      <c r="Y31" s="3933"/>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33"/>
      <c r="Q32" s="2192"/>
      <c r="R32" s="1381"/>
      <c r="S32" s="1382"/>
      <c r="T32" s="1381"/>
      <c r="U32" s="1382"/>
      <c r="V32" s="1381"/>
      <c r="W32" s="1382"/>
      <c r="X32" s="1383"/>
      <c r="Y32" s="3933"/>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3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33"/>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33"/>
      <c r="Q34" s="1385" t="str">
        <f t="shared" si="8"/>
        <v>毗邻道路的类型与等级</v>
      </c>
      <c r="R34" s="1386" t="s">
        <v>5</v>
      </c>
      <c r="S34" s="1387">
        <f t="shared" si="9"/>
        <v>100</v>
      </c>
      <c r="T34" s="1386" t="s">
        <v>5</v>
      </c>
      <c r="U34" s="1387">
        <f t="shared" si="10"/>
        <v>100</v>
      </c>
      <c r="V34" s="1386" t="s">
        <v>5</v>
      </c>
      <c r="W34" s="1387">
        <f t="shared" si="11"/>
        <v>100</v>
      </c>
      <c r="X34" s="1380"/>
      <c r="Y34" s="3933"/>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33"/>
      <c r="Q35" s="1385"/>
      <c r="R35" s="1386"/>
      <c r="S35" s="1387"/>
      <c r="T35" s="1386"/>
      <c r="U35" s="1387"/>
      <c r="V35" s="1386"/>
      <c r="W35" s="1387"/>
      <c r="X35" s="1380"/>
      <c r="Y35" s="3933"/>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33"/>
      <c r="Q36" s="1385" t="str">
        <f t="shared" si="8"/>
        <v>土地级别</v>
      </c>
      <c r="R36" s="1386" t="s">
        <v>5</v>
      </c>
      <c r="S36" s="1387">
        <f t="shared" si="9"/>
        <v>100</v>
      </c>
      <c r="T36" s="1386" t="s">
        <v>5</v>
      </c>
      <c r="U36" s="1387">
        <f t="shared" si="10"/>
        <v>100</v>
      </c>
      <c r="V36" s="1386" t="s">
        <v>5</v>
      </c>
      <c r="W36" s="1387">
        <f t="shared" si="11"/>
        <v>100</v>
      </c>
      <c r="X36" s="1380"/>
      <c r="Y36" s="3933"/>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33"/>
      <c r="Q37" s="1385">
        <f t="shared" si="8"/>
        <v>111</v>
      </c>
      <c r="R37" s="1386" t="s">
        <v>5</v>
      </c>
      <c r="S37" s="1387">
        <f t="shared" si="9"/>
        <v>100</v>
      </c>
      <c r="T37" s="1386" t="s">
        <v>5</v>
      </c>
      <c r="U37" s="1387">
        <f t="shared" si="10"/>
        <v>100</v>
      </c>
      <c r="V37" s="1386" t="s">
        <v>5</v>
      </c>
      <c r="W37" s="1387">
        <f t="shared" si="11"/>
        <v>100</v>
      </c>
      <c r="X37" s="1380"/>
      <c r="Y37" s="3933"/>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34" t="s">
        <v>499</v>
      </c>
      <c r="Q38" s="1385">
        <f t="shared" si="8"/>
        <v>111</v>
      </c>
      <c r="R38" s="1386" t="s">
        <v>5</v>
      </c>
      <c r="S38" s="1387">
        <f t="shared" si="9"/>
        <v>100</v>
      </c>
      <c r="T38" s="1386" t="s">
        <v>5</v>
      </c>
      <c r="U38" s="1387">
        <f t="shared" si="10"/>
        <v>100</v>
      </c>
      <c r="V38" s="1386" t="s">
        <v>5</v>
      </c>
      <c r="W38" s="1387">
        <f t="shared" si="11"/>
        <v>100</v>
      </c>
      <c r="X38" s="1380"/>
      <c r="Y38" s="3935"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35"/>
      <c r="Q39" s="1385">
        <f t="shared" si="8"/>
        <v>111</v>
      </c>
      <c r="R39" s="1390" t="s">
        <v>5</v>
      </c>
      <c r="S39" s="1391">
        <f t="shared" si="9"/>
        <v>100</v>
      </c>
      <c r="T39" s="1390" t="s">
        <v>5</v>
      </c>
      <c r="U39" s="1391">
        <f t="shared" si="10"/>
        <v>100</v>
      </c>
      <c r="V39" s="1390" t="s">
        <v>5</v>
      </c>
      <c r="W39" s="1391">
        <f t="shared" si="11"/>
        <v>100</v>
      </c>
      <c r="X39" s="1392"/>
      <c r="Y39" s="3935"/>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35"/>
      <c r="Q40" s="1385" t="str">
        <f>B40</f>
        <v>宗地面积</v>
      </c>
      <c r="R40" s="1386" t="s">
        <v>5</v>
      </c>
      <c r="S40" s="1387" t="e">
        <f t="shared" si="9"/>
        <v>#N/A</v>
      </c>
      <c r="T40" s="1386" t="s">
        <v>5</v>
      </c>
      <c r="U40" s="1387" t="e">
        <f t="shared" si="10"/>
        <v>#N/A</v>
      </c>
      <c r="V40" s="1386" t="s">
        <v>5</v>
      </c>
      <c r="W40" s="1387" t="e">
        <f t="shared" si="11"/>
        <v>#N/A</v>
      </c>
      <c r="X40" s="1380"/>
      <c r="Y40" s="3935"/>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35"/>
      <c r="Q41" s="1385" t="str">
        <f t="shared" ref="Q41:Q47" si="13">B41</f>
        <v>宗地形状</v>
      </c>
      <c r="R41" s="1386" t="s">
        <v>5</v>
      </c>
      <c r="S41" s="1387">
        <f t="shared" si="9"/>
        <v>100</v>
      </c>
      <c r="T41" s="1386" t="s">
        <v>5</v>
      </c>
      <c r="U41" s="1387">
        <f t="shared" si="10"/>
        <v>100</v>
      </c>
      <c r="V41" s="1386" t="s">
        <v>5</v>
      </c>
      <c r="W41" s="1387">
        <f t="shared" si="11"/>
        <v>100</v>
      </c>
      <c r="X41" s="1380"/>
      <c r="Y41" s="3935"/>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35"/>
      <c r="Q42" s="1385" t="str">
        <f t="shared" si="13"/>
        <v>临街宽度及深度</v>
      </c>
      <c r="R42" s="1386" t="s">
        <v>5</v>
      </c>
      <c r="S42" s="1387">
        <f t="shared" si="9"/>
        <v>100</v>
      </c>
      <c r="T42" s="1386" t="s">
        <v>5</v>
      </c>
      <c r="U42" s="1387">
        <f t="shared" si="10"/>
        <v>100</v>
      </c>
      <c r="V42" s="1386" t="s">
        <v>5</v>
      </c>
      <c r="W42" s="1387">
        <f t="shared" si="11"/>
        <v>100</v>
      </c>
      <c r="X42" s="1380"/>
      <c r="Y42" s="3935"/>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35"/>
      <c r="Q43" s="1385" t="str">
        <f t="shared" si="13"/>
        <v>宗地开发程度</v>
      </c>
      <c r="R43" s="1381" t="s">
        <v>5</v>
      </c>
      <c r="S43" s="1382">
        <f t="shared" si="9"/>
        <v>100</v>
      </c>
      <c r="T43" s="1381" t="s">
        <v>5</v>
      </c>
      <c r="U43" s="1382">
        <f t="shared" si="10"/>
        <v>100</v>
      </c>
      <c r="V43" s="1381" t="s">
        <v>5</v>
      </c>
      <c r="W43" s="1382">
        <f t="shared" si="11"/>
        <v>100</v>
      </c>
      <c r="X43" s="1383"/>
      <c r="Y43" s="3935"/>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35" t="s">
        <v>499</v>
      </c>
      <c r="Q44" s="1385" t="str">
        <f t="shared" si="13"/>
        <v>工程地质条件</v>
      </c>
      <c r="R44" s="1386" t="s">
        <v>5</v>
      </c>
      <c r="S44" s="1387">
        <f t="shared" si="9"/>
        <v>100</v>
      </c>
      <c r="T44" s="1386" t="s">
        <v>5</v>
      </c>
      <c r="U44" s="1387">
        <f t="shared" si="10"/>
        <v>100</v>
      </c>
      <c r="V44" s="1386" t="s">
        <v>5</v>
      </c>
      <c r="W44" s="1387">
        <f t="shared" si="11"/>
        <v>100</v>
      </c>
      <c r="X44" s="1380"/>
      <c r="Y44" s="3935"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35"/>
      <c r="Q45" s="1385">
        <f t="shared" si="13"/>
        <v>111</v>
      </c>
      <c r="R45" s="1386" t="s">
        <v>5</v>
      </c>
      <c r="S45" s="1387">
        <f t="shared" si="9"/>
        <v>100</v>
      </c>
      <c r="T45" s="1386" t="s">
        <v>5</v>
      </c>
      <c r="U45" s="1387">
        <f t="shared" si="10"/>
        <v>100</v>
      </c>
      <c r="V45" s="1386" t="s">
        <v>5</v>
      </c>
      <c r="W45" s="1387">
        <f t="shared" si="11"/>
        <v>100</v>
      </c>
      <c r="X45" s="1380"/>
      <c r="Y45" s="3935"/>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35"/>
      <c r="Q46" s="1385">
        <f t="shared" si="13"/>
        <v>111</v>
      </c>
      <c r="R46" s="1386" t="s">
        <v>5</v>
      </c>
      <c r="S46" s="1387">
        <f t="shared" si="9"/>
        <v>100</v>
      </c>
      <c r="T46" s="1386" t="s">
        <v>5</v>
      </c>
      <c r="U46" s="1387">
        <f t="shared" si="10"/>
        <v>100</v>
      </c>
      <c r="V46" s="1386" t="s">
        <v>5</v>
      </c>
      <c r="W46" s="1387">
        <f t="shared" si="11"/>
        <v>100</v>
      </c>
      <c r="X46" s="1380"/>
      <c r="Y46" s="3935"/>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35"/>
      <c r="Q47" s="1385">
        <f t="shared" si="13"/>
        <v>111</v>
      </c>
      <c r="R47" s="1390" t="s">
        <v>5</v>
      </c>
      <c r="S47" s="1391">
        <f t="shared" si="9"/>
        <v>100</v>
      </c>
      <c r="T47" s="1390" t="s">
        <v>5</v>
      </c>
      <c r="U47" s="1391">
        <f t="shared" si="10"/>
        <v>100</v>
      </c>
      <c r="V47" s="1390" t="s">
        <v>5</v>
      </c>
      <c r="W47" s="1391">
        <f t="shared" si="11"/>
        <v>100</v>
      </c>
      <c r="X47" s="1392"/>
      <c r="Y47" s="3935"/>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99" t="str">
        <f>A48</f>
        <v>成交单价</v>
      </c>
      <c r="Q48" s="3899"/>
      <c r="R48" s="3900">
        <f>E48</f>
        <v>0</v>
      </c>
      <c r="S48" s="3900"/>
      <c r="T48" s="3900">
        <f>G48</f>
        <v>0</v>
      </c>
      <c r="U48" s="3900"/>
      <c r="V48" s="3900">
        <f>I48</f>
        <v>0</v>
      </c>
      <c r="W48" s="3900"/>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99" t="str">
        <f>A49</f>
        <v>比较价格（元/平方米）</v>
      </c>
      <c r="Q49" s="3899"/>
      <c r="R49" s="3901" t="e">
        <f>ROUND(PRODUCT(R48,AA9:AA47),0)</f>
        <v>#DIV/0!</v>
      </c>
      <c r="S49" s="3901"/>
      <c r="T49" s="3901" t="e">
        <f>ROUND(PRODUCT(T48,AB9:AB47),0)</f>
        <v>#DIV/0!</v>
      </c>
      <c r="U49" s="3901"/>
      <c r="V49" s="3901" t="e">
        <f>ROUND(PRODUCT(V48,AC9:AC47),0)</f>
        <v>#DIV/0!</v>
      </c>
      <c r="W49" s="3901"/>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36" t="str">
        <f>A50</f>
        <v>估价对象XX用房的比较价格（楼面单价，元/平方米）</v>
      </c>
      <c r="Q50" s="3937"/>
      <c r="R50" s="3898" t="e">
        <f>ROUND(IF(D49="简单平均",AVERAGE(R49:W49),R49*F49+T49*H49+V49*J49),0)</f>
        <v>#DIV/0!</v>
      </c>
      <c r="S50" s="3898"/>
      <c r="T50" s="3898"/>
      <c r="U50" s="3898"/>
      <c r="V50" s="3898"/>
      <c r="W50" s="3898"/>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25" t="s">
        <v>1639</v>
      </c>
      <c r="H57" s="3926"/>
      <c r="I57" s="1372" t="s">
        <v>1251</v>
      </c>
      <c r="J57" s="1372" t="str">
        <f>项目基本情况!F41</f>
        <v>昌平区北七家八仙庄</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370379.14</v>
      </c>
      <c r="F58" s="604" t="e">
        <f t="shared" ref="F58:F66" si="14">ROUND(B58*E58/10000,0)</f>
        <v>#DIV/0!</v>
      </c>
      <c r="G58" s="3927"/>
      <c r="H58" s="3928"/>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370379.14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2" zoomScale="80" zoomScaleNormal="50" zoomScaleSheetLayoutView="80" workbookViewId="0">
      <selection activeCell="J9" sqref="J9"/>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174337</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4707</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4707</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314</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05" t="s">
        <v>471</v>
      </c>
      <c r="D6" s="3906"/>
      <c r="E6" s="3941" t="s">
        <v>472</v>
      </c>
      <c r="F6" s="3942"/>
      <c r="G6" s="3905" t="s">
        <v>473</v>
      </c>
      <c r="H6" s="3906"/>
      <c r="I6" s="3905" t="s">
        <v>474</v>
      </c>
      <c r="J6" s="3906"/>
      <c r="K6" s="484" t="s">
        <v>475</v>
      </c>
      <c r="L6" s="1856"/>
      <c r="M6" s="1857"/>
      <c r="N6" s="1857"/>
      <c r="O6" s="1857"/>
      <c r="P6" s="3907" t="s">
        <v>476</v>
      </c>
      <c r="Q6" s="3908"/>
      <c r="R6" s="3913" t="s">
        <v>472</v>
      </c>
      <c r="S6" s="3914"/>
      <c r="T6" s="3913" t="s">
        <v>473</v>
      </c>
      <c r="U6" s="3914"/>
      <c r="V6" s="3900" t="s">
        <v>474</v>
      </c>
      <c r="W6" s="3900"/>
      <c r="X6" s="1380"/>
      <c r="Y6" s="3913" t="s">
        <v>476</v>
      </c>
      <c r="Z6" s="3914"/>
      <c r="AA6" s="3902" t="s">
        <v>472</v>
      </c>
      <c r="AB6" s="3903" t="s">
        <v>473</v>
      </c>
      <c r="AC6" s="3902" t="s">
        <v>474</v>
      </c>
    </row>
    <row r="7" spans="1:29">
      <c r="A7" s="485"/>
      <c r="B7" s="486"/>
      <c r="C7" s="3938" t="s">
        <v>3380</v>
      </c>
      <c r="D7" s="3922"/>
      <c r="E7" s="3943" t="str">
        <f>'[2]比较法案例（ppt）'!B5</f>
        <v>北京金通资产经营管理公司</v>
      </c>
      <c r="F7" s="3944"/>
      <c r="G7" s="3921" t="str">
        <f>'[2]比较法案例（ppt）'!C5</f>
        <v>北方智能微机电集团有限公司</v>
      </c>
      <c r="H7" s="3922"/>
      <c r="I7" s="3921" t="str">
        <f>'[2]比较法案例（ppt）'!D5</f>
        <v>北京市通州区农业机械公司</v>
      </c>
      <c r="J7" s="3922"/>
      <c r="K7" s="484"/>
      <c r="L7" s="1856"/>
      <c r="M7" s="1857"/>
      <c r="N7" s="1857"/>
      <c r="O7" s="1857"/>
      <c r="P7" s="3909"/>
      <c r="Q7" s="3910"/>
      <c r="R7" s="3915"/>
      <c r="S7" s="3916"/>
      <c r="T7" s="3915"/>
      <c r="U7" s="3916"/>
      <c r="V7" s="3900"/>
      <c r="W7" s="3900"/>
      <c r="X7" s="1380"/>
      <c r="Y7" s="3915"/>
      <c r="Z7" s="3916"/>
      <c r="AA7" s="3903"/>
      <c r="AB7" s="3903"/>
      <c r="AC7" s="3903"/>
    </row>
    <row r="8" spans="1:29" ht="15" thickBot="1">
      <c r="A8" s="487"/>
      <c r="B8" s="488"/>
      <c r="C8" s="3919" t="s">
        <v>2196</v>
      </c>
      <c r="D8" s="3920"/>
      <c r="E8" s="3939" t="s">
        <v>2196</v>
      </c>
      <c r="F8" s="3940"/>
      <c r="G8" s="3919" t="s">
        <v>2196</v>
      </c>
      <c r="H8" s="3920"/>
      <c r="I8" s="3919" t="s">
        <v>2196</v>
      </c>
      <c r="J8" s="3920"/>
      <c r="K8" s="484" t="s">
        <v>477</v>
      </c>
      <c r="L8" s="1856"/>
      <c r="M8" s="1857"/>
      <c r="N8" s="1857"/>
      <c r="O8" s="1857"/>
      <c r="P8" s="3911"/>
      <c r="Q8" s="3912"/>
      <c r="R8" s="3915"/>
      <c r="S8" s="3916"/>
      <c r="T8" s="3917"/>
      <c r="U8" s="3918"/>
      <c r="V8" s="3900"/>
      <c r="W8" s="3900"/>
      <c r="X8" s="1380"/>
      <c r="Y8" s="3917"/>
      <c r="Z8" s="3918"/>
      <c r="AA8" s="3904"/>
      <c r="AB8" s="3904"/>
      <c r="AC8" s="3904"/>
    </row>
    <row r="9" spans="1:29" s="1118" customFormat="1" ht="15" thickBot="1">
      <c r="A9" s="2392"/>
      <c r="B9" s="2399" t="s">
        <v>478</v>
      </c>
      <c r="C9" s="489">
        <f>'数据-取费表'!B2</f>
        <v>45382</v>
      </c>
      <c r="D9" s="490">
        <v>100</v>
      </c>
      <c r="E9" s="491">
        <f>比较法案例!B8</f>
        <v>43525</v>
      </c>
      <c r="F9" s="492">
        <f>SUMIF(66:66,YEAR(E9)&amp;"-"&amp;INT((MONTH(E9)+2)/3),67:67)</f>
        <v>90</v>
      </c>
      <c r="G9" s="493">
        <f>比较法案例!C8</f>
        <v>43525</v>
      </c>
      <c r="H9" s="490">
        <f>SUMIF(66:66,YEAR(G9)&amp;"-"&amp;INT((MONTH(G9)+2)/3),67:67)</f>
        <v>90</v>
      </c>
      <c r="I9" s="493">
        <f>比较法案例!D8</f>
        <v>43983</v>
      </c>
      <c r="J9" s="490">
        <f>SUMIF(66:66,YEAR(I9)&amp;"-"&amp;INT((MONTH(I9)+2)/3),67:67)</f>
        <v>92.5</v>
      </c>
      <c r="K9" s="494"/>
      <c r="L9" s="1858"/>
      <c r="M9" s="1859"/>
      <c r="N9" s="1859"/>
      <c r="O9" s="1859"/>
      <c r="P9" s="3929" t="s">
        <v>479</v>
      </c>
      <c r="Q9" s="3931"/>
      <c r="R9" s="1381" t="s">
        <v>5</v>
      </c>
      <c r="S9" s="1382">
        <f t="shared" ref="S9:S17" si="0">F9</f>
        <v>90</v>
      </c>
      <c r="T9" s="1381" t="s">
        <v>5</v>
      </c>
      <c r="U9" s="1382">
        <f t="shared" ref="U9:U17" si="1">H9</f>
        <v>90</v>
      </c>
      <c r="V9" s="1381" t="s">
        <v>5</v>
      </c>
      <c r="W9" s="1382">
        <f t="shared" ref="W9:W17" si="2">J9</f>
        <v>92.5</v>
      </c>
      <c r="X9" s="1383"/>
      <c r="Y9" s="3929" t="s">
        <v>479</v>
      </c>
      <c r="Z9" s="3930"/>
      <c r="AA9" s="1384">
        <f>D9/F9</f>
        <v>1.1111111111111112</v>
      </c>
      <c r="AB9" s="1384">
        <f>D9/H9</f>
        <v>1.1111111111111112</v>
      </c>
      <c r="AC9" s="1384">
        <f>D9/J9</f>
        <v>1.0810810810810811</v>
      </c>
    </row>
    <row r="10" spans="1:29" s="1118" customFormat="1" ht="1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29" t="s">
        <v>482</v>
      </c>
      <c r="Q10" s="3930"/>
      <c r="R10" s="1381" t="s">
        <v>5</v>
      </c>
      <c r="S10" s="1382">
        <f t="shared" si="0"/>
        <v>100</v>
      </c>
      <c r="T10" s="1381" t="s">
        <v>5</v>
      </c>
      <c r="U10" s="1382">
        <f t="shared" si="1"/>
        <v>100</v>
      </c>
      <c r="V10" s="1381" t="s">
        <v>5</v>
      </c>
      <c r="W10" s="1382">
        <f t="shared" si="2"/>
        <v>100</v>
      </c>
      <c r="X10" s="1383"/>
      <c r="Y10" s="3929" t="s">
        <v>482</v>
      </c>
      <c r="Z10" s="3930"/>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9" t="s">
        <v>484</v>
      </c>
      <c r="Q11" s="1050" t="str">
        <f t="shared" ref="Q11:Q17" si="6">B11</f>
        <v>用途</v>
      </c>
      <c r="R11" s="1381" t="s">
        <v>5</v>
      </c>
      <c r="S11" s="1382">
        <f t="shared" si="0"/>
        <v>100</v>
      </c>
      <c r="T11" s="1381" t="s">
        <v>5</v>
      </c>
      <c r="U11" s="1382">
        <f t="shared" si="1"/>
        <v>100</v>
      </c>
      <c r="V11" s="1381" t="s">
        <v>5</v>
      </c>
      <c r="W11" s="1382">
        <f t="shared" si="2"/>
        <v>100</v>
      </c>
      <c r="X11" s="1383"/>
      <c r="Y11" s="3843" t="s">
        <v>485</v>
      </c>
      <c r="Z11" s="1049"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899"/>
      <c r="Q12" s="1050" t="str">
        <f t="shared" si="6"/>
        <v>土地使用年限（年）</v>
      </c>
      <c r="R12" s="1381" t="s">
        <v>5</v>
      </c>
      <c r="S12" s="1382">
        <f t="shared" si="0"/>
        <v>100</v>
      </c>
      <c r="T12" s="1381" t="s">
        <v>5</v>
      </c>
      <c r="U12" s="1382">
        <f t="shared" si="1"/>
        <v>100</v>
      </c>
      <c r="V12" s="1381" t="s">
        <v>5</v>
      </c>
      <c r="W12" s="1382">
        <f t="shared" si="2"/>
        <v>100</v>
      </c>
      <c r="X12" s="1383"/>
      <c r="Y12" s="3843"/>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9"/>
      <c r="Q13" s="1050" t="str">
        <f t="shared" si="6"/>
        <v>容积率</v>
      </c>
      <c r="R13" s="1381" t="s">
        <v>5</v>
      </c>
      <c r="S13" s="1382">
        <f t="shared" si="0"/>
        <v>100</v>
      </c>
      <c r="T13" s="1381" t="s">
        <v>5</v>
      </c>
      <c r="U13" s="1382">
        <f t="shared" si="1"/>
        <v>100</v>
      </c>
      <c r="V13" s="1381" t="s">
        <v>5</v>
      </c>
      <c r="W13" s="1382">
        <f t="shared" si="2"/>
        <v>100</v>
      </c>
      <c r="X13" s="1383"/>
      <c r="Y13" s="3843"/>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9"/>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9"/>
      <c r="Q15" s="1050">
        <f t="shared" si="6"/>
        <v>111</v>
      </c>
      <c r="R15" s="1381" t="s">
        <v>5</v>
      </c>
      <c r="S15" s="1382">
        <f t="shared" si="0"/>
        <v>100</v>
      </c>
      <c r="T15" s="1381" t="s">
        <v>5</v>
      </c>
      <c r="U15" s="1382">
        <f t="shared" si="1"/>
        <v>100</v>
      </c>
      <c r="V15" s="1381" t="s">
        <v>5</v>
      </c>
      <c r="W15" s="1382">
        <f t="shared" si="2"/>
        <v>100</v>
      </c>
      <c r="X15" s="1383"/>
      <c r="Y15" s="3843"/>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9"/>
      <c r="Q16" s="1050">
        <f t="shared" si="6"/>
        <v>111</v>
      </c>
      <c r="R16" s="1381" t="s">
        <v>5</v>
      </c>
      <c r="S16" s="1382">
        <f t="shared" si="0"/>
        <v>100</v>
      </c>
      <c r="T16" s="1381" t="s">
        <v>5</v>
      </c>
      <c r="U16" s="1382">
        <f t="shared" si="1"/>
        <v>100</v>
      </c>
      <c r="V16" s="1381" t="s">
        <v>5</v>
      </c>
      <c r="W16" s="1382">
        <f t="shared" si="2"/>
        <v>100</v>
      </c>
      <c r="X16" s="1383"/>
      <c r="Y16" s="3843"/>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32" t="s">
        <v>489</v>
      </c>
      <c r="Q17" s="1385" t="str">
        <f t="shared" si="6"/>
        <v>产业集聚程度</v>
      </c>
      <c r="R17" s="1386" t="s">
        <v>5</v>
      </c>
      <c r="S17" s="1387">
        <f t="shared" si="0"/>
        <v>100</v>
      </c>
      <c r="T17" s="1386" t="s">
        <v>5</v>
      </c>
      <c r="U17" s="1387">
        <f t="shared" si="1"/>
        <v>100</v>
      </c>
      <c r="V17" s="1386" t="s">
        <v>5</v>
      </c>
      <c r="W17" s="1387">
        <f t="shared" si="2"/>
        <v>100</v>
      </c>
      <c r="X17" s="1380"/>
      <c r="Y17" s="3932" t="s">
        <v>489</v>
      </c>
      <c r="Z17" s="1388" t="str">
        <f t="shared" si="7"/>
        <v>产业集聚程度</v>
      </c>
      <c r="AA17" s="1389">
        <f t="shared" si="3"/>
        <v>1</v>
      </c>
      <c r="AB17" s="1389">
        <f t="shared" si="4"/>
        <v>1</v>
      </c>
      <c r="AC17" s="1389">
        <f t="shared" si="5"/>
        <v>1</v>
      </c>
    </row>
    <row r="18" spans="1:29" ht="15">
      <c r="A18" s="502"/>
      <c r="B18" s="832"/>
      <c r="C18" s="3722" t="s">
        <v>3411</v>
      </c>
      <c r="D18" s="525"/>
      <c r="E18" s="524" t="s">
        <v>3383</v>
      </c>
      <c r="F18" s="525"/>
      <c r="G18" s="524" t="s">
        <v>3383</v>
      </c>
      <c r="H18" s="529"/>
      <c r="I18" s="524" t="s">
        <v>3383</v>
      </c>
      <c r="J18" s="525"/>
      <c r="K18" s="501"/>
      <c r="L18" s="1865"/>
      <c r="M18" s="1857"/>
      <c r="N18" s="1857"/>
      <c r="O18" s="1864"/>
      <c r="P18" s="3933"/>
      <c r="Q18" s="1385"/>
      <c r="R18" s="1386"/>
      <c r="S18" s="1387"/>
      <c r="T18" s="1386"/>
      <c r="U18" s="1387"/>
      <c r="V18" s="1386"/>
      <c r="W18" s="1387"/>
      <c r="X18" s="1380"/>
      <c r="Y18" s="3933"/>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33"/>
      <c r="Q19" s="1385" t="str">
        <f>B19</f>
        <v>交通便捷度</v>
      </c>
      <c r="R19" s="1386" t="s">
        <v>5</v>
      </c>
      <c r="S19" s="1387">
        <f>F19</f>
        <v>100</v>
      </c>
      <c r="T19" s="1386" t="s">
        <v>5</v>
      </c>
      <c r="U19" s="1387">
        <f>H19</f>
        <v>100</v>
      </c>
      <c r="V19" s="1386" t="s">
        <v>5</v>
      </c>
      <c r="W19" s="1387">
        <f>J19</f>
        <v>100</v>
      </c>
      <c r="X19" s="1380"/>
      <c r="Y19" s="3933"/>
      <c r="Z19" s="1388" t="str">
        <f>Q19</f>
        <v>交通便捷度</v>
      </c>
      <c r="AA19" s="1389">
        <f t="shared" si="3"/>
        <v>1</v>
      </c>
      <c r="AB19" s="1389">
        <f t="shared" si="4"/>
        <v>1</v>
      </c>
      <c r="AC19" s="1389">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33"/>
      <c r="Q20" s="1385"/>
      <c r="R20" s="1386"/>
      <c r="S20" s="1387"/>
      <c r="T20" s="1386"/>
      <c r="U20" s="1387"/>
      <c r="V20" s="1386"/>
      <c r="W20" s="1387"/>
      <c r="X20" s="1380"/>
      <c r="Y20" s="3933"/>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3"/>
      <c r="Q21" s="1385" t="str">
        <f t="shared" ref="Q21:Q35" si="8">B21</f>
        <v>区域土地利用方向</v>
      </c>
      <c r="R21" s="1386" t="s">
        <v>5</v>
      </c>
      <c r="S21" s="1387">
        <f>F21</f>
        <v>100</v>
      </c>
      <c r="T21" s="1386" t="s">
        <v>5</v>
      </c>
      <c r="U21" s="1387">
        <f>H21</f>
        <v>100</v>
      </c>
      <c r="V21" s="1386" t="s">
        <v>5</v>
      </c>
      <c r="W21" s="1387">
        <f>J21</f>
        <v>100</v>
      </c>
      <c r="X21" s="1380"/>
      <c r="Y21" s="393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33"/>
      <c r="Q22" s="1385"/>
      <c r="R22" s="1386"/>
      <c r="S22" s="1387"/>
      <c r="T22" s="1386"/>
      <c r="U22" s="1387"/>
      <c r="V22" s="1386"/>
      <c r="W22" s="1387"/>
      <c r="X22" s="1380"/>
      <c r="Y22" s="3933"/>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3"/>
      <c r="Q23" s="1385" t="str">
        <f t="shared" si="8"/>
        <v>环境状况</v>
      </c>
      <c r="R23" s="1386" t="s">
        <v>5</v>
      </c>
      <c r="S23" s="1387">
        <f>F23</f>
        <v>100</v>
      </c>
      <c r="T23" s="1386" t="s">
        <v>5</v>
      </c>
      <c r="U23" s="1387">
        <f>H23</f>
        <v>100</v>
      </c>
      <c r="V23" s="1386" t="s">
        <v>5</v>
      </c>
      <c r="W23" s="1387">
        <f>J23</f>
        <v>100</v>
      </c>
      <c r="X23" s="1380"/>
      <c r="Y23" s="393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33"/>
      <c r="Q24" s="1385"/>
      <c r="R24" s="1386"/>
      <c r="S24" s="1387"/>
      <c r="T24" s="1386"/>
      <c r="U24" s="1387"/>
      <c r="V24" s="1386"/>
      <c r="W24" s="1387"/>
      <c r="X24" s="1380"/>
      <c r="Y24" s="3933"/>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33"/>
      <c r="Q25" s="1050" t="str">
        <f t="shared" si="8"/>
        <v>公共配套设施</v>
      </c>
      <c r="R25" s="1381" t="s">
        <v>5</v>
      </c>
      <c r="S25" s="1382">
        <f>F25</f>
        <v>100</v>
      </c>
      <c r="T25" s="1381" t="s">
        <v>5</v>
      </c>
      <c r="U25" s="1382">
        <f>H25</f>
        <v>100</v>
      </c>
      <c r="V25" s="1381" t="s">
        <v>5</v>
      </c>
      <c r="W25" s="1382">
        <f>J25</f>
        <v>100</v>
      </c>
      <c r="X25" s="1383"/>
      <c r="Y25" s="393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33"/>
      <c r="Q26" s="1050"/>
      <c r="R26" s="1381"/>
      <c r="S26" s="1382"/>
      <c r="T26" s="1381"/>
      <c r="U26" s="1382"/>
      <c r="V26" s="1381"/>
      <c r="W26" s="1382"/>
      <c r="X26" s="1383"/>
      <c r="Y26" s="3933"/>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3"/>
      <c r="Q27" s="2192" t="str">
        <f>B27</f>
        <v>基础设施水平</v>
      </c>
      <c r="R27" s="1381" t="s">
        <v>5</v>
      </c>
      <c r="S27" s="1382">
        <f>F27</f>
        <v>100</v>
      </c>
      <c r="T27" s="1381" t="s">
        <v>5</v>
      </c>
      <c r="U27" s="1382">
        <f>H27</f>
        <v>100</v>
      </c>
      <c r="V27" s="1381" t="s">
        <v>5</v>
      </c>
      <c r="W27" s="1382">
        <f>J27</f>
        <v>100</v>
      </c>
      <c r="X27" s="1383"/>
      <c r="Y27" s="393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33"/>
      <c r="Q28" s="2192"/>
      <c r="R28" s="1381"/>
      <c r="S28" s="1382"/>
      <c r="T28" s="1381"/>
      <c r="U28" s="1382"/>
      <c r="V28" s="1381"/>
      <c r="W28" s="1382"/>
      <c r="X28" s="1383"/>
      <c r="Y28" s="393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33"/>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3"/>
      <c r="Q30" s="1385" t="str">
        <f t="shared" si="8"/>
        <v>毗邻道路的类型与等级</v>
      </c>
      <c r="R30" s="1386" t="s">
        <v>5</v>
      </c>
      <c r="S30" s="1387">
        <f t="shared" si="9"/>
        <v>100</v>
      </c>
      <c r="T30" s="1386" t="s">
        <v>5</v>
      </c>
      <c r="U30" s="1387">
        <f t="shared" si="10"/>
        <v>100</v>
      </c>
      <c r="V30" s="1386" t="s">
        <v>5</v>
      </c>
      <c r="W30" s="1387">
        <f t="shared" si="11"/>
        <v>100</v>
      </c>
      <c r="X30" s="1380"/>
      <c r="Y30" s="393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33"/>
      <c r="Q31" s="1385"/>
      <c r="R31" s="1386"/>
      <c r="S31" s="1387"/>
      <c r="T31" s="1386"/>
      <c r="U31" s="1387"/>
      <c r="V31" s="1386"/>
      <c r="W31" s="1387"/>
      <c r="X31" s="1380"/>
      <c r="Y31" s="3933"/>
      <c r="Z31" s="1388"/>
      <c r="AA31" s="1389">
        <v>1</v>
      </c>
      <c r="AB31" s="1389">
        <v>1</v>
      </c>
      <c r="AC31" s="1389">
        <v>1</v>
      </c>
    </row>
    <row r="32" spans="1:29" ht="15">
      <c r="A32" s="502"/>
      <c r="B32" s="497" t="s">
        <v>498</v>
      </c>
      <c r="C32" s="2204" t="str">
        <f>估价对象房地状况!G23</f>
        <v>七级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33"/>
      <c r="Q32" s="1385" t="str">
        <f t="shared" si="8"/>
        <v>土地级别</v>
      </c>
      <c r="R32" s="1386" t="s">
        <v>5</v>
      </c>
      <c r="S32" s="1387">
        <f t="shared" si="9"/>
        <v>100</v>
      </c>
      <c r="T32" s="1386" t="s">
        <v>5</v>
      </c>
      <c r="U32" s="1387">
        <f t="shared" si="10"/>
        <v>100</v>
      </c>
      <c r="V32" s="1386" t="s">
        <v>5</v>
      </c>
      <c r="W32" s="1387">
        <f t="shared" si="11"/>
        <v>100</v>
      </c>
      <c r="X32" s="1380"/>
      <c r="Y32" s="393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3"/>
      <c r="Q33" s="1385">
        <f t="shared" si="8"/>
        <v>111</v>
      </c>
      <c r="R33" s="1386" t="s">
        <v>5</v>
      </c>
      <c r="S33" s="1387">
        <f t="shared" si="9"/>
        <v>100</v>
      </c>
      <c r="T33" s="1386" t="s">
        <v>5</v>
      </c>
      <c r="U33" s="1387">
        <f t="shared" si="10"/>
        <v>100</v>
      </c>
      <c r="V33" s="1386" t="s">
        <v>5</v>
      </c>
      <c r="W33" s="1387">
        <f t="shared" si="11"/>
        <v>100</v>
      </c>
      <c r="X33" s="1380"/>
      <c r="Y33" s="393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4" t="s">
        <v>499</v>
      </c>
      <c r="Q34" s="1385">
        <f t="shared" si="8"/>
        <v>111</v>
      </c>
      <c r="R34" s="1386" t="s">
        <v>5</v>
      </c>
      <c r="S34" s="1387">
        <f t="shared" si="9"/>
        <v>100</v>
      </c>
      <c r="T34" s="1386" t="s">
        <v>5</v>
      </c>
      <c r="U34" s="1387">
        <f t="shared" si="10"/>
        <v>100</v>
      </c>
      <c r="V34" s="1386" t="s">
        <v>5</v>
      </c>
      <c r="W34" s="1387">
        <f t="shared" si="11"/>
        <v>100</v>
      </c>
      <c r="X34" s="1380"/>
      <c r="Y34" s="3935"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5"/>
      <c r="Q35" s="1385">
        <f t="shared" si="8"/>
        <v>111</v>
      </c>
      <c r="R35" s="1390" t="s">
        <v>5</v>
      </c>
      <c r="S35" s="1391">
        <f t="shared" si="9"/>
        <v>100</v>
      </c>
      <c r="T35" s="1390" t="s">
        <v>5</v>
      </c>
      <c r="U35" s="1391">
        <f t="shared" si="10"/>
        <v>100</v>
      </c>
      <c r="V35" s="1390" t="s">
        <v>5</v>
      </c>
      <c r="W35" s="1391">
        <f t="shared" si="11"/>
        <v>100</v>
      </c>
      <c r="X35" s="1392"/>
      <c r="Y35" s="3935"/>
      <c r="Z35" s="1393">
        <f t="shared" si="12"/>
        <v>111</v>
      </c>
      <c r="AA35" s="1389">
        <f t="shared" si="3"/>
        <v>1</v>
      </c>
      <c r="AB35" s="1389">
        <f t="shared" si="4"/>
        <v>1</v>
      </c>
      <c r="AC35" s="1389">
        <f t="shared" si="5"/>
        <v>1</v>
      </c>
    </row>
    <row r="36" spans="1:29" ht="15">
      <c r="A36" s="2387" t="s">
        <v>2037</v>
      </c>
      <c r="B36" s="565" t="s">
        <v>501</v>
      </c>
      <c r="C36" s="566">
        <f>'数据-汇总表'!D19</f>
        <v>370379.14</v>
      </c>
      <c r="D36" s="567">
        <v>100</v>
      </c>
      <c r="E36" s="566">
        <f>比较法案例!B13</f>
        <v>57037.940999999999</v>
      </c>
      <c r="F36" s="567">
        <f>LOOKUP(E36,109:109,110:110)-LOOKUP(C36,109:109,110:110)+100</f>
        <v>103</v>
      </c>
      <c r="G36" s="566">
        <f>比较法案例!C13</f>
        <v>63417.17</v>
      </c>
      <c r="H36" s="567">
        <f>LOOKUP(G36,109:109,110:110)-LOOKUP(C36,109:109,110:110)+100</f>
        <v>103</v>
      </c>
      <c r="I36" s="568">
        <f>比较法案例!D13</f>
        <v>3586.3</v>
      </c>
      <c r="J36" s="567">
        <f>LOOKUP(I36,109:109,110:110)-LOOKUP(C36,109:109,110:110)+100</f>
        <v>103</v>
      </c>
      <c r="K36" s="551"/>
      <c r="L36" s="1865"/>
      <c r="M36" s="1857"/>
      <c r="N36" s="1857"/>
      <c r="O36" s="1864"/>
      <c r="P36" s="3935"/>
      <c r="Q36" s="1385" t="str">
        <f>B36</f>
        <v>宗地面积</v>
      </c>
      <c r="R36" s="1386" t="s">
        <v>5</v>
      </c>
      <c r="S36" s="1387">
        <f t="shared" si="9"/>
        <v>103</v>
      </c>
      <c r="T36" s="1386" t="s">
        <v>5</v>
      </c>
      <c r="U36" s="1387">
        <f t="shared" si="10"/>
        <v>103</v>
      </c>
      <c r="V36" s="1386" t="s">
        <v>5</v>
      </c>
      <c r="W36" s="1387">
        <f t="shared" si="11"/>
        <v>103</v>
      </c>
      <c r="X36" s="1380"/>
      <c r="Y36" s="3935"/>
      <c r="Z36" s="1388" t="str">
        <f t="shared" si="12"/>
        <v>宗地面积</v>
      </c>
      <c r="AA36" s="1389">
        <f t="shared" si="3"/>
        <v>0.970873786407767</v>
      </c>
      <c r="AB36" s="1389">
        <f t="shared" si="4"/>
        <v>0.970873786407767</v>
      </c>
      <c r="AC36" s="1389">
        <f t="shared" si="5"/>
        <v>0.970873786407767</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35"/>
      <c r="Q37" s="1385" t="str">
        <f t="shared" ref="Q37:Q42" si="13">B37</f>
        <v>宗地形状</v>
      </c>
      <c r="R37" s="1386" t="s">
        <v>5</v>
      </c>
      <c r="S37" s="1387">
        <f t="shared" si="9"/>
        <v>100</v>
      </c>
      <c r="T37" s="1386" t="s">
        <v>5</v>
      </c>
      <c r="U37" s="1387">
        <f t="shared" si="10"/>
        <v>100</v>
      </c>
      <c r="V37" s="1386" t="s">
        <v>5</v>
      </c>
      <c r="W37" s="1387">
        <f t="shared" si="11"/>
        <v>100</v>
      </c>
      <c r="X37" s="1380"/>
      <c r="Y37" s="393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5"/>
      <c r="Q38" s="1385" t="str">
        <f t="shared" si="13"/>
        <v>宗地开发程度</v>
      </c>
      <c r="R38" s="1381" t="s">
        <v>5</v>
      </c>
      <c r="S38" s="1382">
        <f t="shared" si="9"/>
        <v>100</v>
      </c>
      <c r="T38" s="1381" t="s">
        <v>5</v>
      </c>
      <c r="U38" s="1382">
        <f t="shared" si="10"/>
        <v>100</v>
      </c>
      <c r="V38" s="1381" t="s">
        <v>5</v>
      </c>
      <c r="W38" s="1382">
        <f t="shared" si="11"/>
        <v>100</v>
      </c>
      <c r="X38" s="1383"/>
      <c r="Y38" s="393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5" t="s">
        <v>549</v>
      </c>
      <c r="Q39" s="1385" t="str">
        <f t="shared" si="13"/>
        <v>工程地质条件</v>
      </c>
      <c r="R39" s="1386" t="s">
        <v>5</v>
      </c>
      <c r="S39" s="1387">
        <f t="shared" si="9"/>
        <v>100</v>
      </c>
      <c r="T39" s="1386" t="s">
        <v>5</v>
      </c>
      <c r="U39" s="1387">
        <f t="shared" si="10"/>
        <v>100</v>
      </c>
      <c r="V39" s="1386" t="s">
        <v>5</v>
      </c>
      <c r="W39" s="1387">
        <f t="shared" si="11"/>
        <v>100</v>
      </c>
      <c r="X39" s="1380"/>
      <c r="Y39" s="393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5"/>
      <c r="Q40" s="1385">
        <f t="shared" si="13"/>
        <v>111</v>
      </c>
      <c r="R40" s="1386" t="s">
        <v>5</v>
      </c>
      <c r="S40" s="1387">
        <f t="shared" si="9"/>
        <v>100</v>
      </c>
      <c r="T40" s="1386" t="s">
        <v>5</v>
      </c>
      <c r="U40" s="1387">
        <f t="shared" si="10"/>
        <v>100</v>
      </c>
      <c r="V40" s="1386" t="s">
        <v>5</v>
      </c>
      <c r="W40" s="1387">
        <f t="shared" si="11"/>
        <v>100</v>
      </c>
      <c r="X40" s="1380"/>
      <c r="Y40" s="393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5"/>
      <c r="Q41" s="1385">
        <f t="shared" si="13"/>
        <v>111</v>
      </c>
      <c r="R41" s="1386" t="s">
        <v>5</v>
      </c>
      <c r="S41" s="1387">
        <f t="shared" si="9"/>
        <v>100</v>
      </c>
      <c r="T41" s="1386" t="s">
        <v>5</v>
      </c>
      <c r="U41" s="1387">
        <f t="shared" si="10"/>
        <v>100</v>
      </c>
      <c r="V41" s="1386" t="s">
        <v>5</v>
      </c>
      <c r="W41" s="1387">
        <f t="shared" si="11"/>
        <v>100</v>
      </c>
      <c r="X41" s="1380"/>
      <c r="Y41" s="3935"/>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5"/>
      <c r="Q42" s="1385">
        <f t="shared" si="13"/>
        <v>111</v>
      </c>
      <c r="R42" s="1390" t="s">
        <v>5</v>
      </c>
      <c r="S42" s="1391">
        <f t="shared" si="9"/>
        <v>100</v>
      </c>
      <c r="T42" s="1390" t="s">
        <v>5</v>
      </c>
      <c r="U42" s="1391">
        <f t="shared" si="10"/>
        <v>100</v>
      </c>
      <c r="V42" s="1390" t="s">
        <v>5</v>
      </c>
      <c r="W42" s="1391">
        <f t="shared" si="11"/>
        <v>100</v>
      </c>
      <c r="X42" s="1392"/>
      <c r="Y42" s="3935"/>
      <c r="Z42" s="1393">
        <f t="shared" si="12"/>
        <v>111</v>
      </c>
      <c r="AA42" s="1389">
        <f t="shared" si="3"/>
        <v>1</v>
      </c>
      <c r="AB42" s="1389">
        <f t="shared" si="4"/>
        <v>1</v>
      </c>
      <c r="AC42" s="1389">
        <f t="shared" si="5"/>
        <v>1</v>
      </c>
    </row>
    <row r="43" spans="1:29" ht="14.4">
      <c r="A43" s="577" t="s">
        <v>505</v>
      </c>
      <c r="B43" s="578" t="s">
        <v>2197</v>
      </c>
      <c r="C43" s="579" t="s">
        <v>0</v>
      </c>
      <c r="D43" s="580"/>
      <c r="E43" s="581">
        <f>比较法案例!B16</f>
        <v>4319</v>
      </c>
      <c r="F43" s="582"/>
      <c r="G43" s="583">
        <f>比较法案例!C14</f>
        <v>4319</v>
      </c>
      <c r="H43" s="584"/>
      <c r="I43" s="581">
        <f>比较法案例!D14</f>
        <v>4577</v>
      </c>
      <c r="J43" s="584"/>
      <c r="K43" s="1201"/>
      <c r="L43" s="1867"/>
      <c r="M43" s="1857"/>
      <c r="N43" s="1857"/>
      <c r="O43" s="1868"/>
      <c r="P43" s="3899" t="str">
        <f>A43</f>
        <v>成交单价</v>
      </c>
      <c r="Q43" s="3899"/>
      <c r="R43" s="3900">
        <f>E43</f>
        <v>4319</v>
      </c>
      <c r="S43" s="3900"/>
      <c r="T43" s="3900">
        <f>G43</f>
        <v>4319</v>
      </c>
      <c r="U43" s="3900"/>
      <c r="V43" s="3900">
        <f>I43</f>
        <v>4577</v>
      </c>
      <c r="W43" s="3900"/>
      <c r="X43" s="1375"/>
      <c r="Y43" s="1394"/>
      <c r="Z43" s="1375"/>
      <c r="AA43" s="1375"/>
      <c r="AB43" s="1375"/>
      <c r="AC43" s="1375"/>
    </row>
    <row r="44" spans="1:29" ht="15" thickBot="1">
      <c r="A44" s="585" t="s">
        <v>1975</v>
      </c>
      <c r="B44" s="586"/>
      <c r="C44" s="587">
        <f>R45</f>
        <v>4707</v>
      </c>
      <c r="D44" s="2757" t="s">
        <v>2261</v>
      </c>
      <c r="E44" s="587">
        <f>R44</f>
        <v>4659</v>
      </c>
      <c r="F44" s="2758"/>
      <c r="G44" s="588">
        <f>T44</f>
        <v>4659</v>
      </c>
      <c r="H44" s="2758"/>
      <c r="I44" s="587">
        <f>V44</f>
        <v>4804</v>
      </c>
      <c r="J44" s="2758"/>
      <c r="K44" s="2759">
        <f>F44+H44+J44</f>
        <v>0</v>
      </c>
      <c r="L44" s="1867"/>
      <c r="M44" s="1857"/>
      <c r="N44" s="1857"/>
      <c r="O44" s="1868"/>
      <c r="P44" s="3899" t="str">
        <f>A44</f>
        <v>比较价格（元/平方米）</v>
      </c>
      <c r="Q44" s="3899"/>
      <c r="R44" s="3901">
        <f>ROUND(PRODUCT(R43,AA9:AA42),0)</f>
        <v>4659</v>
      </c>
      <c r="S44" s="3901"/>
      <c r="T44" s="3901">
        <f>ROUND(PRODUCT(T43,AB9:AB42),0)</f>
        <v>4659</v>
      </c>
      <c r="U44" s="3901"/>
      <c r="V44" s="3901">
        <f>ROUND(PRODUCT(V43,AC9:AC42),0)</f>
        <v>4804</v>
      </c>
      <c r="W44" s="3901"/>
      <c r="X44" s="1375"/>
      <c r="Y44" s="1375"/>
      <c r="Z44" s="1375"/>
      <c r="AA44" s="1375"/>
      <c r="AB44" s="1375"/>
      <c r="AC44" s="1375"/>
    </row>
    <row r="45" spans="1:29" ht="15" thickBot="1">
      <c r="A45" s="589" t="s">
        <v>2198</v>
      </c>
      <c r="B45" s="590"/>
      <c r="C45" s="591">
        <f>R45</f>
        <v>4707</v>
      </c>
      <c r="D45" s="591"/>
      <c r="E45" s="591"/>
      <c r="F45" s="591"/>
      <c r="G45" s="591"/>
      <c r="H45" s="591"/>
      <c r="I45" s="591"/>
      <c r="J45" s="591"/>
      <c r="K45" s="1202"/>
      <c r="L45" s="1867"/>
      <c r="M45" s="1857"/>
      <c r="N45" s="1857"/>
      <c r="O45" s="1868"/>
      <c r="P45" s="3936" t="str">
        <f>A45</f>
        <v>估价对象XX用房的比较价格（楼面单价，元/平方米）</v>
      </c>
      <c r="Q45" s="3937"/>
      <c r="R45" s="3949">
        <f>ROUND(IF(D44="简单平均",AVERAGE(R44:W44),R44*F44+T44*H44+V44*J44),0)</f>
        <v>4707</v>
      </c>
      <c r="S45" s="3949"/>
      <c r="T45" s="3949"/>
      <c r="U45" s="3949"/>
      <c r="V45" s="3949"/>
      <c r="W45" s="3949"/>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7.8721926371845274E-2</v>
      </c>
      <c r="F48" s="595" t="str">
        <f>IF(OR(E48&gt;=0.3,E48&lt;=-0.3),"超过30%","")</f>
        <v/>
      </c>
      <c r="G48" s="594">
        <f>IF(G43&lt;G44,G44/G43-1,G43/G44-1)</f>
        <v>7.8721926371845274E-2</v>
      </c>
      <c r="H48" s="595" t="str">
        <f>IF(OR(G48&gt;=0.3,G48&lt;=-0.3),"超过30%","")</f>
        <v/>
      </c>
      <c r="I48" s="594">
        <f>IF(I43&lt;I44,I44/I43-1,I43/I44-1)</f>
        <v>4.9595805112519153E-2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v>
      </c>
      <c r="F49" s="595" t="str">
        <f>IF(OR(E49&gt;=0.2,E49&lt;=-0.2),"超过20%","")</f>
        <v/>
      </c>
      <c r="G49" s="594">
        <f>IF(G44&lt;I44,I44/G44-1,G44/I44-1)</f>
        <v>3.1122558488946073E-2</v>
      </c>
      <c r="H49" s="595" t="str">
        <f>IF(OR(G49&gt;=0.2,G49&lt;=-0.2),"超过20%","")</f>
        <v/>
      </c>
      <c r="I49" s="594">
        <f>IF(I44&lt;E44,E44/I44-1,I44/E44-1)</f>
        <v>3.1122558488946073E-2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45" t="s">
        <v>1642</v>
      </c>
      <c r="H52" s="3946"/>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4707</v>
      </c>
      <c r="C53" s="603">
        <v>1</v>
      </c>
      <c r="D53" s="1947">
        <v>1</v>
      </c>
      <c r="E53" s="603">
        <f>'数据-汇总表'!E8+'数据-汇总表'!E9</f>
        <v>370379.14</v>
      </c>
      <c r="F53" s="1706">
        <f t="shared" ref="F53:F61" si="14">ROUND(B53*E53/10000,0)</f>
        <v>174337</v>
      </c>
      <c r="G53" s="3947"/>
      <c r="H53" s="3948"/>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370379.14</v>
      </c>
      <c r="F62" s="612">
        <f>IF(B43="楼面地价",SUM(F53:F61),ROUND(C45*E62/10000,0))</f>
        <v>174337</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76"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3706">
        <f>C67-$C$68</f>
        <v>99.5</v>
      </c>
      <c r="E67" s="3706">
        <f t="shared" ref="E67:M67" si="19">D67-$C$68</f>
        <v>99</v>
      </c>
      <c r="F67" s="3706">
        <f t="shared" si="19"/>
        <v>98.5</v>
      </c>
      <c r="G67" s="3706">
        <f t="shared" si="19"/>
        <v>98</v>
      </c>
      <c r="H67" s="3706">
        <f t="shared" si="19"/>
        <v>97.5</v>
      </c>
      <c r="I67" s="3706">
        <f t="shared" si="19"/>
        <v>97</v>
      </c>
      <c r="J67" s="3706">
        <f t="shared" si="19"/>
        <v>96.5</v>
      </c>
      <c r="K67" s="3706">
        <f t="shared" si="19"/>
        <v>96</v>
      </c>
      <c r="L67" s="3706">
        <f t="shared" si="19"/>
        <v>95.5</v>
      </c>
      <c r="M67" s="3706">
        <f t="shared" si="19"/>
        <v>95</v>
      </c>
      <c r="N67" s="2275">
        <v>95</v>
      </c>
      <c r="O67" s="3706">
        <f t="shared" ref="O67:Z67" si="20">N67-$C$68</f>
        <v>94.5</v>
      </c>
      <c r="P67" s="3706">
        <f t="shared" si="20"/>
        <v>94</v>
      </c>
      <c r="Q67" s="3706">
        <f t="shared" si="20"/>
        <v>93.5</v>
      </c>
      <c r="R67" s="3706">
        <f t="shared" si="20"/>
        <v>93</v>
      </c>
      <c r="S67" s="3706">
        <f t="shared" si="20"/>
        <v>92.5</v>
      </c>
      <c r="T67" s="3706">
        <f t="shared" si="20"/>
        <v>92</v>
      </c>
      <c r="U67" s="3706">
        <f t="shared" si="20"/>
        <v>91.5</v>
      </c>
      <c r="V67" s="3706">
        <f t="shared" si="20"/>
        <v>91</v>
      </c>
      <c r="W67" s="3706">
        <f t="shared" si="20"/>
        <v>90.5</v>
      </c>
      <c r="X67" s="3706">
        <f t="shared" si="20"/>
        <v>90</v>
      </c>
      <c r="Y67" s="3706">
        <f t="shared" si="20"/>
        <v>89.5</v>
      </c>
      <c r="Z67" s="3706">
        <f t="shared" si="20"/>
        <v>89</v>
      </c>
      <c r="AA67" s="1746"/>
      <c r="AB67" s="1746"/>
      <c r="AC67" s="1746"/>
    </row>
    <row r="68" spans="1:29" s="1118" customFormat="1" ht="15" thickBot="1">
      <c r="A68" s="621" t="s">
        <v>523</v>
      </c>
      <c r="B68" s="622"/>
      <c r="C68" s="2272">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f>C109+100000</f>
        <v>100000</v>
      </c>
      <c r="E109" s="698">
        <f t="shared" ref="E109:L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L109+100000</f>
        <v>1000000</v>
      </c>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D6" sqref="D6"/>
    </sheetView>
  </sheetViews>
  <sheetFormatPr defaultColWidth="9" defaultRowHeight="14.4"/>
  <cols>
    <col min="1" max="1" width="22.33203125" style="3702" customWidth="1"/>
    <col min="2" max="2" width="22.6640625" style="3702" customWidth="1"/>
    <col min="3" max="3" width="22.21875" style="3702" customWidth="1"/>
    <col min="4" max="4" width="21.88671875" style="3702" customWidth="1"/>
    <col min="5" max="16384" width="9" style="3702"/>
  </cols>
  <sheetData>
    <row r="1" spans="1:4">
      <c r="A1" s="3701"/>
      <c r="B1" s="3701" t="s">
        <v>3354</v>
      </c>
      <c r="C1" s="3701"/>
      <c r="D1" s="3701"/>
    </row>
    <row r="2" spans="1:4">
      <c r="A2" s="3701"/>
      <c r="B2" s="3701" t="s">
        <v>3355</v>
      </c>
      <c r="C2" s="3701"/>
      <c r="D2" s="3701"/>
    </row>
    <row r="3" spans="1:4">
      <c r="A3" s="3701"/>
      <c r="B3" s="3701" t="s">
        <v>3356</v>
      </c>
      <c r="C3" s="3701"/>
      <c r="D3" s="3701"/>
    </row>
    <row r="4" spans="1:4">
      <c r="A4" s="3701"/>
      <c r="B4" s="3703" t="s">
        <v>3358</v>
      </c>
      <c r="C4" s="3703" t="s">
        <v>3358</v>
      </c>
      <c r="D4" s="3703" t="s">
        <v>3359</v>
      </c>
    </row>
    <row r="5" spans="1:4">
      <c r="A5" s="3701" t="s">
        <v>3360</v>
      </c>
      <c r="B5" s="3703" t="s">
        <v>3361</v>
      </c>
      <c r="C5" s="3701" t="s">
        <v>3311</v>
      </c>
      <c r="D5" s="3701" t="s">
        <v>3315</v>
      </c>
    </row>
    <row r="6" spans="1:4">
      <c r="A6" s="3703" t="s">
        <v>3362</v>
      </c>
      <c r="B6" s="3703" t="s">
        <v>3310</v>
      </c>
      <c r="C6" s="3703" t="s">
        <v>3310</v>
      </c>
      <c r="D6" s="3701" t="s">
        <v>3401</v>
      </c>
    </row>
    <row r="7" spans="1:4">
      <c r="A7" s="3701" t="s">
        <v>3363</v>
      </c>
      <c r="B7" s="3701" t="s">
        <v>3364</v>
      </c>
      <c r="C7" s="3701" t="s">
        <v>3364</v>
      </c>
      <c r="D7" s="3701" t="s">
        <v>3364</v>
      </c>
    </row>
    <row r="8" spans="1:4">
      <c r="A8" s="3703" t="s">
        <v>3365</v>
      </c>
      <c r="B8" s="3704">
        <v>43525</v>
      </c>
      <c r="C8" s="3704">
        <v>43525</v>
      </c>
      <c r="D8" s="3704">
        <v>43983</v>
      </c>
    </row>
    <row r="9" spans="1:4">
      <c r="A9" s="3703" t="s">
        <v>3366</v>
      </c>
      <c r="B9" s="3703" t="s">
        <v>3367</v>
      </c>
      <c r="C9" s="3701" t="s">
        <v>3368</v>
      </c>
      <c r="D9" s="3701" t="s">
        <v>3368</v>
      </c>
    </row>
    <row r="10" spans="1:4">
      <c r="A10" s="3701" t="s">
        <v>3369</v>
      </c>
      <c r="B10" s="3701" t="s">
        <v>3305</v>
      </c>
      <c r="C10" s="3701" t="s">
        <v>3305</v>
      </c>
      <c r="D10" s="3701" t="s">
        <v>3305</v>
      </c>
    </row>
    <row r="11" spans="1:4">
      <c r="A11" s="3703" t="s">
        <v>3370</v>
      </c>
      <c r="B11" s="3701" t="s">
        <v>905</v>
      </c>
      <c r="C11" s="3701" t="s">
        <v>905</v>
      </c>
      <c r="D11" s="3701" t="s">
        <v>905</v>
      </c>
    </row>
    <row r="12" spans="1:4">
      <c r="A12" s="3703" t="s">
        <v>3371</v>
      </c>
      <c r="B12" s="3701" t="s">
        <v>3372</v>
      </c>
      <c r="C12" s="3701" t="s">
        <v>3372</v>
      </c>
      <c r="D12" s="3701" t="s">
        <v>3372</v>
      </c>
    </row>
    <row r="13" spans="1:4">
      <c r="A13" s="3701" t="s">
        <v>3373</v>
      </c>
      <c r="B13" s="3701">
        <v>57037.940999999999</v>
      </c>
      <c r="C13" s="3701">
        <v>63417.17</v>
      </c>
      <c r="D13" s="3701">
        <v>3586.3</v>
      </c>
    </row>
    <row r="14" spans="1:4">
      <c r="A14" s="3703" t="s">
        <v>3374</v>
      </c>
      <c r="B14" s="3701">
        <v>4319</v>
      </c>
      <c r="C14" s="3701">
        <v>4319</v>
      </c>
      <c r="D14" s="3701">
        <v>4577</v>
      </c>
    </row>
    <row r="15" spans="1:4">
      <c r="A15" s="3703" t="s">
        <v>3375</v>
      </c>
      <c r="B15" s="3701">
        <v>1</v>
      </c>
      <c r="C15" s="3701">
        <v>1</v>
      </c>
      <c r="D15" s="3701">
        <v>1</v>
      </c>
    </row>
    <row r="16" spans="1:4">
      <c r="A16" s="3701" t="s">
        <v>3376</v>
      </c>
      <c r="B16" s="3701">
        <v>4319</v>
      </c>
      <c r="C16" s="3701">
        <v>4319</v>
      </c>
      <c r="D16" s="3701">
        <v>4577</v>
      </c>
    </row>
    <row r="17" spans="1:4">
      <c r="A17" s="3701" t="s">
        <v>3377</v>
      </c>
      <c r="B17" s="3701">
        <v>287.93</v>
      </c>
      <c r="C17" s="3701">
        <v>287.93</v>
      </c>
      <c r="D17" s="3701">
        <v>305.13</v>
      </c>
    </row>
    <row r="18" spans="1:4">
      <c r="A18" s="3701" t="s">
        <v>3378</v>
      </c>
      <c r="B18" s="3950">
        <v>4183</v>
      </c>
      <c r="C18" s="3950"/>
      <c r="D18" s="3950"/>
    </row>
    <row r="19" spans="1:4">
      <c r="A19" s="3701" t="s">
        <v>3379</v>
      </c>
      <c r="B19" s="3950">
        <v>278.87</v>
      </c>
      <c r="C19" s="3950"/>
      <c r="D19" s="3950"/>
    </row>
    <row r="20" spans="1:4">
      <c r="A20" s="3701"/>
      <c r="B20" s="3701"/>
      <c r="C20" s="3701"/>
      <c r="D20" s="3701"/>
    </row>
  </sheetData>
  <mergeCells count="2">
    <mergeCell ref="B18:D18"/>
    <mergeCell ref="B19:D19"/>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ColWidth="9" defaultRowHeight="14.4"/>
  <cols>
    <col min="1" max="1" width="6.21875" style="3700" customWidth="1"/>
    <col min="2" max="2" width="26.88671875" style="3700" customWidth="1"/>
    <col min="3" max="3" width="28.88671875" style="3700" customWidth="1"/>
    <col min="4" max="4" width="13.44140625" style="3700" customWidth="1"/>
    <col min="5" max="5" width="9.21875" style="3700" customWidth="1"/>
    <col min="6" max="7" width="9" style="3700"/>
    <col min="8" max="9" width="0" style="3700" hidden="1" customWidth="1"/>
    <col min="10" max="10" width="11.77734375" style="3700" hidden="1" customWidth="1"/>
    <col min="11" max="11" width="9" style="3700"/>
    <col min="12" max="12" width="20" style="3700" customWidth="1"/>
    <col min="13" max="13" width="17.44140625" style="3280" customWidth="1"/>
    <col min="14" max="14" width="12.77734375" style="3280" customWidth="1"/>
    <col min="15" max="15" width="13.88671875" style="3691" customWidth="1"/>
    <col min="16" max="16384" width="9" style="3280"/>
  </cols>
  <sheetData>
    <row r="1" spans="1:17">
      <c r="A1" s="3692" t="s">
        <v>3268</v>
      </c>
      <c r="B1" s="3692" t="s">
        <v>3289</v>
      </c>
      <c r="C1" s="3692" t="s">
        <v>3290</v>
      </c>
      <c r="D1" s="3692" t="s">
        <v>3291</v>
      </c>
      <c r="E1" s="3692" t="s">
        <v>3292</v>
      </c>
      <c r="F1" s="3692" t="s">
        <v>3293</v>
      </c>
      <c r="G1" s="3692" t="s">
        <v>2213</v>
      </c>
      <c r="H1" s="3692" t="s">
        <v>3294</v>
      </c>
      <c r="I1" s="3692" t="s">
        <v>3295</v>
      </c>
      <c r="J1" s="3692" t="s">
        <v>3296</v>
      </c>
      <c r="K1" s="3692" t="s">
        <v>3297</v>
      </c>
      <c r="L1" s="3692" t="s">
        <v>3298</v>
      </c>
      <c r="M1" s="3692" t="s">
        <v>3299</v>
      </c>
      <c r="N1" s="3692" t="s">
        <v>3300</v>
      </c>
      <c r="O1" s="3692" t="s">
        <v>3301</v>
      </c>
      <c r="Q1" s="3692" t="s">
        <v>3302</v>
      </c>
    </row>
    <row r="2" spans="1:17" s="3688" customFormat="1">
      <c r="A2" s="3687">
        <v>1</v>
      </c>
      <c r="B2" s="3694" t="s">
        <v>3303</v>
      </c>
      <c r="C2" s="3694" t="s">
        <v>3304</v>
      </c>
      <c r="D2" s="3687" t="s">
        <v>3305</v>
      </c>
      <c r="E2" s="3694" t="s">
        <v>3306</v>
      </c>
      <c r="F2" s="3687" t="s">
        <v>905</v>
      </c>
      <c r="G2" s="3687">
        <v>57037.940999999999</v>
      </c>
      <c r="H2" s="3687"/>
      <c r="I2" s="3694" t="s">
        <v>3307</v>
      </c>
      <c r="J2" s="3694"/>
      <c r="K2" s="3687">
        <v>4319</v>
      </c>
      <c r="L2" s="3694" t="s">
        <v>3308</v>
      </c>
      <c r="M2" s="3694" t="s">
        <v>3309</v>
      </c>
      <c r="N2" s="3694"/>
      <c r="O2" s="3687"/>
    </row>
    <row r="3" spans="1:17" s="3688" customFormat="1">
      <c r="A3" s="3687">
        <v>2</v>
      </c>
      <c r="B3" s="3694" t="s">
        <v>3410</v>
      </c>
      <c r="C3" s="3687" t="s">
        <v>3311</v>
      </c>
      <c r="D3" s="3687" t="s">
        <v>3305</v>
      </c>
      <c r="E3" s="3694" t="s">
        <v>3306</v>
      </c>
      <c r="F3" s="3687" t="s">
        <v>905</v>
      </c>
      <c r="G3" s="3687">
        <v>63417.17</v>
      </c>
      <c r="H3" s="3687"/>
      <c r="I3" s="3694" t="s">
        <v>3312</v>
      </c>
      <c r="J3" s="3694"/>
      <c r="K3" s="3687">
        <v>4319</v>
      </c>
      <c r="L3" s="3687">
        <v>43525</v>
      </c>
      <c r="M3" s="3694" t="s">
        <v>3313</v>
      </c>
      <c r="N3" s="3694"/>
      <c r="O3" s="3687"/>
    </row>
    <row r="4" spans="1:17" s="3683" customFormat="1">
      <c r="A4" s="3682">
        <v>3</v>
      </c>
      <c r="B4" s="3682" t="s">
        <v>3314</v>
      </c>
      <c r="C4" s="3682" t="s">
        <v>3315</v>
      </c>
      <c r="D4" s="3682" t="s">
        <v>3305</v>
      </c>
      <c r="E4" s="3695" t="s">
        <v>3306</v>
      </c>
      <c r="F4" s="3682" t="s">
        <v>905</v>
      </c>
      <c r="G4" s="3682">
        <v>3586.3</v>
      </c>
      <c r="H4" s="3682"/>
      <c r="I4" s="3695" t="s">
        <v>3316</v>
      </c>
      <c r="J4" s="3695"/>
      <c r="K4" s="3682">
        <v>4577</v>
      </c>
      <c r="L4" s="3682">
        <v>43983</v>
      </c>
      <c r="M4" s="3695" t="s">
        <v>3317</v>
      </c>
      <c r="N4" s="3695"/>
      <c r="O4" s="3682"/>
    </row>
    <row r="5" spans="1:17" s="3683" customFormat="1">
      <c r="A5" s="3682">
        <v>4</v>
      </c>
      <c r="B5" s="3695" t="s">
        <v>3318</v>
      </c>
      <c r="C5" s="3695" t="s">
        <v>3319</v>
      </c>
      <c r="D5" s="3695" t="s">
        <v>3320</v>
      </c>
      <c r="E5" s="3695" t="s">
        <v>3321</v>
      </c>
      <c r="F5" s="3695" t="s">
        <v>3322</v>
      </c>
      <c r="G5" s="3682">
        <v>101739</v>
      </c>
      <c r="H5" s="3682">
        <v>23898.42</v>
      </c>
      <c r="I5" s="3682"/>
      <c r="J5" s="3682">
        <v>42480.5</v>
      </c>
      <c r="K5" s="3682">
        <f>ROUND(J5/G5*10000,0)</f>
        <v>4175</v>
      </c>
      <c r="L5" s="3682">
        <v>44500</v>
      </c>
      <c r="M5" s="3695" t="s">
        <v>3323</v>
      </c>
      <c r="N5" s="3695"/>
      <c r="O5" s="3682"/>
    </row>
    <row r="6" spans="1:17">
      <c r="A6" s="3691">
        <v>5</v>
      </c>
      <c r="B6" s="3692" t="s">
        <v>3324</v>
      </c>
      <c r="C6" s="3692" t="s">
        <v>3325</v>
      </c>
      <c r="D6" s="3692" t="s">
        <v>3326</v>
      </c>
      <c r="E6" s="3692" t="s">
        <v>3327</v>
      </c>
      <c r="F6" s="3692" t="s">
        <v>2724</v>
      </c>
      <c r="G6" s="3691">
        <v>22881.07</v>
      </c>
      <c r="H6" s="3691"/>
      <c r="I6" s="3691"/>
      <c r="J6" s="3691">
        <v>18956.966499999999</v>
      </c>
      <c r="K6" s="3691">
        <f>ROUND(J6/G6*10000,0)</f>
        <v>8285</v>
      </c>
      <c r="L6" s="3691">
        <v>44887</v>
      </c>
      <c r="M6" s="3692" t="s">
        <v>3328</v>
      </c>
      <c r="N6" s="3692"/>
    </row>
    <row r="7" spans="1:17">
      <c r="A7" s="3691">
        <v>6</v>
      </c>
      <c r="B7" s="3696" t="s">
        <v>3329</v>
      </c>
      <c r="C7" s="3692" t="s">
        <v>3330</v>
      </c>
      <c r="D7" s="3692" t="s">
        <v>3326</v>
      </c>
      <c r="E7" s="3692" t="s">
        <v>3321</v>
      </c>
      <c r="F7" s="3692" t="s">
        <v>3331</v>
      </c>
      <c r="G7" s="3691">
        <v>1474.95</v>
      </c>
      <c r="H7" s="3691"/>
      <c r="I7" s="3691"/>
      <c r="J7" s="3691"/>
      <c r="K7" s="3691">
        <v>3642</v>
      </c>
      <c r="L7" s="3691">
        <v>44453</v>
      </c>
      <c r="M7" s="3692" t="s">
        <v>3332</v>
      </c>
      <c r="N7" s="3692">
        <v>56815</v>
      </c>
      <c r="O7" s="3692">
        <v>31.89</v>
      </c>
      <c r="P7" s="3280">
        <f>K7/Q7</f>
        <v>4213.3271633503009</v>
      </c>
      <c r="Q7" s="3280">
        <v>0.86439999999999995</v>
      </c>
    </row>
    <row r="8" spans="1:17" s="3678" customFormat="1">
      <c r="A8" s="3677">
        <v>7</v>
      </c>
      <c r="B8" s="3697" t="s">
        <v>3333</v>
      </c>
      <c r="C8" s="3697" t="s">
        <v>3334</v>
      </c>
      <c r="D8" s="3697" t="s">
        <v>3335</v>
      </c>
      <c r="E8" s="3697" t="s">
        <v>3336</v>
      </c>
      <c r="F8" s="3697" t="s">
        <v>3322</v>
      </c>
      <c r="G8" s="3677">
        <v>5602.96</v>
      </c>
      <c r="H8" s="3677"/>
      <c r="I8" s="3677"/>
      <c r="J8" s="3677"/>
      <c r="K8" s="3677">
        <v>3303</v>
      </c>
      <c r="L8" s="3677">
        <v>44453</v>
      </c>
      <c r="M8" s="3697" t="s">
        <v>3332</v>
      </c>
      <c r="N8" s="3697">
        <v>55794</v>
      </c>
      <c r="O8" s="3677">
        <v>29.09</v>
      </c>
      <c r="Q8" s="3698" t="s">
        <v>3316</v>
      </c>
    </row>
    <row r="9" spans="1:17" s="3678" customFormat="1">
      <c r="A9" s="3677">
        <v>8</v>
      </c>
      <c r="B9" s="3697" t="s">
        <v>3337</v>
      </c>
      <c r="C9" s="3697" t="s">
        <v>3338</v>
      </c>
      <c r="D9" s="3697" t="s">
        <v>3326</v>
      </c>
      <c r="E9" s="3697" t="s">
        <v>3339</v>
      </c>
      <c r="F9" s="3697" t="s">
        <v>3340</v>
      </c>
      <c r="G9" s="3677">
        <v>43710.55</v>
      </c>
      <c r="H9" s="3677"/>
      <c r="I9" s="3677"/>
      <c r="J9" s="3677"/>
      <c r="K9" s="3677">
        <v>4779</v>
      </c>
      <c r="L9" s="3677">
        <v>43514</v>
      </c>
      <c r="M9" s="3697" t="s">
        <v>3332</v>
      </c>
      <c r="N9" s="3699">
        <v>55774</v>
      </c>
      <c r="O9" s="3677">
        <v>29.04</v>
      </c>
      <c r="P9" s="3678">
        <v>33.58</v>
      </c>
    </row>
    <row r="10" spans="1:17" s="3678" customFormat="1">
      <c r="A10" s="3677">
        <v>9</v>
      </c>
      <c r="B10" s="3697" t="s">
        <v>3341</v>
      </c>
      <c r="C10" s="3697" t="s">
        <v>3342</v>
      </c>
      <c r="D10" s="3697" t="s">
        <v>3343</v>
      </c>
      <c r="E10" s="3697" t="s">
        <v>3321</v>
      </c>
      <c r="F10" s="3697" t="s">
        <v>2724</v>
      </c>
      <c r="G10" s="3677">
        <v>3410</v>
      </c>
      <c r="H10" s="3677"/>
      <c r="I10" s="3677"/>
      <c r="J10" s="3677"/>
      <c r="K10" s="3677">
        <v>4367</v>
      </c>
      <c r="L10" s="3677">
        <v>43514</v>
      </c>
      <c r="M10" s="3697" t="s">
        <v>3344</v>
      </c>
      <c r="N10" s="3699">
        <v>53243</v>
      </c>
      <c r="O10" s="3677">
        <v>22.1</v>
      </c>
      <c r="P10" s="3678">
        <v>26.65</v>
      </c>
    </row>
    <row r="11" spans="1:17" s="3688" customFormat="1">
      <c r="A11" s="3687">
        <v>10</v>
      </c>
      <c r="B11" s="3694" t="s">
        <v>3345</v>
      </c>
      <c r="C11" s="3694" t="s">
        <v>3346</v>
      </c>
      <c r="D11" s="3694" t="s">
        <v>3320</v>
      </c>
      <c r="E11" s="3694" t="s">
        <v>3347</v>
      </c>
      <c r="F11" s="3694" t="s">
        <v>2724</v>
      </c>
      <c r="G11" s="3687">
        <v>4793.8500000000004</v>
      </c>
      <c r="H11" s="3687"/>
      <c r="I11" s="3687"/>
      <c r="J11" s="3687"/>
      <c r="K11" s="3687">
        <f>ROUND(17497600/G11,0)</f>
        <v>3650</v>
      </c>
      <c r="L11" s="3687">
        <v>43368</v>
      </c>
      <c r="M11" s="3694" t="s">
        <v>3348</v>
      </c>
      <c r="O11" s="3687">
        <v>45173</v>
      </c>
    </row>
    <row r="12" spans="1:17">
      <c r="A12" s="3691"/>
      <c r="B12" s="3691"/>
      <c r="C12" s="3691"/>
      <c r="D12" s="3691"/>
      <c r="E12" s="3691"/>
      <c r="F12" s="3691"/>
      <c r="G12" s="3691"/>
      <c r="H12" s="3691"/>
      <c r="I12" s="3691"/>
      <c r="J12" s="3691"/>
      <c r="K12" s="3691"/>
      <c r="L12" s="3691"/>
    </row>
    <row r="13" spans="1:17">
      <c r="A13" s="3691"/>
      <c r="B13" s="3691"/>
      <c r="C13" s="3691"/>
      <c r="D13" s="3691"/>
      <c r="E13" s="3691"/>
      <c r="F13" s="3691"/>
      <c r="G13" s="3691"/>
      <c r="H13" s="3691"/>
      <c r="I13" s="3691"/>
      <c r="J13" s="3691"/>
      <c r="K13" s="3691"/>
      <c r="L13" s="3691"/>
    </row>
    <row r="14" spans="1:17">
      <c r="A14" s="3691"/>
      <c r="B14" s="3691"/>
      <c r="C14" s="3691"/>
      <c r="D14" s="3691"/>
      <c r="E14" s="3691"/>
      <c r="F14" s="3691"/>
      <c r="G14" s="3691"/>
      <c r="H14" s="3691"/>
      <c r="I14" s="3691"/>
      <c r="J14" s="3691"/>
      <c r="K14" s="3691"/>
      <c r="L14" s="3691"/>
    </row>
    <row r="15" spans="1:17">
      <c r="A15" s="3691"/>
      <c r="B15" s="3691"/>
      <c r="C15" s="3691"/>
      <c r="D15" s="3691"/>
      <c r="E15" s="3691"/>
      <c r="F15" s="3691"/>
      <c r="G15" s="3691"/>
      <c r="H15" s="3691"/>
      <c r="I15" s="3691"/>
      <c r="J15" s="3691"/>
      <c r="K15" s="3691"/>
      <c r="L15" s="3691"/>
    </row>
    <row r="16" spans="1:17">
      <c r="A16" s="3691"/>
      <c r="B16" s="3691"/>
      <c r="C16" s="3691"/>
      <c r="D16" s="3691"/>
      <c r="E16" s="3691"/>
      <c r="F16" s="3691"/>
      <c r="G16" s="3691"/>
      <c r="H16" s="3691"/>
      <c r="I16" s="3691"/>
      <c r="J16" s="3691"/>
      <c r="K16" s="3691"/>
      <c r="L16" s="3691"/>
    </row>
    <row r="17" spans="1:12">
      <c r="A17" s="3691"/>
      <c r="B17" s="3691"/>
      <c r="C17" s="3691"/>
      <c r="D17" s="3691"/>
      <c r="E17" s="3691"/>
      <c r="F17" s="3691"/>
      <c r="G17" s="3691"/>
      <c r="H17" s="3691"/>
      <c r="I17" s="3691"/>
      <c r="J17" s="3691"/>
      <c r="K17" s="3691"/>
      <c r="L17" s="3691"/>
    </row>
    <row r="18" spans="1:12">
      <c r="A18" s="3691"/>
      <c r="B18" s="3691"/>
      <c r="C18" s="3691"/>
      <c r="D18" s="3691"/>
      <c r="E18" s="3691"/>
      <c r="F18" s="3691"/>
      <c r="G18" s="3691"/>
      <c r="H18" s="3691"/>
      <c r="I18" s="3691"/>
      <c r="J18" s="3691"/>
      <c r="K18" s="3691"/>
      <c r="L18" s="3691"/>
    </row>
    <row r="19" spans="1:12">
      <c r="A19" s="3691"/>
      <c r="B19" s="3691"/>
      <c r="C19" s="3691"/>
      <c r="D19" s="3691"/>
      <c r="E19" s="3691"/>
      <c r="F19" s="3691"/>
      <c r="G19" s="3691"/>
      <c r="H19" s="3691"/>
      <c r="I19" s="3691"/>
      <c r="J19" s="3691"/>
      <c r="K19" s="3691"/>
      <c r="L19" s="3691"/>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88" sqref="C88"/>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370379.14</v>
      </c>
      <c r="E1" s="1261" t="s">
        <v>1779</v>
      </c>
      <c r="F1" s="2105">
        <f>'数据-汇总表'!D3</f>
        <v>370379.14</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112040</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Ⅶ-昌3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4293</v>
      </c>
      <c r="U2" s="2406"/>
      <c r="V2" s="2416">
        <f>ROUND(T2*U2/10000,0)</f>
        <v>0</v>
      </c>
      <c r="W2" s="1911"/>
      <c r="X2" s="1911"/>
      <c r="Y2" s="1911"/>
      <c r="Z2" s="1911"/>
      <c r="AA2" s="1911"/>
      <c r="AB2" s="1911"/>
      <c r="AC2" s="1912"/>
    </row>
    <row r="3" spans="1:39" ht="15.6">
      <c r="A3" s="1266" t="s">
        <v>1220</v>
      </c>
      <c r="B3" s="991">
        <f>ROUND(B2*10000/D1,0)</f>
        <v>3025</v>
      </c>
      <c r="C3" s="1262" t="s">
        <v>855</v>
      </c>
      <c r="D3" s="1263" t="s">
        <v>856</v>
      </c>
      <c r="E3" s="1267" t="s">
        <v>2512</v>
      </c>
      <c r="F3" s="1268" t="s">
        <v>3397</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3384</v>
      </c>
      <c r="U3" s="2406"/>
      <c r="V3" s="2416">
        <f t="shared" ref="V3:V16" si="1">ROUND(T3*U3/10000,0)</f>
        <v>0</v>
      </c>
      <c r="W3" s="1911"/>
      <c r="X3" s="1911"/>
      <c r="Y3" s="1911"/>
      <c r="Z3" s="1911"/>
      <c r="AA3" s="1911"/>
      <c r="AB3" s="1911"/>
      <c r="AC3" s="1912"/>
    </row>
    <row r="4" spans="1:39" ht="31.2">
      <c r="A4" s="1647" t="s">
        <v>1638</v>
      </c>
      <c r="B4" s="2106">
        <f>ROUND(B2*10000/F1,0)</f>
        <v>3025</v>
      </c>
      <c r="C4" s="1650" t="s">
        <v>1613</v>
      </c>
      <c r="D4" s="1650">
        <f>ROUND(B2/(F1/666.67),0)</f>
        <v>202</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2860</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1690</v>
      </c>
      <c r="D5" s="2548">
        <f>ROUND(C6*C17+C20,0)</f>
        <v>1690</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0.88239999999999996</v>
      </c>
      <c r="T5" s="2416">
        <f t="shared" si="0"/>
        <v>2522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1690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2424</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3197</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1690</v>
      </c>
      <c r="N7" s="1643">
        <f>SUMPRODUCT((因素修正幅度!B190:B233=I2)*(因素修正幅度!C3:G3=E2)*(因素修正幅度!C190:G233))</f>
        <v>0.13</v>
      </c>
      <c r="O7" s="2977"/>
      <c r="P7" s="2980"/>
      <c r="Q7" s="1911"/>
      <c r="R7" s="2416">
        <v>6</v>
      </c>
      <c r="S7" s="2406"/>
      <c r="T7" s="2416">
        <f t="shared" si="0"/>
        <v>0</v>
      </c>
      <c r="U7" s="2406"/>
      <c r="V7" s="2416">
        <f t="shared" si="1"/>
        <v>0</v>
      </c>
      <c r="W7" s="2414" t="s">
        <v>2046</v>
      </c>
      <c r="X7" s="2407" t="str">
        <f>G2</f>
        <v>七级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52" t="s">
        <v>2060</v>
      </c>
      <c r="X8" s="395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51"/>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5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3198</v>
      </c>
      <c r="B12" s="3506" t="s">
        <v>3199</v>
      </c>
      <c r="C12" s="3512">
        <v>1</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62" t="s">
        <v>1370</v>
      </c>
      <c r="B20" s="1278" t="s">
        <v>875</v>
      </c>
      <c r="C20" s="998">
        <f>ROUND(IF(F21="与级别开发程度一致",0,(G21-E21)/C21),0)</f>
        <v>0</v>
      </c>
      <c r="D20" s="3957" t="s">
        <v>879</v>
      </c>
      <c r="E20" s="3958"/>
      <c r="F20" s="3957" t="s">
        <v>876</v>
      </c>
      <c r="G20" s="395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63"/>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3398</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1.5</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1.0779000000000001</v>
      </c>
      <c r="D23" s="1297" t="s">
        <v>882</v>
      </c>
      <c r="E23" s="1000">
        <v>44197</v>
      </c>
      <c r="F23" s="1297" t="s">
        <v>883</v>
      </c>
      <c r="G23" s="1001">
        <f>'数据-取费表'!B2</f>
        <v>45382</v>
      </c>
      <c r="H23" s="1298" t="s">
        <v>2247</v>
      </c>
      <c r="I23" s="2266" t="str">
        <f>IF(H23="季度增幅（自定义）",SUMIF(N25:N28,E2,O25:O28),"")</f>
        <v/>
      </c>
      <c r="J23" s="3566" t="s">
        <v>3399</v>
      </c>
      <c r="K23" s="2976"/>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2279</v>
      </c>
      <c r="C25" s="1057">
        <f>IF(B25="容积率修正",IF(G3&lt;10,D26,J26),C27)</f>
        <v>1.0583</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3215</v>
      </c>
      <c r="D26" s="1002">
        <f>IF(E26=G26,F26,IF(G3&lt;10,ROUND(F26+(H26-F26)*(G3-E26)/(G26-E26),4),"——"))</f>
        <v>1.0583</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7" t="s">
        <v>3216</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1.0461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112040</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3025</v>
      </c>
      <c r="D33" s="1326">
        <f>'数据-汇总表'!F19</f>
        <v>370379.14</v>
      </c>
      <c r="E33" s="1635">
        <f>ROUND(C33*D33/10000,0)</f>
        <v>112040</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454</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59"/>
      <c r="B37" s="1344" t="s">
        <v>923</v>
      </c>
      <c r="C37" s="1005">
        <f>ROUND(D5*C22*C23*C24*C28*F37,0)</f>
        <v>1715</v>
      </c>
      <c r="D37" s="1356"/>
      <c r="E37" s="996">
        <f>ROUND(C37*D37/10000,0)</f>
        <v>0</v>
      </c>
      <c r="F37" s="996">
        <f>SUMIF(修正!A57:A68,G2,修正!B57:B68)</f>
        <v>0.6</v>
      </c>
      <c r="G37" s="996">
        <f>ROUND(IF(E2="工业",C37*$M$42,C37*$M$41),0)</f>
        <v>257</v>
      </c>
      <c r="H37" s="996">
        <f>D37</f>
        <v>0</v>
      </c>
      <c r="I37" s="996">
        <f>ROUND(G37*H37/10000,0)</f>
        <v>0</v>
      </c>
      <c r="J37" s="3959"/>
      <c r="K37" s="3641" t="s">
        <v>3246</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2"/>
      <c r="S37" s="1912"/>
      <c r="T37" s="1912"/>
      <c r="U37" s="1912"/>
      <c r="V37" s="1912"/>
      <c r="W37" s="1911"/>
      <c r="X37" s="1911"/>
      <c r="Y37" s="1911"/>
      <c r="Z37" s="1911"/>
      <c r="AA37" s="1911"/>
      <c r="AB37" s="1911"/>
      <c r="AC37" s="1912"/>
    </row>
    <row r="38" spans="1:44" ht="13.2">
      <c r="A38" s="3960"/>
      <c r="B38" s="1288" t="s">
        <v>924</v>
      </c>
      <c r="C38" s="1005">
        <f>ROUND(D5*C22*C23*C24*C28*F38,0)</f>
        <v>858</v>
      </c>
      <c r="D38" s="1356"/>
      <c r="E38" s="996">
        <f t="shared" ref="E38:E42" si="4">ROUND(C38*D38/10000,0)</f>
        <v>0</v>
      </c>
      <c r="F38" s="996">
        <f>SUMIF(修正!A57:A68,G2,修正!C57:C68)</f>
        <v>0.3</v>
      </c>
      <c r="G38" s="996">
        <f>ROUND(IF(E2="工业",C38*$M$42,C38*$M$41),0)</f>
        <v>129</v>
      </c>
      <c r="H38" s="996">
        <f t="shared" ref="H38:H42" si="5">D38</f>
        <v>0</v>
      </c>
      <c r="I38" s="996">
        <f t="shared" ref="I38:I42" si="6">ROUND(G38*H38/10000,0)</f>
        <v>0</v>
      </c>
      <c r="J38" s="396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60"/>
      <c r="B39" s="3570" t="s">
        <v>3219</v>
      </c>
      <c r="C39" s="1005">
        <f>ROUND(D5*C22*C23*C24*C28*F39,0)</f>
        <v>715</v>
      </c>
      <c r="D39" s="1356"/>
      <c r="E39" s="996">
        <f t="shared" si="4"/>
        <v>0</v>
      </c>
      <c r="F39" s="996">
        <f>SUMIF(修正!A57:A68,G2,修正!D57:D68)</f>
        <v>0.25</v>
      </c>
      <c r="G39" s="996">
        <f>ROUND(IF(E2="工业",C39*$M$42,C39*$M$41),0)</f>
        <v>107</v>
      </c>
      <c r="H39" s="996">
        <f t="shared" si="5"/>
        <v>0</v>
      </c>
      <c r="I39" s="996">
        <f t="shared" si="6"/>
        <v>0</v>
      </c>
      <c r="J39" s="396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715</v>
      </c>
      <c r="D40" s="1356"/>
      <c r="E40" s="996">
        <f t="shared" si="4"/>
        <v>0</v>
      </c>
      <c r="F40" s="1005">
        <f>SUMIF(修正!A57:A68,G2,修正!E57:E68)</f>
        <v>0.25</v>
      </c>
      <c r="G40" s="996">
        <f>ROUND(IF(E2="工业",C40*$M$42,C40*$M$41),0)</f>
        <v>107</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1.0461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3383</v>
      </c>
      <c r="D83" s="3598">
        <f t="shared" ref="D83:D90" si="22">SUMIF($J$82:$N$82,C83,J83:N83)</f>
        <v>1.6899999999999998E-2</v>
      </c>
      <c r="E83" s="3599">
        <f>ROUND(SUM(D83:D90),4)</f>
        <v>4.6100000000000002E-2</v>
      </c>
      <c r="F83" s="3600">
        <f>IF(E2="工业",SUMIF(L1:L12,G2,N1:N12),"——")</f>
        <v>0.13</v>
      </c>
      <c r="G83" s="3601">
        <f>H83</f>
        <v>1.6899999999999998E-2</v>
      </c>
      <c r="H83" s="3602">
        <f t="shared" ref="H83:H90" si="23">IFERROR(ROUNDDOWN($F$83*I83/2,4),"——")</f>
        <v>1.6899999999999998E-2</v>
      </c>
      <c r="I83" s="3576">
        <v>0.26</v>
      </c>
      <c r="J83" s="3603">
        <f t="shared" ref="J83:J90" si="24">K83+$G83</f>
        <v>3.3799999999999997E-2</v>
      </c>
      <c r="K83" s="3603">
        <f t="shared" ref="K83:K90" si="25">$L83+$G83</f>
        <v>1.6899999999999998E-2</v>
      </c>
      <c r="L83" s="3603">
        <v>0</v>
      </c>
      <c r="M83" s="3603">
        <f t="shared" ref="M83:N90" si="26">L83-$G83</f>
        <v>-1.6899999999999998E-2</v>
      </c>
      <c r="N83" s="3603">
        <f t="shared" si="26"/>
        <v>-3.3799999999999997E-2</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t="s">
        <v>3383</v>
      </c>
      <c r="D84" s="3598">
        <f t="shared" si="22"/>
        <v>1.95E-2</v>
      </c>
      <c r="E84" s="3604"/>
      <c r="F84" s="3600"/>
      <c r="G84" s="3601">
        <f t="shared" ref="G84:G90" si="27">H84</f>
        <v>1.95E-2</v>
      </c>
      <c r="H84" s="3602">
        <f t="shared" si="23"/>
        <v>1.95E-2</v>
      </c>
      <c r="I84" s="3576">
        <v>0.3</v>
      </c>
      <c r="J84" s="3603">
        <f t="shared" si="24"/>
        <v>3.9E-2</v>
      </c>
      <c r="K84" s="3603">
        <f t="shared" si="25"/>
        <v>1.95E-2</v>
      </c>
      <c r="L84" s="3603">
        <v>0</v>
      </c>
      <c r="M84" s="3603">
        <f t="shared" si="26"/>
        <v>-1.95E-2</v>
      </c>
      <c r="N84" s="3603">
        <f t="shared" si="26"/>
        <v>-3.9E-2</v>
      </c>
      <c r="AE84" s="3583"/>
      <c r="AF84" s="3583"/>
      <c r="AG84" s="3583"/>
      <c r="AH84" s="3583"/>
      <c r="AI84" s="3583"/>
      <c r="AJ84" s="3583"/>
    </row>
    <row r="85" spans="1:36" s="1348" customFormat="1" ht="24">
      <c r="A85" s="3589" t="s">
        <v>944</v>
      </c>
      <c r="B85" s="3590">
        <f>估价对象房地状况!G17</f>
        <v>0</v>
      </c>
      <c r="C85" s="3597" t="s">
        <v>3383</v>
      </c>
      <c r="D85" s="3598">
        <f t="shared" si="22"/>
        <v>6.4999999999999997E-3</v>
      </c>
      <c r="E85" s="3604"/>
      <c r="F85" s="3600"/>
      <c r="G85" s="3601">
        <f t="shared" si="27"/>
        <v>6.4999999999999997E-3</v>
      </c>
      <c r="H85" s="3602">
        <f t="shared" si="23"/>
        <v>6.4999999999999997E-3</v>
      </c>
      <c r="I85" s="3576">
        <v>0.1</v>
      </c>
      <c r="J85" s="3603">
        <f t="shared" si="24"/>
        <v>1.2999999999999999E-2</v>
      </c>
      <c r="K85" s="3603">
        <f t="shared" si="25"/>
        <v>6.4999999999999997E-3</v>
      </c>
      <c r="L85" s="3603">
        <v>0</v>
      </c>
      <c r="M85" s="3603">
        <f t="shared" si="26"/>
        <v>-6.4999999999999997E-3</v>
      </c>
      <c r="N85" s="3603">
        <f t="shared" si="26"/>
        <v>-1.2999999999999999E-2</v>
      </c>
      <c r="AE85" s="3583"/>
      <c r="AF85" s="3583"/>
      <c r="AG85" s="3583"/>
      <c r="AH85" s="3583"/>
      <c r="AI85" s="3583"/>
      <c r="AJ85" s="3583"/>
    </row>
    <row r="86" spans="1:36" s="1348" customFormat="1" ht="13.8">
      <c r="A86" s="3589" t="s">
        <v>956</v>
      </c>
      <c r="B86" s="3590">
        <f>估价对象房地状况!G22</f>
        <v>0</v>
      </c>
      <c r="C86" s="3597" t="s">
        <v>3382</v>
      </c>
      <c r="D86" s="3598">
        <f t="shared" si="22"/>
        <v>0</v>
      </c>
      <c r="E86" s="3604"/>
      <c r="F86" s="3600"/>
      <c r="G86" s="3601">
        <f t="shared" si="27"/>
        <v>3.2000000000000002E-3</v>
      </c>
      <c r="H86" s="3602">
        <f t="shared" si="23"/>
        <v>3.2000000000000002E-3</v>
      </c>
      <c r="I86" s="3576">
        <v>0.05</v>
      </c>
      <c r="J86" s="3603">
        <f t="shared" si="24"/>
        <v>6.4000000000000003E-3</v>
      </c>
      <c r="K86" s="3603">
        <f t="shared" si="25"/>
        <v>3.2000000000000002E-3</v>
      </c>
      <c r="L86" s="3603">
        <v>0</v>
      </c>
      <c r="M86" s="3603">
        <f t="shared" si="26"/>
        <v>-3.2000000000000002E-3</v>
      </c>
      <c r="N86" s="3603">
        <f t="shared" si="26"/>
        <v>-6.4000000000000003E-3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3382</v>
      </c>
      <c r="D87" s="3598">
        <f t="shared" si="22"/>
        <v>0</v>
      </c>
      <c r="E87" s="3604"/>
      <c r="F87" s="3600"/>
      <c r="G87" s="3601">
        <f t="shared" si="27"/>
        <v>3.8999999999999998E-3</v>
      </c>
      <c r="H87" s="3602">
        <f t="shared" si="23"/>
        <v>3.8999999999999998E-3</v>
      </c>
      <c r="I87" s="3576">
        <v>0.06</v>
      </c>
      <c r="J87" s="3603">
        <f t="shared" si="24"/>
        <v>7.7999999999999996E-3</v>
      </c>
      <c r="K87" s="3603">
        <f t="shared" si="25"/>
        <v>3.8999999999999998E-3</v>
      </c>
      <c r="L87" s="3603">
        <v>0</v>
      </c>
      <c r="M87" s="3603">
        <f t="shared" si="26"/>
        <v>-3.8999999999999998E-3</v>
      </c>
      <c r="N87" s="3603">
        <f t="shared" si="26"/>
        <v>-7.7999999999999996E-3</v>
      </c>
      <c r="AE87" s="3583"/>
      <c r="AF87" s="3583"/>
      <c r="AG87" s="3583"/>
      <c r="AH87" s="3583"/>
      <c r="AI87" s="3583"/>
      <c r="AJ87" s="3583"/>
    </row>
    <row r="88" spans="1:36" s="1348" customFormat="1" ht="24">
      <c r="A88" s="3589" t="s">
        <v>949</v>
      </c>
      <c r="B88" s="3608" t="str">
        <f>估价对象房地状况!G20</f>
        <v>估价对象所在区域基础设施水平</v>
      </c>
      <c r="C88" s="3597" t="s">
        <v>3382</v>
      </c>
      <c r="D88" s="3598">
        <f t="shared" si="22"/>
        <v>0</v>
      </c>
      <c r="E88" s="3604"/>
      <c r="F88" s="3600"/>
      <c r="G88" s="3601">
        <f t="shared" si="27"/>
        <v>7.7999999999999996E-3</v>
      </c>
      <c r="H88" s="3602">
        <f t="shared" si="23"/>
        <v>7.7999999999999996E-3</v>
      </c>
      <c r="I88" s="3576">
        <v>0.12</v>
      </c>
      <c r="J88" s="3603">
        <f t="shared" si="24"/>
        <v>1.5599999999999999E-2</v>
      </c>
      <c r="K88" s="3603">
        <f t="shared" si="25"/>
        <v>7.7999999999999996E-3</v>
      </c>
      <c r="L88" s="3603">
        <v>0</v>
      </c>
      <c r="M88" s="3603">
        <f t="shared" si="26"/>
        <v>-7.7999999999999996E-3</v>
      </c>
      <c r="N88" s="3603">
        <f t="shared" si="26"/>
        <v>-1.5599999999999999E-2</v>
      </c>
      <c r="AE88" s="3583"/>
      <c r="AF88" s="3583"/>
      <c r="AG88" s="3583"/>
      <c r="AH88" s="3583"/>
      <c r="AI88" s="3583"/>
      <c r="AJ88" s="3583"/>
    </row>
    <row r="89" spans="1:36" s="1348" customFormat="1" ht="36">
      <c r="A89" s="3589" t="s">
        <v>947</v>
      </c>
      <c r="B89" s="3606" t="s">
        <v>2199</v>
      </c>
      <c r="C89" s="3597" t="s">
        <v>3382</v>
      </c>
      <c r="D89" s="3598">
        <f t="shared" si="22"/>
        <v>0</v>
      </c>
      <c r="E89" s="3604"/>
      <c r="F89" s="3600"/>
      <c r="G89" s="3601">
        <f t="shared" si="27"/>
        <v>3.8999999999999998E-3</v>
      </c>
      <c r="H89" s="3602">
        <f t="shared" si="23"/>
        <v>3.8999999999999998E-3</v>
      </c>
      <c r="I89" s="3576">
        <v>0.06</v>
      </c>
      <c r="J89" s="3603">
        <f t="shared" si="24"/>
        <v>7.7999999999999996E-3</v>
      </c>
      <c r="K89" s="3603">
        <f t="shared" si="25"/>
        <v>3.8999999999999998E-3</v>
      </c>
      <c r="L89" s="3603">
        <v>0</v>
      </c>
      <c r="M89" s="3603">
        <f t="shared" si="26"/>
        <v>-3.8999999999999998E-3</v>
      </c>
      <c r="N89" s="3603">
        <f t="shared" si="26"/>
        <v>-7.7999999999999996E-3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3383</v>
      </c>
      <c r="D90" s="3598">
        <f t="shared" si="22"/>
        <v>3.2000000000000002E-3</v>
      </c>
      <c r="E90" s="3611"/>
      <c r="F90" s="3600"/>
      <c r="G90" s="3601">
        <f t="shared" si="27"/>
        <v>3.2000000000000002E-3</v>
      </c>
      <c r="H90" s="3602">
        <f t="shared" si="23"/>
        <v>3.2000000000000002E-3</v>
      </c>
      <c r="I90" s="3578">
        <v>0.05</v>
      </c>
      <c r="J90" s="3603">
        <f t="shared" si="24"/>
        <v>6.4000000000000003E-3</v>
      </c>
      <c r="K90" s="3603">
        <f t="shared" si="25"/>
        <v>3.2000000000000002E-3</v>
      </c>
      <c r="L90" s="3603">
        <v>0</v>
      </c>
      <c r="M90" s="3603">
        <f t="shared" si="26"/>
        <v>-3.2000000000000002E-3</v>
      </c>
      <c r="N90" s="3603">
        <f t="shared" si="26"/>
        <v>-6.4000000000000003E-3</v>
      </c>
      <c r="AE90" s="3583"/>
      <c r="AF90" s="3583"/>
      <c r="AG90" s="3583"/>
      <c r="AH90" s="3583"/>
      <c r="AI90" s="3583"/>
      <c r="AJ90" s="3583"/>
    </row>
    <row r="91" spans="1:36" s="1348" customFormat="1" ht="14.4">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48">
      <c r="A94" s="3573" t="s">
        <v>3233</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48">
      <c r="A95" s="3628" t="s">
        <v>3221</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7.200000000000003">
      <c r="A96" s="3573" t="s">
        <v>3225</v>
      </c>
      <c r="B96" s="3577" t="s">
        <v>3226</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3227</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36">
      <c r="A98" s="3573" t="s">
        <v>3234</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36.6" thickBot="1">
      <c r="A101" s="3573" t="s">
        <v>3229</v>
      </c>
      <c r="B101" s="3596" t="str">
        <f>估价对象房地状况!C20</f>
        <v>区域自然环境：；人文环境；综合评价环境状况一般</v>
      </c>
      <c r="C101" s="3597" t="s">
        <v>3383</v>
      </c>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64" t="s">
        <v>1172</v>
      </c>
      <c r="B104" s="3964"/>
      <c r="C104" s="3964"/>
      <c r="D104" s="3964"/>
      <c r="E104" s="3964"/>
      <c r="F104" s="3964"/>
      <c r="G104" s="3964"/>
      <c r="H104" s="3964"/>
      <c r="I104" s="3964"/>
      <c r="J104" s="3964"/>
      <c r="K104" s="2103"/>
      <c r="L104" s="2103"/>
      <c r="M104" s="2103"/>
      <c r="N104" s="2103"/>
    </row>
    <row r="105" spans="1:36">
      <c r="A105" s="3965" t="s">
        <v>1161</v>
      </c>
      <c r="B105" s="3965" t="s">
        <v>1173</v>
      </c>
      <c r="C105" s="1041" t="s">
        <v>1174</v>
      </c>
      <c r="D105" s="1042"/>
      <c r="E105" s="1042"/>
      <c r="F105" s="1042"/>
      <c r="G105" s="1042"/>
      <c r="H105" s="1042"/>
      <c r="I105" s="1042"/>
      <c r="J105" s="1043"/>
      <c r="K105" s="1035"/>
      <c r="L105" s="1035"/>
      <c r="M105" s="1035"/>
      <c r="N105" s="1035"/>
    </row>
    <row r="106" spans="1:36">
      <c r="A106" s="3965"/>
      <c r="B106" s="396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5"/>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5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61" t="s">
        <v>1175</v>
      </c>
      <c r="B114" s="3961"/>
      <c r="C114" s="3961"/>
      <c r="D114" s="3961"/>
      <c r="E114" s="3961"/>
      <c r="F114" s="3961"/>
      <c r="G114" s="3961"/>
      <c r="H114" s="3961"/>
      <c r="I114" s="3961"/>
      <c r="J114" s="3961"/>
      <c r="K114" s="2101"/>
      <c r="L114" s="2101"/>
      <c r="M114" s="2101"/>
      <c r="N114" s="2101"/>
    </row>
    <row r="116" spans="1:14" ht="12.6" thickBot="1"/>
    <row r="117" spans="1:14" ht="25.8" thickBot="1">
      <c r="A117" s="976" t="s">
        <v>831</v>
      </c>
      <c r="B117" s="2104">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6">I119</f>
        <v>0.8306</v>
      </c>
      <c r="K119" s="3574">
        <f t="shared" si="36"/>
        <v>0.8306</v>
      </c>
      <c r="L119" s="3574">
        <f t="shared" si="36"/>
        <v>0.8306</v>
      </c>
      <c r="M119" s="3635">
        <f t="shared" si="36"/>
        <v>0.8306</v>
      </c>
    </row>
    <row r="120" spans="1:14" ht="13.2">
      <c r="A120" s="3632" t="s">
        <v>3239</v>
      </c>
      <c r="B120" s="3574">
        <f>ROUND(0.993-0.0112*B117,4)</f>
        <v>0.98180000000000001</v>
      </c>
      <c r="C120" s="3574">
        <f>B120</f>
        <v>0.98180000000000001</v>
      </c>
      <c r="D120" s="3574">
        <f>ROUND(0.9415-0.0142*B117,4)</f>
        <v>0.92730000000000001</v>
      </c>
      <c r="E120" s="3574">
        <f t="shared" ref="E120:H121" si="37">D120</f>
        <v>0.92730000000000001</v>
      </c>
      <c r="F120" s="3574">
        <f t="shared" si="37"/>
        <v>0.92730000000000001</v>
      </c>
      <c r="G120" s="3574">
        <f t="shared" si="37"/>
        <v>0.92730000000000001</v>
      </c>
      <c r="H120" s="3574">
        <f t="shared" si="37"/>
        <v>0.92730000000000001</v>
      </c>
      <c r="I120" s="3574">
        <f>ROUND(0.838-0.0182*B117,4)</f>
        <v>0.81979999999999997</v>
      </c>
      <c r="J120" s="3574">
        <f t="shared" si="36"/>
        <v>0.81979999999999997</v>
      </c>
      <c r="K120" s="3574">
        <f t="shared" si="36"/>
        <v>0.81979999999999997</v>
      </c>
      <c r="L120" s="3574">
        <f t="shared" si="36"/>
        <v>0.81979999999999997</v>
      </c>
      <c r="M120" s="3635">
        <f t="shared" si="36"/>
        <v>0.81979999999999997</v>
      </c>
    </row>
    <row r="121" spans="1:14" ht="13.2">
      <c r="A121" s="3632" t="s">
        <v>3240</v>
      </c>
      <c r="B121" s="3574">
        <f>ROUND(0.9448-0.0115*B117,4)</f>
        <v>0.93330000000000002</v>
      </c>
      <c r="C121" s="3574">
        <f>B121</f>
        <v>0.93330000000000002</v>
      </c>
      <c r="D121" s="3574">
        <f>ROUND(0.937-0.0145*B117,4)</f>
        <v>0.92249999999999999</v>
      </c>
      <c r="E121" s="3574">
        <f t="shared" si="37"/>
        <v>0.92249999999999999</v>
      </c>
      <c r="F121" s="3574">
        <f t="shared" si="37"/>
        <v>0.92249999999999999</v>
      </c>
      <c r="G121" s="3574">
        <f t="shared" si="37"/>
        <v>0.92249999999999999</v>
      </c>
      <c r="H121" s="3574">
        <f t="shared" si="37"/>
        <v>0.92249999999999999</v>
      </c>
      <c r="I121" s="3574">
        <f>ROUND(0.7965-0.0185*B117,4)</f>
        <v>0.77800000000000002</v>
      </c>
      <c r="J121" s="3574">
        <f t="shared" si="36"/>
        <v>0.77800000000000002</v>
      </c>
      <c r="K121" s="3574">
        <f t="shared" si="36"/>
        <v>0.77800000000000002</v>
      </c>
      <c r="L121" s="3574">
        <f t="shared" si="36"/>
        <v>0.77800000000000002</v>
      </c>
      <c r="M121" s="3635">
        <f t="shared" si="36"/>
        <v>0.77800000000000002</v>
      </c>
    </row>
    <row r="122" spans="1:14" ht="13.8"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6"/>
        <v>0.57150000000000001</v>
      </c>
      <c r="K122" s="3636">
        <f t="shared" si="36"/>
        <v>0.57150000000000001</v>
      </c>
      <c r="L122" s="3636">
        <f t="shared" si="36"/>
        <v>0.57150000000000001</v>
      </c>
      <c r="M122" s="3637">
        <f t="shared" si="36"/>
        <v>0.57150000000000001</v>
      </c>
    </row>
    <row r="123" spans="1:14" ht="13.2">
      <c r="A123" s="3634" t="s">
        <v>3222</v>
      </c>
      <c r="B123" s="3574">
        <f>ROUND(0.9404-0.0106*B117,4)</f>
        <v>0.92979999999999996</v>
      </c>
      <c r="C123" s="3574">
        <f>B123</f>
        <v>0.92979999999999996</v>
      </c>
      <c r="D123" s="3574">
        <f>ROUND(0.8955-0.0135*B117,4)</f>
        <v>0.88200000000000001</v>
      </c>
      <c r="E123" s="3574">
        <f t="shared" ref="E123:H123" si="38">D123</f>
        <v>0.88200000000000001</v>
      </c>
      <c r="F123" s="3574">
        <f t="shared" si="38"/>
        <v>0.88200000000000001</v>
      </c>
      <c r="G123" s="3574">
        <f t="shared" si="38"/>
        <v>0.88200000000000001</v>
      </c>
      <c r="H123" s="3574">
        <f t="shared" si="38"/>
        <v>0.88200000000000001</v>
      </c>
      <c r="I123" s="3574">
        <f>ROUND(0.7632-0.0166*B117,4)</f>
        <v>0.74660000000000004</v>
      </c>
      <c r="J123" s="3574">
        <f t="shared" si="36"/>
        <v>0.74660000000000004</v>
      </c>
      <c r="K123" s="3574">
        <f t="shared" si="36"/>
        <v>0.74660000000000004</v>
      </c>
      <c r="L123" s="3574">
        <f t="shared" si="36"/>
        <v>0.74660000000000004</v>
      </c>
      <c r="M123" s="3635">
        <f t="shared" si="36"/>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7" t="s">
        <v>2769</v>
      </c>
      <c r="B8" s="3250">
        <v>80</v>
      </c>
      <c r="C8" s="3250">
        <v>80</v>
      </c>
      <c r="D8" s="3250">
        <v>70</v>
      </c>
      <c r="E8" s="3250">
        <v>70</v>
      </c>
      <c r="F8" s="3250">
        <v>70</v>
      </c>
      <c r="G8" s="3250">
        <v>70</v>
      </c>
      <c r="H8" s="3250">
        <v>70</v>
      </c>
      <c r="I8" s="3250">
        <v>60</v>
      </c>
      <c r="J8" s="3250">
        <v>60</v>
      </c>
      <c r="K8" s="3250">
        <v>60</v>
      </c>
      <c r="L8" s="3250">
        <v>60</v>
      </c>
      <c r="M8" s="3251">
        <v>60</v>
      </c>
    </row>
    <row r="9" spans="1:13">
      <c r="A9" s="1009" t="s">
        <v>2770</v>
      </c>
      <c r="B9" s="3252">
        <v>70</v>
      </c>
      <c r="C9" s="3252">
        <v>70</v>
      </c>
      <c r="D9" s="3252">
        <v>60</v>
      </c>
      <c r="E9" s="3252">
        <v>60</v>
      </c>
      <c r="F9" s="3252">
        <v>60</v>
      </c>
      <c r="G9" s="3252">
        <v>60</v>
      </c>
      <c r="H9" s="3252">
        <v>60</v>
      </c>
      <c r="I9" s="3252">
        <v>50</v>
      </c>
      <c r="J9" s="3252">
        <v>50</v>
      </c>
      <c r="K9" s="3252">
        <v>50</v>
      </c>
      <c r="L9" s="3252">
        <v>50</v>
      </c>
      <c r="M9" s="3253">
        <v>50</v>
      </c>
    </row>
    <row r="10" spans="1:13">
      <c r="A10" s="1009"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4" t="s">
        <v>2459</v>
      </c>
      <c r="B19" s="3256" t="s">
        <v>2460</v>
      </c>
      <c r="C19" s="3257" t="s">
        <v>2461</v>
      </c>
      <c r="D19" s="3258"/>
      <c r="E19" s="3252" t="s">
        <v>2462</v>
      </c>
      <c r="F19" s="1033"/>
      <c r="G19" s="1033"/>
    </row>
    <row r="20" spans="1:13" s="1408" customFormat="1">
      <c r="A20" s="3966" t="s">
        <v>2453</v>
      </c>
      <c r="B20" s="3969" t="s">
        <v>2463</v>
      </c>
      <c r="C20" s="3259" t="s">
        <v>2464</v>
      </c>
      <c r="D20" s="3260"/>
      <c r="E20" s="3261">
        <v>1</v>
      </c>
      <c r="F20" s="3262" t="s">
        <v>2465</v>
      </c>
      <c r="G20" s="1035"/>
      <c r="H20" s="1025"/>
      <c r="I20" s="1025"/>
    </row>
    <row r="21" spans="1:13" s="1408" customFormat="1">
      <c r="A21" s="3967"/>
      <c r="B21" s="3970"/>
      <c r="C21" s="3263" t="s">
        <v>2466</v>
      </c>
      <c r="D21" s="3264"/>
      <c r="E21" s="3265">
        <v>1</v>
      </c>
      <c r="F21" s="3262" t="s">
        <v>2467</v>
      </c>
      <c r="G21" s="1035"/>
      <c r="H21" s="1025"/>
      <c r="I21" s="1025"/>
    </row>
    <row r="22" spans="1:13" s="1408" customFormat="1">
      <c r="A22" s="3967"/>
      <c r="B22" s="3970"/>
      <c r="C22" s="3263" t="s">
        <v>2468</v>
      </c>
      <c r="D22" s="3264"/>
      <c r="E22" s="3265">
        <v>0.9</v>
      </c>
      <c r="F22" s="3262" t="s">
        <v>2469</v>
      </c>
      <c r="G22" s="1035"/>
      <c r="H22" s="1025"/>
      <c r="I22" s="1025"/>
    </row>
    <row r="23" spans="1:13" s="1408" customFormat="1">
      <c r="A23" s="3967"/>
      <c r="B23" s="3970"/>
      <c r="C23" s="3263" t="s">
        <v>2470</v>
      </c>
      <c r="D23" s="3264"/>
      <c r="E23" s="3265">
        <v>0.9</v>
      </c>
      <c r="F23" s="3262" t="s">
        <v>2471</v>
      </c>
      <c r="G23" s="1035"/>
      <c r="H23" s="1025"/>
      <c r="I23" s="1025"/>
    </row>
    <row r="24" spans="1:13" s="1408" customFormat="1">
      <c r="A24" s="3967"/>
      <c r="B24" s="3970"/>
      <c r="C24" s="3263" t="s">
        <v>2472</v>
      </c>
      <c r="D24" s="3264"/>
      <c r="E24" s="3265">
        <v>0.8</v>
      </c>
      <c r="F24" s="3262" t="s">
        <v>2473</v>
      </c>
      <c r="G24" s="1035"/>
      <c r="H24" s="1025"/>
      <c r="I24" s="1025"/>
    </row>
    <row r="25" spans="1:13" s="1408" customFormat="1" ht="15" thickBot="1">
      <c r="A25" s="3968"/>
      <c r="B25" s="3971"/>
      <c r="C25" s="3266" t="s">
        <v>2474</v>
      </c>
      <c r="D25" s="3267"/>
      <c r="E25" s="3268">
        <v>0.8</v>
      </c>
      <c r="F25" s="3262" t="s">
        <v>2475</v>
      </c>
      <c r="G25" s="1035"/>
      <c r="H25" s="1025"/>
      <c r="I25" s="1025"/>
    </row>
    <row r="26" spans="1:13" s="1408" customFormat="1" ht="15" thickBot="1">
      <c r="A26" s="3269" t="s">
        <v>2454</v>
      </c>
      <c r="B26" s="3270" t="s">
        <v>2463</v>
      </c>
      <c r="C26" s="3271" t="s">
        <v>2476</v>
      </c>
      <c r="D26" s="3272"/>
      <c r="E26" s="3273">
        <v>1</v>
      </c>
      <c r="F26" s="3262" t="s">
        <v>2477</v>
      </c>
      <c r="G26" s="1035"/>
      <c r="H26" s="1025"/>
      <c r="I26" s="1025"/>
    </row>
    <row r="27" spans="1:13" s="1408" customFormat="1">
      <c r="A27" s="3972" t="s">
        <v>2458</v>
      </c>
      <c r="B27" s="3969" t="s">
        <v>2458</v>
      </c>
      <c r="C27" s="3259" t="s">
        <v>2478</v>
      </c>
      <c r="D27" s="3260"/>
      <c r="E27" s="3261">
        <v>1</v>
      </c>
      <c r="F27" s="3262" t="s">
        <v>2479</v>
      </c>
      <c r="G27" s="1035"/>
      <c r="H27" s="1025"/>
      <c r="I27" s="1025"/>
    </row>
    <row r="28" spans="1:13" s="1408" customFormat="1">
      <c r="A28" s="3973"/>
      <c r="B28" s="3970"/>
      <c r="C28" s="3263" t="s">
        <v>2480</v>
      </c>
      <c r="D28" s="3264"/>
      <c r="E28" s="3265">
        <v>1</v>
      </c>
      <c r="F28" s="3262" t="s">
        <v>2481</v>
      </c>
      <c r="G28" s="1035"/>
      <c r="H28" s="1025"/>
      <c r="I28" s="1025"/>
    </row>
    <row r="29" spans="1:13" s="1408" customFormat="1">
      <c r="A29" s="3973"/>
      <c r="B29" s="3970"/>
      <c r="C29" s="3263" t="s">
        <v>2482</v>
      </c>
      <c r="D29" s="3264"/>
      <c r="E29" s="3265">
        <v>0.8</v>
      </c>
      <c r="F29" s="3262" t="s">
        <v>2483</v>
      </c>
      <c r="G29" s="1035"/>
      <c r="H29" s="1025"/>
      <c r="I29" s="1025"/>
    </row>
    <row r="30" spans="1:13" s="1408" customFormat="1">
      <c r="A30" s="3973"/>
      <c r="B30" s="3970"/>
      <c r="C30" s="3263" t="s">
        <v>2484</v>
      </c>
      <c r="D30" s="3264"/>
      <c r="E30" s="3265">
        <v>0.8</v>
      </c>
      <c r="F30" s="3262" t="s">
        <v>2485</v>
      </c>
      <c r="G30" s="1035"/>
      <c r="H30" s="1025"/>
      <c r="I30" s="1025"/>
    </row>
    <row r="31" spans="1:13" s="1408" customFormat="1">
      <c r="A31" s="3973"/>
      <c r="B31" s="3970"/>
      <c r="C31" s="3263" t="s">
        <v>2486</v>
      </c>
      <c r="D31" s="3264"/>
      <c r="E31" s="3265">
        <v>0.8</v>
      </c>
      <c r="F31" s="3262" t="s">
        <v>2487</v>
      </c>
      <c r="G31" s="1035"/>
      <c r="H31" s="1025"/>
      <c r="I31" s="1025"/>
    </row>
    <row r="32" spans="1:13" s="1408" customFormat="1">
      <c r="A32" s="3973"/>
      <c r="B32" s="3970"/>
      <c r="C32" s="3263" t="s">
        <v>2488</v>
      </c>
      <c r="D32" s="3264"/>
      <c r="E32" s="3265">
        <v>0.7</v>
      </c>
      <c r="F32" s="3262" t="s">
        <v>2489</v>
      </c>
      <c r="G32" s="1035"/>
      <c r="H32" s="1025"/>
      <c r="I32" s="1025"/>
    </row>
    <row r="33" spans="1:9" s="1408" customFormat="1">
      <c r="A33" s="3973"/>
      <c r="B33" s="3970"/>
      <c r="C33" s="3263" t="s">
        <v>2490</v>
      </c>
      <c r="D33" s="3264"/>
      <c r="E33" s="3265">
        <v>0.8</v>
      </c>
      <c r="F33" s="3262" t="s">
        <v>2491</v>
      </c>
      <c r="G33" s="1035"/>
      <c r="H33" s="1025"/>
      <c r="I33" s="1025"/>
    </row>
    <row r="34" spans="1:9" s="1408" customFormat="1">
      <c r="A34" s="3973"/>
      <c r="B34" s="3970"/>
      <c r="C34" s="3263" t="s">
        <v>2492</v>
      </c>
      <c r="D34" s="3264"/>
      <c r="E34" s="3265">
        <v>0.6</v>
      </c>
      <c r="F34" s="3262" t="s">
        <v>2493</v>
      </c>
      <c r="G34" s="1035"/>
      <c r="H34" s="1025"/>
      <c r="I34" s="1025"/>
    </row>
    <row r="35" spans="1:9" s="1408" customFormat="1">
      <c r="A35" s="3973"/>
      <c r="B35" s="3970"/>
      <c r="C35" s="3263" t="s">
        <v>2494</v>
      </c>
      <c r="D35" s="3264"/>
      <c r="E35" s="3265">
        <v>0.2</v>
      </c>
      <c r="F35" s="3262" t="s">
        <v>2495</v>
      </c>
      <c r="G35" s="1035"/>
      <c r="H35" s="1025"/>
      <c r="I35" s="1025"/>
    </row>
    <row r="36" spans="1:9" s="1408" customFormat="1">
      <c r="A36" s="3973"/>
      <c r="B36" s="3970"/>
      <c r="C36" s="3263" t="s">
        <v>2496</v>
      </c>
      <c r="D36" s="3264"/>
      <c r="E36" s="3265">
        <v>0.2</v>
      </c>
      <c r="F36" s="3262" t="s">
        <v>2497</v>
      </c>
      <c r="G36" s="1035"/>
      <c r="H36" s="1025"/>
      <c r="I36" s="1025"/>
    </row>
    <row r="37" spans="1:9" s="1408" customFormat="1">
      <c r="A37" s="3973"/>
      <c r="B37" s="3975" t="s">
        <v>2498</v>
      </c>
      <c r="C37" s="3263" t="s">
        <v>2499</v>
      </c>
      <c r="D37" s="3264"/>
      <c r="E37" s="3265">
        <v>0.6</v>
      </c>
      <c r="F37" s="3262" t="s">
        <v>2500</v>
      </c>
      <c r="G37" s="1035"/>
      <c r="H37" s="1025"/>
      <c r="I37" s="1025"/>
    </row>
    <row r="38" spans="1:9" s="1408" customFormat="1">
      <c r="A38" s="3973"/>
      <c r="B38" s="3970"/>
      <c r="C38" s="3263" t="s">
        <v>2501</v>
      </c>
      <c r="D38" s="3264"/>
      <c r="E38" s="3265">
        <v>0.6</v>
      </c>
      <c r="F38" s="3262" t="s">
        <v>2502</v>
      </c>
      <c r="G38" s="1035"/>
      <c r="H38" s="1025"/>
      <c r="I38" s="1025"/>
    </row>
    <row r="39" spans="1:9" s="1408" customFormat="1" ht="15" thickBot="1">
      <c r="A39" s="3974"/>
      <c r="B39" s="3971"/>
      <c r="C39" s="3266" t="s">
        <v>2503</v>
      </c>
      <c r="D39" s="3267"/>
      <c r="E39" s="3268">
        <v>0.6</v>
      </c>
      <c r="F39" s="3262" t="s">
        <v>2504</v>
      </c>
      <c r="G39" s="1035"/>
      <c r="H39" s="1025"/>
      <c r="I39" s="1025"/>
    </row>
    <row r="40" spans="1:9" s="1408" customFormat="1" ht="15" thickBot="1">
      <c r="A40" s="3269" t="s">
        <v>2455</v>
      </c>
      <c r="B40" s="3270" t="s">
        <v>2455</v>
      </c>
      <c r="C40" s="3271" t="s">
        <v>2505</v>
      </c>
      <c r="D40" s="3272"/>
      <c r="E40" s="3273">
        <v>1</v>
      </c>
      <c r="F40" s="3262" t="s">
        <v>2506</v>
      </c>
      <c r="G40" s="1035"/>
      <c r="H40" s="1025"/>
      <c r="I40" s="1025"/>
    </row>
    <row r="41" spans="1:9" s="1408" customFormat="1">
      <c r="A41" s="3966" t="s">
        <v>2456</v>
      </c>
      <c r="B41" s="3969" t="s">
        <v>2507</v>
      </c>
      <c r="C41" s="3259" t="s">
        <v>2508</v>
      </c>
      <c r="D41" s="3260"/>
      <c r="E41" s="3261">
        <v>1</v>
      </c>
      <c r="F41" s="3262" t="s">
        <v>2509</v>
      </c>
      <c r="G41" s="1035"/>
      <c r="H41" s="1025"/>
      <c r="I41" s="1025"/>
    </row>
    <row r="42" spans="1:9" s="1408" customFormat="1">
      <c r="A42" s="3967"/>
      <c r="B42" s="3970"/>
      <c r="C42" s="3263" t="s">
        <v>2510</v>
      </c>
      <c r="D42" s="3264"/>
      <c r="E42" s="3265">
        <v>1</v>
      </c>
      <c r="F42" s="3262" t="s">
        <v>2511</v>
      </c>
      <c r="G42" s="1035"/>
      <c r="H42" s="1025"/>
      <c r="I42" s="1025"/>
    </row>
    <row r="43" spans="1:9" s="1408" customFormat="1">
      <c r="A43" s="3967"/>
      <c r="B43" s="3976"/>
      <c r="C43" s="3263" t="s">
        <v>2512</v>
      </c>
      <c r="D43" s="3264"/>
      <c r="E43" s="3265">
        <v>1.5</v>
      </c>
      <c r="F43" s="3262" t="s">
        <v>2513</v>
      </c>
      <c r="G43" s="1035"/>
      <c r="H43" s="1025"/>
      <c r="I43" s="1025"/>
    </row>
    <row r="44" spans="1:9" s="1408" customFormat="1">
      <c r="A44" s="3967"/>
      <c r="B44" s="3274" t="s">
        <v>2458</v>
      </c>
      <c r="C44" s="3263" t="s">
        <v>2457</v>
      </c>
      <c r="D44" s="3264"/>
      <c r="E44" s="3265">
        <v>2</v>
      </c>
      <c r="F44" s="3262" t="s">
        <v>2514</v>
      </c>
      <c r="G44" s="1035"/>
      <c r="H44" s="1025"/>
      <c r="I44" s="1025"/>
    </row>
    <row r="45" spans="1:9" s="1408" customFormat="1">
      <c r="A45" s="3967"/>
      <c r="B45" s="3975" t="s">
        <v>2515</v>
      </c>
      <c r="C45" s="3263" t="s">
        <v>2516</v>
      </c>
      <c r="D45" s="3264"/>
      <c r="E45" s="3265">
        <v>1</v>
      </c>
      <c r="F45" s="3262" t="s">
        <v>2517</v>
      </c>
      <c r="G45" s="1035"/>
      <c r="H45" s="1025"/>
      <c r="I45" s="1025"/>
    </row>
    <row r="46" spans="1:9" s="1408" customFormat="1">
      <c r="A46" s="3967"/>
      <c r="B46" s="3970"/>
      <c r="C46" s="3263" t="s">
        <v>2518</v>
      </c>
      <c r="D46" s="3264"/>
      <c r="E46" s="3265">
        <v>1</v>
      </c>
      <c r="F46" s="3262" t="s">
        <v>2519</v>
      </c>
      <c r="G46" s="1035"/>
      <c r="H46" s="1025"/>
      <c r="I46" s="1025"/>
    </row>
    <row r="47" spans="1:9" s="1408" customFormat="1">
      <c r="A47" s="3967"/>
      <c r="B47" s="3970"/>
      <c r="C47" s="3263" t="s">
        <v>2520</v>
      </c>
      <c r="D47" s="3264"/>
      <c r="E47" s="3265">
        <v>1</v>
      </c>
      <c r="F47" s="3262" t="s">
        <v>2521</v>
      </c>
      <c r="G47" s="1035"/>
      <c r="H47" s="1025"/>
      <c r="I47" s="1025"/>
    </row>
    <row r="48" spans="1:9" s="1408" customFormat="1">
      <c r="A48" s="3967"/>
      <c r="B48" s="3970"/>
      <c r="C48" s="3263" t="s">
        <v>2522</v>
      </c>
      <c r="D48" s="3264"/>
      <c r="E48" s="3265">
        <v>1</v>
      </c>
      <c r="F48" s="3262" t="s">
        <v>2523</v>
      </c>
      <c r="G48" s="1035"/>
      <c r="H48" s="1025"/>
      <c r="I48" s="1025"/>
    </row>
    <row r="49" spans="1:9" s="1408" customFormat="1">
      <c r="A49" s="3967"/>
      <c r="B49" s="3970"/>
      <c r="C49" s="3263" t="s">
        <v>2524</v>
      </c>
      <c r="D49" s="3264"/>
      <c r="E49" s="3265">
        <v>1</v>
      </c>
      <c r="F49" s="3262" t="s">
        <v>2525</v>
      </c>
      <c r="G49" s="1035"/>
      <c r="H49" s="1025"/>
      <c r="I49" s="1025"/>
    </row>
    <row r="50" spans="1:9" s="1408" customFormat="1">
      <c r="A50" s="3967"/>
      <c r="B50" s="3970"/>
      <c r="C50" s="3263" t="s">
        <v>2526</v>
      </c>
      <c r="D50" s="3264"/>
      <c r="E50" s="3265">
        <v>1</v>
      </c>
      <c r="F50" s="3262" t="s">
        <v>2527</v>
      </c>
      <c r="G50" s="1035"/>
      <c r="H50" s="1025"/>
      <c r="I50" s="1025"/>
    </row>
    <row r="51" spans="1:9" s="1408" customFormat="1" ht="15" thickBot="1">
      <c r="A51" s="3968"/>
      <c r="B51" s="3971"/>
      <c r="C51" s="3266" t="s">
        <v>2528</v>
      </c>
      <c r="D51" s="3267"/>
      <c r="E51" s="3268">
        <v>1</v>
      </c>
      <c r="F51" s="3262"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ht="24">
      <c r="A73" s="3274">
        <v>1</v>
      </c>
      <c r="B73" s="3975" t="s">
        <v>2531</v>
      </c>
      <c r="C73" s="3252" t="s">
        <v>2532</v>
      </c>
      <c r="D73" s="3252" t="s">
        <v>2533</v>
      </c>
      <c r="E73" s="3275">
        <v>0.2</v>
      </c>
      <c r="F73" s="3274">
        <v>25</v>
      </c>
      <c r="H73" s="1025">
        <f>SUMIF(C71:C139,基准地价!C8,E71:E139)</f>
        <v>0</v>
      </c>
    </row>
    <row r="74" spans="1:8" s="1025" customFormat="1" ht="36">
      <c r="A74" s="3274">
        <v>2</v>
      </c>
      <c r="B74" s="3970"/>
      <c r="C74" s="3252" t="s">
        <v>2534</v>
      </c>
      <c r="D74" s="3252" t="s">
        <v>2535</v>
      </c>
      <c r="E74" s="3275">
        <v>0.2</v>
      </c>
      <c r="F74" s="3274">
        <v>25</v>
      </c>
    </row>
    <row r="75" spans="1:8" s="1025" customFormat="1" ht="24">
      <c r="A75" s="3274">
        <v>3</v>
      </c>
      <c r="B75" s="3970"/>
      <c r="C75" s="3252" t="s">
        <v>2536</v>
      </c>
      <c r="D75" s="3252" t="s">
        <v>2537</v>
      </c>
      <c r="E75" s="3275">
        <v>0.2</v>
      </c>
      <c r="F75" s="3274">
        <v>25</v>
      </c>
    </row>
    <row r="76" spans="1:8" s="1025" customFormat="1" ht="24">
      <c r="A76" s="3274">
        <v>4</v>
      </c>
      <c r="B76" s="3970"/>
      <c r="C76" s="3252" t="s">
        <v>2538</v>
      </c>
      <c r="D76" s="3252" t="s">
        <v>2539</v>
      </c>
      <c r="E76" s="3275">
        <v>0.15</v>
      </c>
      <c r="F76" s="3274">
        <v>20</v>
      </c>
    </row>
    <row r="77" spans="1:8" s="1025" customFormat="1" ht="24">
      <c r="A77" s="3274">
        <v>5</v>
      </c>
      <c r="B77" s="3970"/>
      <c r="C77" s="3252" t="s">
        <v>2540</v>
      </c>
      <c r="D77" s="3252" t="s">
        <v>2541</v>
      </c>
      <c r="E77" s="3275">
        <v>0.15</v>
      </c>
      <c r="F77" s="3274">
        <v>20</v>
      </c>
    </row>
    <row r="78" spans="1:8" s="1025" customFormat="1" ht="24">
      <c r="A78" s="3274">
        <v>6</v>
      </c>
      <c r="B78" s="3970"/>
      <c r="C78" s="3252" t="s">
        <v>2542</v>
      </c>
      <c r="D78" s="3252" t="s">
        <v>2543</v>
      </c>
      <c r="E78" s="3275">
        <v>0.15</v>
      </c>
      <c r="F78" s="3274">
        <v>20</v>
      </c>
    </row>
    <row r="79" spans="1:8" s="1025" customFormat="1" ht="36">
      <c r="A79" s="3274">
        <v>7</v>
      </c>
      <c r="B79" s="3970"/>
      <c r="C79" s="3252" t="s">
        <v>2544</v>
      </c>
      <c r="D79" s="3252" t="s">
        <v>2545</v>
      </c>
      <c r="E79" s="3275">
        <v>0.15</v>
      </c>
      <c r="F79" s="3274">
        <v>20</v>
      </c>
    </row>
    <row r="80" spans="1:8" s="1025" customFormat="1" ht="24">
      <c r="A80" s="3274">
        <v>8</v>
      </c>
      <c r="B80" s="3970"/>
      <c r="C80" s="3252" t="s">
        <v>2546</v>
      </c>
      <c r="D80" s="3252" t="s">
        <v>2547</v>
      </c>
      <c r="E80" s="3275">
        <v>0.1</v>
      </c>
      <c r="F80" s="3274">
        <v>15</v>
      </c>
    </row>
    <row r="81" spans="1:6" s="1025" customFormat="1" ht="24">
      <c r="A81" s="3274">
        <v>9</v>
      </c>
      <c r="B81" s="3970"/>
      <c r="C81" s="3252" t="s">
        <v>2548</v>
      </c>
      <c r="D81" s="3252" t="s">
        <v>2549</v>
      </c>
      <c r="E81" s="3275">
        <v>0.1</v>
      </c>
      <c r="F81" s="3274">
        <v>15</v>
      </c>
    </row>
    <row r="82" spans="1:6" s="1025" customFormat="1" ht="24">
      <c r="A82" s="3274">
        <v>10</v>
      </c>
      <c r="B82" s="3970"/>
      <c r="C82" s="3252" t="s">
        <v>2550</v>
      </c>
      <c r="D82" s="3252" t="s">
        <v>2551</v>
      </c>
      <c r="E82" s="3275">
        <v>0.1</v>
      </c>
      <c r="F82" s="3274">
        <v>15</v>
      </c>
    </row>
    <row r="83" spans="1:6" s="1025" customFormat="1" ht="36">
      <c r="A83" s="3274">
        <v>11</v>
      </c>
      <c r="B83" s="3970"/>
      <c r="C83" s="3252" t="s">
        <v>2552</v>
      </c>
      <c r="D83" s="3252" t="s">
        <v>2553</v>
      </c>
      <c r="E83" s="3275">
        <v>0.1</v>
      </c>
      <c r="F83" s="3274">
        <v>15</v>
      </c>
    </row>
    <row r="84" spans="1:6" s="1025" customFormat="1" ht="36">
      <c r="A84" s="3274">
        <v>12</v>
      </c>
      <c r="B84" s="3970"/>
      <c r="C84" s="3252" t="s">
        <v>2554</v>
      </c>
      <c r="D84" s="3252" t="s">
        <v>2555</v>
      </c>
      <c r="E84" s="3275">
        <v>0.1</v>
      </c>
      <c r="F84" s="3274">
        <v>15</v>
      </c>
    </row>
    <row r="85" spans="1:6" s="1025" customFormat="1" ht="24">
      <c r="A85" s="3274">
        <v>13</v>
      </c>
      <c r="B85" s="3970"/>
      <c r="C85" s="3252" t="s">
        <v>2556</v>
      </c>
      <c r="D85" s="3252" t="s">
        <v>2557</v>
      </c>
      <c r="E85" s="3275">
        <v>0.1</v>
      </c>
      <c r="F85" s="3274">
        <v>15</v>
      </c>
    </row>
    <row r="86" spans="1:6" s="1025" customFormat="1" ht="24">
      <c r="A86" s="3274">
        <v>14</v>
      </c>
      <c r="B86" s="3970"/>
      <c r="C86" s="3252" t="s">
        <v>2558</v>
      </c>
      <c r="D86" s="3252" t="s">
        <v>2559</v>
      </c>
      <c r="E86" s="3275">
        <v>0.1</v>
      </c>
      <c r="F86" s="3274">
        <v>15</v>
      </c>
    </row>
    <row r="87" spans="1:6" s="1025" customFormat="1" ht="24">
      <c r="A87" s="3274">
        <v>15</v>
      </c>
      <c r="B87" s="3970"/>
      <c r="C87" s="3252" t="s">
        <v>2560</v>
      </c>
      <c r="D87" s="3252" t="s">
        <v>2561</v>
      </c>
      <c r="E87" s="3275">
        <v>0.1</v>
      </c>
      <c r="F87" s="3274">
        <v>15</v>
      </c>
    </row>
    <row r="88" spans="1:6" s="1025" customFormat="1" ht="24">
      <c r="A88" s="3274">
        <v>16</v>
      </c>
      <c r="B88" s="3970"/>
      <c r="C88" s="3252" t="s">
        <v>2562</v>
      </c>
      <c r="D88" s="3252" t="s">
        <v>2563</v>
      </c>
      <c r="E88" s="3275">
        <v>0.1</v>
      </c>
      <c r="F88" s="3274">
        <v>15</v>
      </c>
    </row>
    <row r="89" spans="1:6" s="1025" customFormat="1" ht="36">
      <c r="A89" s="3274">
        <v>17</v>
      </c>
      <c r="B89" s="3976"/>
      <c r="C89" s="3252" t="s">
        <v>2564</v>
      </c>
      <c r="D89" s="3252" t="s">
        <v>2565</v>
      </c>
      <c r="E89" s="3275">
        <v>0.1</v>
      </c>
      <c r="F89" s="3274">
        <v>15</v>
      </c>
    </row>
    <row r="90" spans="1:6" s="1025" customFormat="1" ht="24">
      <c r="A90" s="3274">
        <v>18</v>
      </c>
      <c r="B90" s="3975" t="s">
        <v>2566</v>
      </c>
      <c r="C90" s="3252" t="s">
        <v>2567</v>
      </c>
      <c r="D90" s="3252" t="s">
        <v>2568</v>
      </c>
      <c r="E90" s="3275">
        <v>0.2</v>
      </c>
      <c r="F90" s="3274">
        <v>25</v>
      </c>
    </row>
    <row r="91" spans="1:6" s="1025" customFormat="1" ht="36">
      <c r="A91" s="3274">
        <v>19</v>
      </c>
      <c r="B91" s="3970"/>
      <c r="C91" s="3252" t="s">
        <v>2569</v>
      </c>
      <c r="D91" s="3252" t="s">
        <v>2570</v>
      </c>
      <c r="E91" s="3275">
        <v>0.2</v>
      </c>
      <c r="F91" s="3274">
        <v>25</v>
      </c>
    </row>
    <row r="92" spans="1:6" s="1025" customFormat="1" ht="24">
      <c r="A92" s="3274">
        <v>20</v>
      </c>
      <c r="B92" s="3970"/>
      <c r="C92" s="3252" t="s">
        <v>2571</v>
      </c>
      <c r="D92" s="3252" t="s">
        <v>2572</v>
      </c>
      <c r="E92" s="3275">
        <v>0.15</v>
      </c>
      <c r="F92" s="3274">
        <v>20</v>
      </c>
    </row>
    <row r="93" spans="1:6" s="1025" customFormat="1" ht="24">
      <c r="A93" s="3274">
        <v>21</v>
      </c>
      <c r="B93" s="3970"/>
      <c r="C93" s="3252" t="s">
        <v>2573</v>
      </c>
      <c r="D93" s="3252" t="s">
        <v>2574</v>
      </c>
      <c r="E93" s="3275">
        <v>0.15</v>
      </c>
      <c r="F93" s="3274">
        <v>20</v>
      </c>
    </row>
    <row r="94" spans="1:6" s="1025" customFormat="1" ht="24">
      <c r="A94" s="3274">
        <v>22</v>
      </c>
      <c r="B94" s="3970"/>
      <c r="C94" s="3252" t="s">
        <v>2575</v>
      </c>
      <c r="D94" s="3252" t="s">
        <v>2576</v>
      </c>
      <c r="E94" s="3275">
        <v>0.15</v>
      </c>
      <c r="F94" s="3274">
        <v>20</v>
      </c>
    </row>
    <row r="95" spans="1:6" s="1025" customFormat="1" ht="48">
      <c r="A95" s="3274">
        <v>23</v>
      </c>
      <c r="B95" s="3970"/>
      <c r="C95" s="3252" t="s">
        <v>2577</v>
      </c>
      <c r="D95" s="3252" t="s">
        <v>2578</v>
      </c>
      <c r="E95" s="3275">
        <v>0.15</v>
      </c>
      <c r="F95" s="3274">
        <v>20</v>
      </c>
    </row>
    <row r="96" spans="1:6" s="1025" customFormat="1" ht="24">
      <c r="A96" s="3274">
        <v>24</v>
      </c>
      <c r="B96" s="3970"/>
      <c r="C96" s="3252" t="s">
        <v>2579</v>
      </c>
      <c r="D96" s="3252" t="s">
        <v>2580</v>
      </c>
      <c r="E96" s="3275">
        <v>0.1</v>
      </c>
      <c r="F96" s="3274">
        <v>15</v>
      </c>
    </row>
    <row r="97" spans="1:6" s="1025" customFormat="1" ht="24">
      <c r="A97" s="3274">
        <v>25</v>
      </c>
      <c r="B97" s="3970"/>
      <c r="C97" s="3252" t="s">
        <v>2581</v>
      </c>
      <c r="D97" s="3252" t="s">
        <v>2582</v>
      </c>
      <c r="E97" s="3275">
        <v>0.1</v>
      </c>
      <c r="F97" s="3274">
        <v>15</v>
      </c>
    </row>
    <row r="98" spans="1:6" s="1025" customFormat="1" ht="36">
      <c r="A98" s="3274">
        <v>26</v>
      </c>
      <c r="B98" s="3970"/>
      <c r="C98" s="3252" t="s">
        <v>2583</v>
      </c>
      <c r="D98" s="3252" t="s">
        <v>2584</v>
      </c>
      <c r="E98" s="3275">
        <v>0.1</v>
      </c>
      <c r="F98" s="3274">
        <v>15</v>
      </c>
    </row>
    <row r="99" spans="1:6" s="1025" customFormat="1" ht="24">
      <c r="A99" s="3274">
        <v>27</v>
      </c>
      <c r="B99" s="3970"/>
      <c r="C99" s="3252" t="s">
        <v>2585</v>
      </c>
      <c r="D99" s="3252" t="s">
        <v>2586</v>
      </c>
      <c r="E99" s="3275">
        <v>0.1</v>
      </c>
      <c r="F99" s="3274">
        <v>15</v>
      </c>
    </row>
    <row r="100" spans="1:6" s="1025" customFormat="1" ht="24">
      <c r="A100" s="3274">
        <v>28</v>
      </c>
      <c r="B100" s="3970"/>
      <c r="C100" s="3252" t="s">
        <v>2587</v>
      </c>
      <c r="D100" s="3252" t="s">
        <v>2588</v>
      </c>
      <c r="E100" s="3275">
        <v>0.1</v>
      </c>
      <c r="F100" s="3274">
        <v>15</v>
      </c>
    </row>
    <row r="101" spans="1:6" s="1025" customFormat="1" ht="24">
      <c r="A101" s="3274">
        <v>29</v>
      </c>
      <c r="B101" s="3970"/>
      <c r="C101" s="3252" t="s">
        <v>2589</v>
      </c>
      <c r="D101" s="3252" t="s">
        <v>2590</v>
      </c>
      <c r="E101" s="3275">
        <v>0.1</v>
      </c>
      <c r="F101" s="3274">
        <v>15</v>
      </c>
    </row>
    <row r="102" spans="1:6" s="1025" customFormat="1" ht="24">
      <c r="A102" s="3274">
        <v>30</v>
      </c>
      <c r="B102" s="3970"/>
      <c r="C102" s="3252" t="s">
        <v>2591</v>
      </c>
      <c r="D102" s="3252" t="s">
        <v>2592</v>
      </c>
      <c r="E102" s="3275">
        <v>0.1</v>
      </c>
      <c r="F102" s="3274">
        <v>15</v>
      </c>
    </row>
    <row r="103" spans="1:6" s="1025" customFormat="1" ht="24">
      <c r="A103" s="3274">
        <v>31</v>
      </c>
      <c r="B103" s="3970"/>
      <c r="C103" s="3252" t="s">
        <v>2593</v>
      </c>
      <c r="D103" s="3252" t="s">
        <v>2594</v>
      </c>
      <c r="E103" s="3275">
        <v>0.1</v>
      </c>
      <c r="F103" s="3274">
        <v>15</v>
      </c>
    </row>
    <row r="104" spans="1:6" s="1025" customFormat="1" ht="36">
      <c r="A104" s="3274">
        <v>32</v>
      </c>
      <c r="B104" s="3970"/>
      <c r="C104" s="3252" t="s">
        <v>2595</v>
      </c>
      <c r="D104" s="3252" t="s">
        <v>2596</v>
      </c>
      <c r="E104" s="3275">
        <v>0.1</v>
      </c>
      <c r="F104" s="3274">
        <v>15</v>
      </c>
    </row>
    <row r="105" spans="1:6" s="1025" customFormat="1" ht="36">
      <c r="A105" s="3274">
        <v>33</v>
      </c>
      <c r="B105" s="3970"/>
      <c r="C105" s="3252" t="s">
        <v>2597</v>
      </c>
      <c r="D105" s="3252" t="s">
        <v>2598</v>
      </c>
      <c r="E105" s="3275">
        <v>0.1</v>
      </c>
      <c r="F105" s="3274">
        <v>15</v>
      </c>
    </row>
    <row r="106" spans="1:6" s="1025" customFormat="1" ht="24">
      <c r="A106" s="3274">
        <v>34</v>
      </c>
      <c r="B106" s="3976"/>
      <c r="C106" s="3252" t="s">
        <v>2599</v>
      </c>
      <c r="D106" s="3252" t="s">
        <v>2600</v>
      </c>
      <c r="E106" s="3275">
        <v>0.1</v>
      </c>
      <c r="F106" s="3274">
        <v>15</v>
      </c>
    </row>
    <row r="107" spans="1:6" s="1025" customFormat="1" ht="36">
      <c r="A107" s="3274">
        <v>35</v>
      </c>
      <c r="B107" s="3975" t="s">
        <v>2601</v>
      </c>
      <c r="C107" s="3274" t="s">
        <v>2602</v>
      </c>
      <c r="D107" s="3252" t="s">
        <v>2603</v>
      </c>
      <c r="E107" s="3275">
        <v>0.15</v>
      </c>
      <c r="F107" s="3274">
        <v>20</v>
      </c>
    </row>
    <row r="108" spans="1:6" s="1025" customFormat="1" ht="24">
      <c r="A108" s="3274">
        <v>36</v>
      </c>
      <c r="B108" s="3970"/>
      <c r="C108" s="3274" t="s">
        <v>2604</v>
      </c>
      <c r="D108" s="3252" t="s">
        <v>2605</v>
      </c>
      <c r="E108" s="3275">
        <v>0.15</v>
      </c>
      <c r="F108" s="3274">
        <v>20</v>
      </c>
    </row>
    <row r="109" spans="1:6" s="1025" customFormat="1" ht="24">
      <c r="A109" s="3274">
        <v>37</v>
      </c>
      <c r="B109" s="3970"/>
      <c r="C109" s="3274" t="s">
        <v>2606</v>
      </c>
      <c r="D109" s="3252" t="s">
        <v>2607</v>
      </c>
      <c r="E109" s="3275">
        <v>0.15</v>
      </c>
      <c r="F109" s="3274">
        <v>20</v>
      </c>
    </row>
    <row r="110" spans="1:6" s="1025" customFormat="1" ht="24">
      <c r="A110" s="3274">
        <v>38</v>
      </c>
      <c r="B110" s="3970"/>
      <c r="C110" s="3274" t="s">
        <v>2608</v>
      </c>
      <c r="D110" s="3252" t="s">
        <v>2609</v>
      </c>
      <c r="E110" s="3275">
        <v>0.1</v>
      </c>
      <c r="F110" s="3274">
        <v>15</v>
      </c>
    </row>
    <row r="111" spans="1:6" s="1025" customFormat="1" ht="24">
      <c r="A111" s="3274">
        <v>39</v>
      </c>
      <c r="B111" s="3970"/>
      <c r="C111" s="3274" t="s">
        <v>2610</v>
      </c>
      <c r="D111" s="3252" t="s">
        <v>2611</v>
      </c>
      <c r="E111" s="3275">
        <v>0.1</v>
      </c>
      <c r="F111" s="3274">
        <v>15</v>
      </c>
    </row>
    <row r="112" spans="1:6" s="1025" customFormat="1" ht="24">
      <c r="A112" s="3274">
        <v>40</v>
      </c>
      <c r="B112" s="3976"/>
      <c r="C112" s="3274" t="s">
        <v>2612</v>
      </c>
      <c r="D112" s="3252" t="s">
        <v>2613</v>
      </c>
      <c r="E112" s="3275">
        <v>0.1</v>
      </c>
      <c r="F112" s="3274">
        <v>15</v>
      </c>
    </row>
    <row r="113" spans="1:6" s="1025" customFormat="1" ht="24">
      <c r="A113" s="3274">
        <v>41</v>
      </c>
      <c r="B113" s="3977" t="s">
        <v>2614</v>
      </c>
      <c r="C113" s="3274" t="s">
        <v>2615</v>
      </c>
      <c r="D113" s="3252" t="s">
        <v>2616</v>
      </c>
      <c r="E113" s="3275">
        <v>0.1</v>
      </c>
      <c r="F113" s="3274">
        <v>15</v>
      </c>
    </row>
    <row r="114" spans="1:6" s="1025" customFormat="1" ht="24">
      <c r="A114" s="3274">
        <v>42</v>
      </c>
      <c r="B114" s="3977"/>
      <c r="C114" s="3274" t="s">
        <v>2617</v>
      </c>
      <c r="D114" s="3252" t="s">
        <v>2618</v>
      </c>
      <c r="E114" s="3275">
        <v>0.1</v>
      </c>
      <c r="F114" s="3274">
        <v>15</v>
      </c>
    </row>
    <row r="115" spans="1:6" s="1025" customFormat="1" ht="24">
      <c r="A115" s="3274">
        <v>43</v>
      </c>
      <c r="B115" s="3977"/>
      <c r="C115" s="3274" t="s">
        <v>2619</v>
      </c>
      <c r="D115" s="3252" t="s">
        <v>2620</v>
      </c>
      <c r="E115" s="3275">
        <v>0.1</v>
      </c>
      <c r="F115" s="3274">
        <v>15</v>
      </c>
    </row>
    <row r="116" spans="1:6" s="1025" customFormat="1" ht="24">
      <c r="A116" s="3274">
        <v>44</v>
      </c>
      <c r="B116" s="3975" t="s">
        <v>2621</v>
      </c>
      <c r="C116" s="3274" t="s">
        <v>2622</v>
      </c>
      <c r="D116" s="3252" t="s">
        <v>2623</v>
      </c>
      <c r="E116" s="3275">
        <v>0.1</v>
      </c>
      <c r="F116" s="3274">
        <v>15</v>
      </c>
    </row>
    <row r="117" spans="1:6" s="1025" customFormat="1" ht="24">
      <c r="A117" s="3274">
        <v>45</v>
      </c>
      <c r="B117" s="3976"/>
      <c r="C117" s="3252" t="s">
        <v>2624</v>
      </c>
      <c r="D117" s="3252" t="s">
        <v>2625</v>
      </c>
      <c r="E117" s="3275">
        <v>0.1</v>
      </c>
      <c r="F117" s="3274">
        <v>15</v>
      </c>
    </row>
    <row r="118" spans="1:6" s="1025" customFormat="1" ht="24">
      <c r="A118" s="3274">
        <v>46</v>
      </c>
      <c r="B118" s="3975" t="s">
        <v>2626</v>
      </c>
      <c r="C118" s="3274" t="s">
        <v>2627</v>
      </c>
      <c r="D118" s="3252" t="s">
        <v>2628</v>
      </c>
      <c r="E118" s="3275">
        <v>0.1</v>
      </c>
      <c r="F118" s="3274">
        <v>15</v>
      </c>
    </row>
    <row r="119" spans="1:6" s="1025" customFormat="1" ht="24">
      <c r="A119" s="3274">
        <v>47</v>
      </c>
      <c r="B119" s="3976"/>
      <c r="C119" s="3274" t="s">
        <v>2629</v>
      </c>
      <c r="D119" s="3252" t="s">
        <v>2630</v>
      </c>
      <c r="E119" s="3275">
        <v>0.1</v>
      </c>
      <c r="F119" s="3274">
        <v>15</v>
      </c>
    </row>
    <row r="120" spans="1:6" s="1025" customFormat="1" ht="24">
      <c r="A120" s="3274">
        <v>48</v>
      </c>
      <c r="B120" s="3975" t="s">
        <v>2631</v>
      </c>
      <c r="C120" s="3274" t="s">
        <v>2632</v>
      </c>
      <c r="D120" s="3252" t="s">
        <v>2633</v>
      </c>
      <c r="E120" s="3275">
        <v>0.1</v>
      </c>
      <c r="F120" s="3274">
        <v>15</v>
      </c>
    </row>
    <row r="121" spans="1:6" s="1025" customFormat="1" ht="24">
      <c r="A121" s="3274">
        <v>49</v>
      </c>
      <c r="B121" s="3976"/>
      <c r="C121" s="3274" t="s">
        <v>2634</v>
      </c>
      <c r="D121" s="3252" t="s">
        <v>2635</v>
      </c>
      <c r="E121" s="3275">
        <v>0.1</v>
      </c>
      <c r="F121" s="3274">
        <v>15</v>
      </c>
    </row>
    <row r="122" spans="1:6" s="1025" customFormat="1" ht="24">
      <c r="A122" s="3274">
        <v>50</v>
      </c>
      <c r="B122" s="3977" t="s">
        <v>2636</v>
      </c>
      <c r="C122" s="3274" t="s">
        <v>2637</v>
      </c>
      <c r="D122" s="3252" t="s">
        <v>2638</v>
      </c>
      <c r="E122" s="3275">
        <v>0.1</v>
      </c>
      <c r="F122" s="3274">
        <v>15</v>
      </c>
    </row>
    <row r="123" spans="1:6" s="1025" customFormat="1" ht="24">
      <c r="A123" s="3274">
        <v>51</v>
      </c>
      <c r="B123" s="3977"/>
      <c r="C123" s="3274" t="s">
        <v>2639</v>
      </c>
      <c r="D123" s="3252" t="s">
        <v>2640</v>
      </c>
      <c r="E123" s="3275">
        <v>0.1</v>
      </c>
      <c r="F123" s="3274">
        <v>15</v>
      </c>
    </row>
    <row r="124" spans="1:6" s="1025" customFormat="1" ht="24">
      <c r="A124" s="3274">
        <v>52</v>
      </c>
      <c r="B124" s="3977" t="s">
        <v>2641</v>
      </c>
      <c r="C124" s="3274" t="s">
        <v>2642</v>
      </c>
      <c r="D124" s="3252" t="s">
        <v>2643</v>
      </c>
      <c r="E124" s="3275">
        <v>0.1</v>
      </c>
      <c r="F124" s="3274">
        <v>15</v>
      </c>
    </row>
    <row r="125" spans="1:6" s="1025" customFormat="1" ht="24">
      <c r="A125" s="3274">
        <v>53</v>
      </c>
      <c r="B125" s="3977"/>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ht="24">
      <c r="A127" s="3274">
        <v>55</v>
      </c>
      <c r="B127" s="3977" t="s">
        <v>2649</v>
      </c>
      <c r="C127" s="3274" t="s">
        <v>2650</v>
      </c>
      <c r="D127" s="3252" t="s">
        <v>2651</v>
      </c>
      <c r="E127" s="3275">
        <v>0.1</v>
      </c>
      <c r="F127" s="3274">
        <v>15</v>
      </c>
    </row>
    <row r="128" spans="1:6" ht="24">
      <c r="A128" s="3274">
        <v>56</v>
      </c>
      <c r="B128" s="3977"/>
      <c r="C128" s="3274" t="s">
        <v>2652</v>
      </c>
      <c r="D128" s="3252" t="s">
        <v>2653</v>
      </c>
      <c r="E128" s="3275">
        <v>0.1</v>
      </c>
      <c r="F128" s="3274">
        <v>15</v>
      </c>
    </row>
    <row r="129" spans="1:14" ht="24">
      <c r="A129" s="3274">
        <v>57</v>
      </c>
      <c r="B129" s="3977"/>
      <c r="C129" s="3274" t="s">
        <v>2654</v>
      </c>
      <c r="D129" s="3252" t="s">
        <v>2655</v>
      </c>
      <c r="E129" s="3275">
        <v>0.1</v>
      </c>
      <c r="F129" s="3274">
        <v>15</v>
      </c>
    </row>
    <row r="130" spans="1:14" ht="24">
      <c r="A130" s="3274">
        <v>58</v>
      </c>
      <c r="B130" s="3977" t="s">
        <v>2656</v>
      </c>
      <c r="C130" s="3274" t="s">
        <v>2657</v>
      </c>
      <c r="D130" s="3252" t="s">
        <v>2658</v>
      </c>
      <c r="E130" s="3275">
        <v>0.1</v>
      </c>
      <c r="F130" s="3274">
        <v>15</v>
      </c>
    </row>
    <row r="131" spans="1:14" ht="24">
      <c r="A131" s="3274">
        <v>59</v>
      </c>
      <c r="B131" s="3977"/>
      <c r="C131" s="3274" t="s">
        <v>2659</v>
      </c>
      <c r="D131" s="3252" t="s">
        <v>2660</v>
      </c>
      <c r="E131" s="3275">
        <v>0.1</v>
      </c>
      <c r="F131" s="3274">
        <v>15</v>
      </c>
    </row>
    <row r="132" spans="1:14" ht="24">
      <c r="A132" s="3274">
        <v>60</v>
      </c>
      <c r="B132" s="3975" t="s">
        <v>2661</v>
      </c>
      <c r="C132" s="3274" t="s">
        <v>2662</v>
      </c>
      <c r="D132" s="3252" t="s">
        <v>2663</v>
      </c>
      <c r="E132" s="3275">
        <v>0.1</v>
      </c>
      <c r="F132" s="3274">
        <v>15</v>
      </c>
    </row>
    <row r="133" spans="1:14" ht="24">
      <c r="A133" s="3274">
        <v>61</v>
      </c>
      <c r="B133" s="3976"/>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3977" t="s">
        <v>2669</v>
      </c>
      <c r="C135" s="3274" t="s">
        <v>2670</v>
      </c>
      <c r="D135" s="3252" t="s">
        <v>2671</v>
      </c>
      <c r="E135" s="3275">
        <v>0.1</v>
      </c>
      <c r="F135" s="3274">
        <v>15</v>
      </c>
    </row>
    <row r="136" spans="1:14" ht="24">
      <c r="A136" s="3274">
        <v>64</v>
      </c>
      <c r="B136" s="3977"/>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78" t="s">
        <v>2817</v>
      </c>
      <c r="B1" s="3978"/>
      <c r="C1" s="3978"/>
      <c r="D1" s="3978"/>
      <c r="E1" s="3978"/>
      <c r="F1" s="3978"/>
      <c r="G1" s="397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3980" t="s">
        <v>2820</v>
      </c>
      <c r="B3" s="3415"/>
      <c r="C3" s="3416" t="s">
        <v>2797</v>
      </c>
      <c r="D3" s="3416" t="s">
        <v>2821</v>
      </c>
      <c r="E3" s="3416" t="s">
        <v>2799</v>
      </c>
      <c r="F3" s="3416" t="s">
        <v>2822</v>
      </c>
      <c r="G3" s="3416" t="s">
        <v>2741</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3981"/>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1690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2" t="s">
        <v>3192</v>
      </c>
      <c r="B1" s="3982"/>
      <c r="C1" s="3982"/>
      <c r="D1" s="3982"/>
      <c r="E1" s="3982"/>
      <c r="F1" s="3983"/>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370379.14平方米。根据《建设工程规划许可证》[]、《出让合同》[]，估价对象规划建筑面积为370379.14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2024年3月31日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根据《国有土地使用证》[]，估价对象（分摊）出让国有建设用地使用权面积为370379.14平方米。根据《建设工程规划许可证》[]、《出让合同》[]，估价对象规划建筑面积为370379.14平方米。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84" t="s">
        <v>3030</v>
      </c>
      <c r="B1" s="3984"/>
    </row>
    <row r="2" spans="1:7" ht="15" thickBot="1">
      <c r="A2" s="3464"/>
      <c r="B2" s="3464"/>
    </row>
    <row r="3" spans="1:7" ht="15" thickBot="1">
      <c r="A3" s="3464"/>
      <c r="B3" s="3464"/>
      <c r="C3" s="3465" t="s">
        <v>3031</v>
      </c>
      <c r="D3" s="3465" t="s">
        <v>3032</v>
      </c>
      <c r="E3" s="3465" t="s">
        <v>3033</v>
      </c>
      <c r="F3" s="3465" t="s">
        <v>3034</v>
      </c>
      <c r="G3" s="3465" t="s">
        <v>3035</v>
      </c>
    </row>
    <row r="4" spans="1:7" ht="1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92" t="s">
        <v>1858</v>
      </c>
      <c r="C1" s="3992"/>
      <c r="D1" s="3992"/>
      <c r="E1" s="3992"/>
      <c r="F1" s="3992"/>
      <c r="G1" s="3991" t="s">
        <v>1859</v>
      </c>
      <c r="H1" s="3991"/>
      <c r="I1" s="3991"/>
      <c r="J1" s="3991"/>
      <c r="K1" s="3991"/>
      <c r="L1" s="3991"/>
      <c r="N1" s="3991" t="s">
        <v>1860</v>
      </c>
      <c r="O1" s="3991"/>
      <c r="P1" s="3991"/>
      <c r="Q1" s="3991"/>
      <c r="S1" s="3991" t="s">
        <v>1861</v>
      </c>
      <c r="T1" s="3991"/>
      <c r="U1" s="3991"/>
      <c r="V1" s="3991"/>
      <c r="X1" s="3990" t="s">
        <v>1921</v>
      </c>
      <c r="Y1" s="3991"/>
      <c r="Z1" s="3991"/>
      <c r="AA1" s="3991"/>
      <c r="AB1" s="3991"/>
      <c r="AD1" s="3990" t="s">
        <v>1925</v>
      </c>
      <c r="AE1" s="3991"/>
      <c r="AF1" s="3991"/>
      <c r="AG1" s="3991"/>
      <c r="AH1" s="3991"/>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8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8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8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8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9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9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8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8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8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8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8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8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8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8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8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8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8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6">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89">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8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6">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89">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4.4"/>
  <cols>
    <col min="1" max="1" width="12.33203125" customWidth="1"/>
    <col min="11" max="17" width="0" hidden="1" customWidth="1"/>
    <col min="24" max="30" width="0" hidden="1" customWidth="1"/>
  </cols>
  <sheetData>
    <row r="1" spans="1:30">
      <c r="A1" s="3399">
        <f>基准地价!G23</f>
        <v>45382</v>
      </c>
      <c r="B1" s="3347" t="s">
        <v>2793</v>
      </c>
      <c r="C1" s="3348"/>
      <c r="D1" s="3348"/>
      <c r="E1" s="3348"/>
      <c r="F1" s="3348"/>
      <c r="G1" s="3348"/>
      <c r="H1" s="3348"/>
      <c r="I1" s="3348"/>
      <c r="J1" s="3349"/>
      <c r="K1" s="3348" t="s">
        <v>2794</v>
      </c>
      <c r="L1" s="3348"/>
      <c r="M1" s="3348"/>
      <c r="N1" s="3348"/>
      <c r="O1" s="3348"/>
      <c r="P1" s="3348"/>
      <c r="Q1" s="3349"/>
      <c r="R1" s="3996" t="s">
        <v>2803</v>
      </c>
      <c r="S1" s="3997"/>
      <c r="T1" s="3997"/>
      <c r="U1" s="3997"/>
      <c r="V1" s="3997"/>
      <c r="W1" s="3997"/>
      <c r="X1" s="3349"/>
      <c r="Y1" s="3996" t="s">
        <v>2814</v>
      </c>
      <c r="Z1" s="3997"/>
      <c r="AA1" s="3997"/>
      <c r="AB1" s="3997"/>
      <c r="AC1" s="3997"/>
      <c r="AD1" s="3997"/>
    </row>
    <row r="2" spans="1:30" ht="1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3261</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1.0908</v>
      </c>
      <c r="S5" s="3380">
        <f>ROUND(IF(项目基本情况!$B$8="出让",SUMPRODUCT(PRODUCT(1+L5:$L$18)),SUMPRODUCT(PRODUCT(1+L5:$L$17))),4)</f>
        <v>1.0488</v>
      </c>
      <c r="T5" s="3380">
        <f>ROUND(IF(项目基本情况!$B$8="出让",SUMPRODUCT(PRODUCT(1+M5:$M$18)),SUMPRODUCT(PRODUCT(1+M5:$M$17))),4)</f>
        <v>1.024</v>
      </c>
      <c r="U5" s="3380">
        <f>ROUND(IF(项目基本情况!$B$8="出让",SUMPRODUCT(PRODUCT(1+N5:$N$18)),SUMPRODUCT(PRODUCT(1+N5:$N$17))),4)</f>
        <v>1.0980000000000001</v>
      </c>
      <c r="V5" s="3380">
        <f>ROUND(IF(项目基本情况!$B$8="出让",SUMPRODUCT(PRODUCT(1+O5:$O$18)),SUMPRODUCT(PRODUCT(1+O5:$O$17))),4)</f>
        <v>1.0779000000000001</v>
      </c>
      <c r="W5" s="3380">
        <f>T5</f>
        <v>1.024</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3262</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1.0908</v>
      </c>
      <c r="S6" s="3380">
        <f>ROUND(IF(项目基本情况!$B$8="出让",SUMPRODUCT(PRODUCT(1+L6:$L$18)),SUMPRODUCT(PRODUCT(1+L6:$L$17))),4)</f>
        <v>1.0488</v>
      </c>
      <c r="T6" s="3380">
        <f>ROUND(IF(项目基本情况!$B$8="出让",SUMPRODUCT(PRODUCT(1+M6:$M$18)),SUMPRODUCT(PRODUCT(1+M6:$M$17))),4)</f>
        <v>1.024</v>
      </c>
      <c r="U6" s="3380">
        <f>ROUND(IF(项目基本情况!$B$8="出让",SUMPRODUCT(PRODUCT(1+N6:$N$18)),SUMPRODUCT(PRODUCT(1+N6:$N$17))),4)</f>
        <v>1.0980000000000001</v>
      </c>
      <c r="V6" s="3380">
        <f>ROUND(IF(项目基本情况!$B$8="出让",SUMPRODUCT(PRODUCT(1+O6:$O$18)),SUMPRODUCT(PRODUCT(1+O6:$O$17))),4)</f>
        <v>1.0779000000000001</v>
      </c>
      <c r="W6" s="3380">
        <f t="shared" ref="W6" si="9">T6</f>
        <v>1.024</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3263</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1.0908</v>
      </c>
      <c r="S7" s="3367">
        <f>ROUND(IF(项目基本情况!$B$8="出让",SUMPRODUCT(PRODUCT(1+L7:$L$18)),SUMPRODUCT(PRODUCT(1+L7:$L$17))),4)</f>
        <v>1.0488</v>
      </c>
      <c r="T7" s="3367">
        <f>ROUND(IF(项目基本情况!$B$8="出让",SUMPRODUCT(PRODUCT(1+M7:$M$18)),SUMPRODUCT(PRODUCT(1+M7:$M$17))),4)</f>
        <v>1.024</v>
      </c>
      <c r="U7" s="3367">
        <f>ROUND(IF(项目基本情况!$B$8="出让",SUMPRODUCT(PRODUCT(1+N7:$N$18)),SUMPRODUCT(PRODUCT(1+N7:$N$17))),4)</f>
        <v>1.0980000000000001</v>
      </c>
      <c r="V7" s="3367">
        <f>ROUND(IF(项目基本情况!$B$8="出让",SUMPRODUCT(PRODUCT(1+O7:$O$18)),SUMPRODUCT(PRODUCT(1+O7:$O$17))),4)</f>
        <v>1.0779000000000001</v>
      </c>
      <c r="W7" s="3367">
        <f t="shared" ref="W7" si="18">T7</f>
        <v>1.024</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3264</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1.0888</v>
      </c>
      <c r="S8" s="3380">
        <f>ROUND(IF(项目基本情况!$B$8="出让",SUMPRODUCT(PRODUCT(1+L8:$L$18)),SUMPRODUCT(PRODUCT(1+L8:$L$17))),4)</f>
        <v>1.0463</v>
      </c>
      <c r="T8" s="3380">
        <f>ROUND(IF(项目基本情况!$B$8="出让",SUMPRODUCT(PRODUCT(1+M8:$M$18)),SUMPRODUCT(PRODUCT(1+M8:$M$17))),4)</f>
        <v>1.0257000000000001</v>
      </c>
      <c r="U8" s="3380">
        <f>ROUND(IF(项目基本情况!$B$8="出让",SUMPRODUCT(PRODUCT(1+N8:$N$18)),SUMPRODUCT(PRODUCT(1+N8:$N$17))),4)</f>
        <v>1.0961000000000001</v>
      </c>
      <c r="V8" s="3380">
        <f>ROUND(IF(项目基本情况!$B$8="出让",SUMPRODUCT(PRODUCT(1+O8:$O$18)),SUMPRODUCT(PRODUCT(1+O8:$O$17))),4)</f>
        <v>1.0713999999999999</v>
      </c>
      <c r="W8" s="3380">
        <f t="shared" ref="W8:W10" si="30">T8</f>
        <v>1.0257000000000001</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3259</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1.0860000000000001</v>
      </c>
      <c r="S9" s="3380">
        <f>ROUND(IF(项目基本情况!$B$8="出让",SUMPRODUCT(PRODUCT(1+L9:$L$18)),SUMPRODUCT(PRODUCT(1+L9:$L$17))),4)</f>
        <v>1.0410999999999999</v>
      </c>
      <c r="T9" s="3380">
        <f>ROUND(IF(项目基本情况!$B$8="出让",SUMPRODUCT(PRODUCT(1+M9:$M$18)),SUMPRODUCT(PRODUCT(1+M9:$M$17))),4)</f>
        <v>1.0225</v>
      </c>
      <c r="U9" s="3380">
        <f>ROUND(IF(项目基本情况!$B$8="出让",SUMPRODUCT(PRODUCT(1+N9:$N$18)),SUMPRODUCT(PRODUCT(1+N9:$N$17))),4)</f>
        <v>1.0938000000000001</v>
      </c>
      <c r="V9" s="3380">
        <f>ROUND(IF(项目基本情况!$B$8="出让",SUMPRODUCT(PRODUCT(1+O9:$O$18)),SUMPRODUCT(PRODUCT(1+O9:$O$17))),4)</f>
        <v>1.0668</v>
      </c>
      <c r="W9" s="3380">
        <f t="shared" si="30"/>
        <v>1.0225</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3257</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1.0763</v>
      </c>
      <c r="S10" s="3380">
        <f>ROUND(IF(项目基本情况!$B$8="出让",SUMPRODUCT(PRODUCT(1+L10:$L$18)),SUMPRODUCT(PRODUCT(1+L10:$L$17))),4)</f>
        <v>1.0343</v>
      </c>
      <c r="T10" s="3380">
        <f>ROUND(IF(项目基本情况!$B$8="出让",SUMPRODUCT(PRODUCT(1+M10:$M$18)),SUMPRODUCT(PRODUCT(1+M10:$M$17))),4)</f>
        <v>1.0177</v>
      </c>
      <c r="U10" s="3380">
        <f>ROUND(IF(项目基本情况!$B$8="出让",SUMPRODUCT(PRODUCT(1+N10:$N$18)),SUMPRODUCT(PRODUCT(1+N10:$N$17))),4)</f>
        <v>1.0833999999999999</v>
      </c>
      <c r="V10" s="3380">
        <f>ROUND(IF(项目基本情况!$B$8="出让",SUMPRODUCT(PRODUCT(1+O10:$O$18)),SUMPRODUCT(PRODUCT(1+O10:$O$17))),4)</f>
        <v>1.0592999999999999</v>
      </c>
      <c r="W10" s="3380">
        <f t="shared" si="30"/>
        <v>1.0177</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3255</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1.0668</v>
      </c>
      <c r="S11" s="3380">
        <f>ROUND(IF(项目基本情况!B8="出让",SUMPRODUCT(PRODUCT(1+L11:L18)),SUMPRODUCT(PRODUCT(1+L11:L17))),4)</f>
        <v>1.0266999999999999</v>
      </c>
      <c r="T11" s="3380">
        <f>ROUND(IF(项目基本情况!B8="出让",SUMPRODUCT(PRODUCT(1+M11:M18)),SUMPRODUCT(PRODUCT(1+M11:M17))),4)</f>
        <v>1.0119</v>
      </c>
      <c r="U11" s="3380">
        <f>ROUND(IF(项目基本情况!B8="出让",SUMPRODUCT(PRODUCT(1+N11:N18)),SUMPRODUCT(PRODUCT(1+N11:N17))),4)</f>
        <v>1.0734999999999999</v>
      </c>
      <c r="V11" s="3380">
        <f>ROUND(IF(项目基本情况!B8="出让",SUMPRODUCT(PRODUCT(1+O11:O18)),SUMPRODUCT(PRODUCT(1+O11:O17))),4)</f>
        <v>1.054</v>
      </c>
      <c r="W11" s="3380">
        <f t="shared" ref="W11:W18" si="36">T11</f>
        <v>1.0119</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3250</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1.0602</v>
      </c>
      <c r="S12" s="3380">
        <f>ROUND(IF(项目基本情况!B8="出让",SUMPRODUCT(PRODUCT(1+L12:L18)),SUMPRODUCT(PRODUCT(1+L12:L17))),4)</f>
        <v>1.0246</v>
      </c>
      <c r="T12" s="3380">
        <f>ROUND(IF(项目基本情况!B8="出让",SUMPRODUCT(PRODUCT(1+M12:M18)),SUMPRODUCT(PRODUCT(1+M12:M17))),4)</f>
        <v>1.0107999999999999</v>
      </c>
      <c r="U12" s="3380">
        <f>ROUND(IF(项目基本情况!B8="出让",SUMPRODUCT(PRODUCT(1+N12:N18)),SUMPRODUCT(PRODUCT(1+N12:N17))),4)</f>
        <v>1.0662</v>
      </c>
      <c r="V12" s="3380">
        <f>ROUND(IF(项目基本情况!B8="出让",SUMPRODUCT(PRODUCT(1+O12:O18)),SUMPRODUCT(PRODUCT(1+O12:O17))),4)</f>
        <v>1.0485</v>
      </c>
      <c r="W12" s="3380">
        <f t="shared" si="36"/>
        <v>1.0107999999999999</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3251</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1.0531999999999999</v>
      </c>
      <c r="S13" s="3380">
        <f>ROUND(IF(项目基本情况!B8="出让",SUMPRODUCT(PRODUCT(1+L13:L18)),SUMPRODUCT(PRODUCT(1+L13:L17))),4)</f>
        <v>1.0214000000000001</v>
      </c>
      <c r="T13" s="3380">
        <f>ROUND(IF(项目基本情况!B8="出让",SUMPRODUCT(PRODUCT(1+M13:M18)),SUMPRODUCT(PRODUCT(1+M13:M17))),4)</f>
        <v>1.0085</v>
      </c>
      <c r="U13" s="3380">
        <f>ROUND(IF(项目基本情况!B8="出让",SUMPRODUCT(PRODUCT(1+N13:N18)),SUMPRODUCT(PRODUCT(1+N13:N17))),4)</f>
        <v>1.0586</v>
      </c>
      <c r="V13" s="3380">
        <f>ROUND(IF(项目基本情况!B8="出让",SUMPRODUCT(PRODUCT(1+O13:O18)),SUMPRODUCT(PRODUCT(1+O13:O17))),4)</f>
        <v>1.0419</v>
      </c>
      <c r="W13" s="3380">
        <f t="shared" si="36"/>
        <v>1.0085</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1.0435000000000001</v>
      </c>
      <c r="S14" s="3380">
        <f>ROUND(IF(项目基本情况!B8="出让",SUMPRODUCT(PRODUCT(1+L14:L18)),SUMPRODUCT(PRODUCT(1+L14:L17))),4)</f>
        <v>1.0198</v>
      </c>
      <c r="T14" s="3380">
        <f>ROUND(IF(项目基本情况!B8="出让",SUMPRODUCT(PRODUCT(1+M14:M18)),SUMPRODUCT(PRODUCT(1+M14:M17))),4)</f>
        <v>1.0084</v>
      </c>
      <c r="U14" s="3380">
        <f>ROUND(IF(项目基本情况!B8="出让",SUMPRODUCT(PRODUCT(1+N14:N18)),SUMPRODUCT(PRODUCT(1+N14:N17))),4)</f>
        <v>1.0476000000000001</v>
      </c>
      <c r="V14" s="3380">
        <f>ROUND(IF(项目基本情况!B8="出让",SUMPRODUCT(PRODUCT(1+O14:O18)),SUMPRODUCT(PRODUCT(1+O14:O17))),4)</f>
        <v>1.0307999999999999</v>
      </c>
      <c r="W14" s="3380">
        <f t="shared" si="36"/>
        <v>1.0084</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1.0343</v>
      </c>
      <c r="S15" s="3380">
        <f>ROUND(IF(项目基本情况!B8="出让",SUMPRODUCT(PRODUCT(1+L15:L18)),SUMPRODUCT(PRODUCT(1+L15:L17))),4)</f>
        <v>1.0154000000000001</v>
      </c>
      <c r="T15" s="3380">
        <f>ROUND(IF(项目基本情况!B8="出让",SUMPRODUCT(PRODUCT(1+M15:M18)),SUMPRODUCT(PRODUCT(1+M15:M17))),4)</f>
        <v>1.0046999999999999</v>
      </c>
      <c r="U15" s="3380">
        <f>ROUND(IF(项目基本情况!B8="出让",SUMPRODUCT(PRODUCT(1+N15:N18)),SUMPRODUCT(PRODUCT(1+N15:N17))),4)</f>
        <v>1.0376000000000001</v>
      </c>
      <c r="V15" s="3380">
        <f>ROUND(IF(项目基本情况!B8="出让",SUMPRODUCT(PRODUCT(1+O15:O18)),SUMPRODUCT(PRODUCT(1+O15:O17))),4)</f>
        <v>1.0242</v>
      </c>
      <c r="W15" s="3380">
        <f t="shared" si="36"/>
        <v>1.0046999999999999</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1.0238</v>
      </c>
      <c r="S16" s="3380">
        <f>ROUND(IF(项目基本情况!B8="出让",SUMPRODUCT(PRODUCT(1+L16:L18)),SUMPRODUCT(PRODUCT(1+L16:L17))),4)</f>
        <v>1.0128999999999999</v>
      </c>
      <c r="T16" s="3380">
        <f>ROUND(IF(项目基本情况!B8="出让",SUMPRODUCT(PRODUCT(1+M16:M18)),SUMPRODUCT(PRODUCT(1+M16:M17))),4)</f>
        <v>1.004</v>
      </c>
      <c r="U16" s="3380">
        <f>ROUND(IF(项目基本情况!B8="出让",SUMPRODUCT(PRODUCT(1+N16:N18)),SUMPRODUCT(PRODUCT(1+N16:N17))),4)</f>
        <v>1.0256000000000001</v>
      </c>
      <c r="V16" s="3380">
        <f>ROUND(IF(项目基本情况!B8="出让",SUMPRODUCT(PRODUCT(1+O16:O18)),SUMPRODUCT(PRODUCT(1+O16:O17))),4)</f>
        <v>1.0185999999999999</v>
      </c>
      <c r="W16" s="3380">
        <f t="shared" si="36"/>
        <v>1.004</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1.0189999999999999</v>
      </c>
      <c r="S17" s="3380">
        <f>ROUND(IF(项目基本情况!B8="出让",SUMPRODUCT(PRODUCT(1+L17:L18)),SUMPRODUCT(PRODUCT(1+L17:L17))),4)</f>
        <v>1.0087999999999999</v>
      </c>
      <c r="T17" s="3380">
        <f>ROUND(IF(项目基本情况!B8="出让",SUMPRODUCT(PRODUCT(1+M17:M18)),SUMPRODUCT(PRODUCT(1+M17:M17))),4)</f>
        <v>1.0016</v>
      </c>
      <c r="U17" s="3380">
        <f>ROUND(IF(项目基本情况!B8="出让",SUMPRODUCT(PRODUCT(1+N17:N18)),SUMPRODUCT(PRODUCT(1+N17:N17))),4)</f>
        <v>1.0206999999999999</v>
      </c>
      <c r="V17" s="3380">
        <f>ROUND(IF(项目基本情况!B8="出让",SUMPRODUCT(PRODUCT(1+O17:O18)),SUMPRODUCT(PRODUCT(1+O17:O17))),4)</f>
        <v>1.0137</v>
      </c>
      <c r="W17" s="3380">
        <f t="shared" si="36"/>
        <v>1.0016</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3253</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3996" t="s">
        <v>2810</v>
      </c>
      <c r="S23" s="3997"/>
      <c r="T23" s="3997"/>
      <c r="U23" s="3997"/>
      <c r="V23" s="3997"/>
      <c r="W23" s="3997"/>
      <c r="X23" s="3349"/>
      <c r="Y23" s="3996" t="s">
        <v>1925</v>
      </c>
      <c r="Z23" s="3997"/>
      <c r="AA23" s="3997"/>
      <c r="AB23" s="3997"/>
      <c r="AC23" s="3997"/>
      <c r="AD23" s="3997"/>
    </row>
    <row r="24" spans="1:30" ht="1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3261</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1.0476000000000001</v>
      </c>
      <c r="T27" s="3380">
        <f>ROUND(IF(项目基本情况!$B$8="出让",SUMPRODUCT(PRODUCT(1+M27:M$40)),SUMPRODUCT(PRODUCT(1+M27:M$39))),4)</f>
        <v>1.0346</v>
      </c>
      <c r="U27" s="3380">
        <f>ROUND(IF(项目基本情况!$B$8="出让",SUMPRODUCT(PRODUCT(1+N27:N$40)),SUMPRODUCT(PRODUCT(1+N27:N$39))),4)</f>
        <v>1.0831999999999999</v>
      </c>
      <c r="V27" s="3380"/>
      <c r="W27" s="3380">
        <f>T27</f>
        <v>1.0346</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3262</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1.0476000000000001</v>
      </c>
      <c r="T28" s="3380">
        <f>ROUND(IF(项目基本情况!$B$8="出让",SUMPRODUCT(PRODUCT(1+M28:M$40)),SUMPRODUCT(PRODUCT(1+M28:M$39))),4)</f>
        <v>1.0346</v>
      </c>
      <c r="U28" s="3380">
        <f>ROUND(IF(项目基本情况!$B$8="出让",SUMPRODUCT(PRODUCT(1+N28:N$40)),SUMPRODUCT(PRODUCT(1+N28:N$39))),4)</f>
        <v>1.0831999999999999</v>
      </c>
      <c r="V28" s="3380"/>
      <c r="W28" s="3380">
        <f t="shared" ref="W28" si="43">T28</f>
        <v>1.0346</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3263</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1.0476000000000001</v>
      </c>
      <c r="T29" s="3367">
        <f>ROUND(IF(项目基本情况!$B$8="出让",SUMPRODUCT(PRODUCT(1+M29:M$40)),SUMPRODUCT(PRODUCT(1+M29:M$39))),4)</f>
        <v>1.0346</v>
      </c>
      <c r="U29" s="3367">
        <f>ROUND(IF(项目基本情况!$B$8="出让",SUMPRODUCT(PRODUCT(1+N29:N$40)),SUMPRODUCT(PRODUCT(1+N29:N$39))),4)</f>
        <v>1.0831999999999999</v>
      </c>
      <c r="V29" s="3367"/>
      <c r="W29" s="3367">
        <f t="shared" ref="W29" si="50">T29</f>
        <v>1.0346</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3264</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1.0468</v>
      </c>
      <c r="T30" s="3380">
        <f>ROUND(IF(项目基本情况!$B$8="出让",SUMPRODUCT(PRODUCT(1+M30:M$40)),SUMPRODUCT(PRODUCT(1+M30:M$39))),4)</f>
        <v>1.0337000000000001</v>
      </c>
      <c r="U30" s="3380">
        <f>ROUND(IF(项目基本情况!$B$8="出让",SUMPRODUCT(PRODUCT(1+N30:N$40)),SUMPRODUCT(PRODUCT(1+N30:N$39))),4)</f>
        <v>1.0828</v>
      </c>
      <c r="V30" s="3380"/>
      <c r="W30" s="3380">
        <f t="shared" ref="W30:W32" si="59">T30</f>
        <v>1.0337000000000001</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3260</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1.0431999999999999</v>
      </c>
      <c r="T31" s="3380">
        <f>ROUND(IF(项目基本情况!$B$8="出让",SUMPRODUCT(PRODUCT(1+M31:M$40)),SUMPRODUCT(PRODUCT(1+M31:M$39))),4)</f>
        <v>1.0319</v>
      </c>
      <c r="U31" s="3380">
        <f>ROUND(IF(项目基本情况!$B$8="出让",SUMPRODUCT(PRODUCT(1+N31:N$40)),SUMPRODUCT(PRODUCT(1+N31:N$39))),4)</f>
        <v>1.0771999999999999</v>
      </c>
      <c r="V31" s="3380"/>
      <c r="W31" s="3380">
        <f t="shared" si="59"/>
        <v>1.0319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3258</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1.038</v>
      </c>
      <c r="T32" s="3380">
        <f>ROUND(IF(项目基本情况!$B$8="出让",SUMPRODUCT(PRODUCT(1+M32:M$40)),SUMPRODUCT(PRODUCT(1+M32:M$39))),4)</f>
        <v>1.0273000000000001</v>
      </c>
      <c r="U32" s="3380">
        <f>ROUND(IF(项目基本情况!$B$8="出让",SUMPRODUCT(PRODUCT(1+N32:N$40)),SUMPRODUCT(PRODUCT(1+N32:N$39))),4)</f>
        <v>1.0677000000000001</v>
      </c>
      <c r="V32" s="3380"/>
      <c r="W32" s="3380">
        <f t="shared" si="59"/>
        <v>1.0273000000000001</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3256</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1.0323</v>
      </c>
      <c r="T33" s="3380">
        <f>ROUND(IF(项目基本情况!$B$8="出让",SUMPRODUCT(PRODUCT(1+M33:M$40)),SUMPRODUCT(PRODUCT(1+M33:M$39))),4)</f>
        <v>1.0213000000000001</v>
      </c>
      <c r="U33" s="3380">
        <f>ROUND(IF(项目基本情况!$B$8="出让",SUMPRODUCT(PRODUCT(1+N33:N$40)),SUMPRODUCT(PRODUCT(1+N33:N$39))),4)</f>
        <v>1.0609</v>
      </c>
      <c r="V33" s="3380"/>
      <c r="W33" s="3380">
        <f t="shared" ref="W33:W40" si="65">T33</f>
        <v>1.0213000000000001</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3252</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1.0277000000000001</v>
      </c>
      <c r="T34" s="3380">
        <f>ROUND(IF(项目基本情况!$B$8="出让",SUMPRODUCT(PRODUCT(1+M34:M$40)),SUMPRODUCT(PRODUCT(1+M34:M$39))),4)</f>
        <v>1.0192000000000001</v>
      </c>
      <c r="U34" s="3380">
        <f>ROUND(IF(项目基本情况!$B$8="出让",SUMPRODUCT(PRODUCT(1+N34:N$40)),SUMPRODUCT(PRODUCT(1+N34:N$39))),4)</f>
        <v>1.0569</v>
      </c>
      <c r="V34" s="3380"/>
      <c r="W34" s="3380">
        <f t="shared" si="65"/>
        <v>1.0192000000000001</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3251</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1.0246</v>
      </c>
      <c r="T35" s="3380">
        <f>ROUND(IF(项目基本情况!$B$8="出让",SUMPRODUCT(PRODUCT(1+M35:M$40)),SUMPRODUCT(PRODUCT(1+M35:M$39))),4)</f>
        <v>1.0163</v>
      </c>
      <c r="U35" s="3380">
        <f>ROUND(IF(项目基本情况!$B$8="出让",SUMPRODUCT(PRODUCT(1+N35:N$40)),SUMPRODUCT(PRODUCT(1+N35:N$39))),4)</f>
        <v>1.0482</v>
      </c>
      <c r="V35" s="3380"/>
      <c r="W35" s="3380">
        <f t="shared" si="65"/>
        <v>1.0163</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1.0258</v>
      </c>
      <c r="T36" s="3380">
        <f>ROUND(IF(项目基本情况!$B$8="出让",SUMPRODUCT(PRODUCT(1+M36:M$40)),SUMPRODUCT(PRODUCT(1+M36:M$39))),4)</f>
        <v>1.0176000000000001</v>
      </c>
      <c r="U36" s="3380">
        <f>ROUND(IF(项目基本情况!$B$8="出让",SUMPRODUCT(PRODUCT(1+N36:N$40)),SUMPRODUCT(PRODUCT(1+N36:N$39))),4)</f>
        <v>1.0427</v>
      </c>
      <c r="V36" s="3380"/>
      <c r="W36" s="3380">
        <f t="shared" si="65"/>
        <v>1.0176000000000001</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1.0196000000000001</v>
      </c>
      <c r="T37" s="3380">
        <f>ROUND(IF(项目基本情况!$B$8="出让",SUMPRODUCT(PRODUCT(1+M37:M$40)),SUMPRODUCT(PRODUCT(1+M37:M$39))),4)</f>
        <v>1.0130999999999999</v>
      </c>
      <c r="U37" s="3380">
        <f>ROUND(IF(项目基本情况!$B$8="出让",SUMPRODUCT(PRODUCT(1+N37:N$40)),SUMPRODUCT(PRODUCT(1+N37:N$39))),4)</f>
        <v>1.0371999999999999</v>
      </c>
      <c r="V37" s="3380"/>
      <c r="W37" s="3380">
        <f t="shared" si="65"/>
        <v>1.0130999999999999</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1.0138</v>
      </c>
      <c r="T38" s="3380">
        <f>ROUND(IF(项目基本情况!$B$8="出让",SUMPRODUCT(PRODUCT(1+M38:M$40)),SUMPRODUCT(PRODUCT(1+M38:M$39))),4)</f>
        <v>1.0122</v>
      </c>
      <c r="U38" s="3380">
        <f>ROUND(IF(项目基本情况!$B$8="出让",SUMPRODUCT(PRODUCT(1+N38:N$40)),SUMPRODUCT(PRODUCT(1+N38:N$39))),4)</f>
        <v>1.0302</v>
      </c>
      <c r="V38" s="3380"/>
      <c r="W38" s="3380">
        <f t="shared" si="65"/>
        <v>1.0122</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1.0089999999999999</v>
      </c>
      <c r="T39" s="3380">
        <f>ROUND(IF(项目基本情况!$B$8="出让",SUMPRODUCT(PRODUCT(1+M39:M$40)),SUMPRODUCT(PRODUCT(1+M39:M$39))),4)</f>
        <v>1.0094000000000001</v>
      </c>
      <c r="U39" s="3380">
        <f>ROUND(IF(项目基本情况!$B$8="出让",SUMPRODUCT(PRODUCT(1+N39:N$40)),SUMPRODUCT(PRODUCT(1+N39:N$39))),4)</f>
        <v>1.0208999999999999</v>
      </c>
      <c r="V39" s="3380"/>
      <c r="W39" s="3380">
        <f t="shared" si="65"/>
        <v>1.0094000000000001</v>
      </c>
      <c r="X39" s="3364"/>
      <c r="Y39" s="3389"/>
      <c r="Z39" s="3390">
        <f t="shared" si="66"/>
        <v>4.4999999999999997E-3</v>
      </c>
      <c r="AA39" s="3392">
        <f t="shared" si="66"/>
        <v>4.7000000000000002E-3</v>
      </c>
      <c r="AB39" s="3389">
        <f t="shared" si="66"/>
        <v>1.04E-2</v>
      </c>
      <c r="AC39" s="3391"/>
      <c r="AD39" s="3389">
        <f t="shared" si="66"/>
        <v>4.7000000000000002E-3</v>
      </c>
    </row>
    <row r="40" spans="1:30" ht="1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5" thickTop="1"/>
    <row r="42" spans="1:30">
      <c r="A42" s="3661"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5"/>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9" t="s">
        <v>1807</v>
      </c>
      <c r="C8" s="1612">
        <f ca="1">ROUND(F8*F10*F9*(1-F11)/10000,0)</f>
        <v>0</v>
      </c>
      <c r="D8" s="1609" t="s">
        <v>1817</v>
      </c>
      <c r="E8" s="59" t="s">
        <v>585</v>
      </c>
      <c r="F8" s="751">
        <f ca="1">INDIRECT("'数据-取费表'!u"&amp;$G$1)</f>
        <v>0</v>
      </c>
      <c r="G8" s="1405"/>
      <c r="H8" s="2151" t="s">
        <v>1353</v>
      </c>
      <c r="I8" s="3999" t="s">
        <v>1807</v>
      </c>
      <c r="J8" s="749">
        <f ca="1">ROUND(M8*M10*M9*(1-M11)/10000,0)</f>
        <v>0</v>
      </c>
      <c r="K8" s="332" t="s">
        <v>1817</v>
      </c>
      <c r="L8" s="750" t="s">
        <v>1267</v>
      </c>
      <c r="M8" s="751">
        <f ca="1">INDIRECT("'数据-取费表'!z"&amp;$G$1)</f>
        <v>0</v>
      </c>
    </row>
    <row r="9" spans="1:25" ht="18" customHeight="1">
      <c r="A9" s="2147"/>
      <c r="B9" s="4000"/>
      <c r="C9" s="1613"/>
      <c r="D9" s="1610"/>
      <c r="E9" s="59" t="s">
        <v>586</v>
      </c>
      <c r="F9" s="751">
        <f ca="1">IF(INDIRECT("'数据-取费表'!ah"&amp;$G$1)="",INDIRECT("'数据-取费表'!k"&amp;$G$1),INDIRECT("'数据-取费表'!ah"&amp;$G$1))</f>
        <v>0</v>
      </c>
      <c r="G9" s="1405"/>
      <c r="H9" s="2136"/>
      <c r="I9" s="4000"/>
      <c r="J9" s="754"/>
      <c r="K9" s="755"/>
      <c r="L9" s="750" t="s">
        <v>1268</v>
      </c>
      <c r="M9" s="751">
        <f ca="1">F9</f>
        <v>0</v>
      </c>
    </row>
    <row r="10" spans="1:25" ht="18" customHeight="1">
      <c r="A10" s="2140"/>
      <c r="B10" s="4001"/>
      <c r="C10" s="1613"/>
      <c r="D10" s="1610"/>
      <c r="E10" s="59" t="s">
        <v>587</v>
      </c>
      <c r="F10" s="751">
        <f ca="1">INDIRECT("'数据-取费表'!ai"&amp;$G$1)</f>
        <v>0</v>
      </c>
      <c r="G10" s="1405"/>
      <c r="H10" s="2136"/>
      <c r="I10" s="4001"/>
      <c r="J10" s="754"/>
      <c r="K10" s="755"/>
      <c r="L10" s="750" t="s">
        <v>1269</v>
      </c>
      <c r="M10" s="751">
        <f ca="1">INDIRECT("'数据-取费表'!ai"&amp;$G$1)</f>
        <v>0</v>
      </c>
    </row>
    <row r="11" spans="1:25" ht="18" customHeight="1">
      <c r="A11" s="752"/>
      <c r="B11" s="4002"/>
      <c r="C11" s="1613"/>
      <c r="D11" s="1610"/>
      <c r="E11" s="59" t="s">
        <v>588</v>
      </c>
      <c r="F11" s="760">
        <f ca="1">INDIRECT("'数据-取费表'!w"&amp;$G$1)</f>
        <v>0</v>
      </c>
      <c r="G11" s="1405"/>
      <c r="H11" s="2152"/>
      <c r="I11" s="400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98"/>
      <c r="J36" s="1803"/>
      <c r="K36" s="1804"/>
      <c r="L36" s="1803"/>
      <c r="M36" s="1803"/>
    </row>
    <row r="37" spans="1:18" ht="18" customHeight="1">
      <c r="A37" s="780"/>
      <c r="B37" s="759"/>
      <c r="C37" s="67"/>
      <c r="D37" s="781"/>
      <c r="E37" s="750" t="s">
        <v>621</v>
      </c>
      <c r="F37" s="751">
        <f ca="1">INDIRECT("'数据-取费表'!r"&amp;$G$1)</f>
        <v>0</v>
      </c>
      <c r="G37" s="1786"/>
      <c r="H37" s="1789"/>
      <c r="I37" s="399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-0.5</v>
      </c>
      <c r="K54" s="4003"/>
      <c r="L54" s="4004"/>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9" t="s">
        <v>1807</v>
      </c>
      <c r="C6" s="749" t="e">
        <f ca="1">ROUND(F6*F8*F7*(1-F9)/10000,0)</f>
        <v>#N/A</v>
      </c>
      <c r="D6" s="2144" t="s">
        <v>1806</v>
      </c>
      <c r="E6" s="750" t="s">
        <v>1267</v>
      </c>
      <c r="F6" s="751" t="e">
        <f ca="1">INDIRECT("'数据-取费表'!u"&amp;$G$1)</f>
        <v>#N/A</v>
      </c>
      <c r="G6" s="1786"/>
      <c r="H6" s="2151" t="s">
        <v>1812</v>
      </c>
      <c r="I6" s="3999" t="s">
        <v>1807</v>
      </c>
      <c r="J6" s="749" t="e">
        <f ca="1">ROUND(M6*M8*M7*(1-M9)/10000,0)</f>
        <v>#N/A</v>
      </c>
      <c r="K6" s="332" t="s">
        <v>1266</v>
      </c>
      <c r="L6" s="750" t="s">
        <v>1267</v>
      </c>
      <c r="M6" s="751" t="e">
        <f ca="1">INDIRECT("'数据-取费表'!z"&amp;$G$1)</f>
        <v>#N/A</v>
      </c>
    </row>
    <row r="7" spans="1:33" ht="18" customHeight="1">
      <c r="A7" s="2147"/>
      <c r="B7" s="4000"/>
      <c r="C7" s="754"/>
      <c r="D7" s="755"/>
      <c r="E7" s="750" t="s">
        <v>1268</v>
      </c>
      <c r="F7" s="751" t="e">
        <f ca="1">IF(INDIRECT("'数据-取费表'!ah"&amp;$G$1)="",INDIRECT("'数据-取费表'!k"&amp;$G$1),INDIRECT("'数据-取费表'!ah"&amp;$G$1))</f>
        <v>#N/A</v>
      </c>
      <c r="G7" s="1786"/>
      <c r="H7" s="2136"/>
      <c r="I7" s="4000"/>
      <c r="J7" s="754"/>
      <c r="K7" s="755"/>
      <c r="L7" s="750" t="s">
        <v>1268</v>
      </c>
      <c r="M7" s="751" t="e">
        <f ca="1">F7</f>
        <v>#N/A</v>
      </c>
    </row>
    <row r="8" spans="1:33" ht="18" customHeight="1">
      <c r="A8" s="2140"/>
      <c r="B8" s="4001"/>
      <c r="C8" s="754"/>
      <c r="D8" s="755"/>
      <c r="E8" s="750" t="s">
        <v>1269</v>
      </c>
      <c r="F8" s="751" t="e">
        <f ca="1">INDIRECT("'数据-取费表'!ai"&amp;$G$1)</f>
        <v>#N/A</v>
      </c>
      <c r="G8" s="1786"/>
      <c r="H8" s="2136"/>
      <c r="I8" s="4001"/>
      <c r="J8" s="754"/>
      <c r="K8" s="755"/>
      <c r="L8" s="750" t="s">
        <v>1269</v>
      </c>
      <c r="M8" s="751" t="e">
        <f ca="1">INDIRECT("'数据-取费表'!ai"&amp;$G$1)</f>
        <v>#N/A</v>
      </c>
    </row>
    <row r="9" spans="1:33" ht="18" customHeight="1">
      <c r="A9" s="752"/>
      <c r="B9" s="4002"/>
      <c r="C9" s="754"/>
      <c r="D9" s="755"/>
      <c r="E9" s="750" t="s">
        <v>1270</v>
      </c>
      <c r="F9" s="760" t="e">
        <f ca="1">INDIRECT("'数据-取费表'!w"&amp;$G$1)</f>
        <v>#N/A</v>
      </c>
      <c r="G9" s="1786"/>
      <c r="H9" s="2152"/>
      <c r="I9" s="400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05" t="s">
        <v>2226</v>
      </c>
      <c r="L53" s="4006"/>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2" customHeight="1">
      <c r="A2" s="3069" t="s">
        <v>2302</v>
      </c>
      <c r="B2" s="3070" t="e">
        <f>C40</f>
        <v>#DIV/0!</v>
      </c>
      <c r="C2" s="3071" t="s">
        <v>2303</v>
      </c>
      <c r="D2" s="3071"/>
      <c r="E2" s="3072"/>
      <c r="F2" s="3073"/>
      <c r="G2" s="3074"/>
      <c r="H2" s="3075"/>
      <c r="I2" s="3076"/>
      <c r="J2" s="4007" t="s">
        <v>2304</v>
      </c>
      <c r="K2" s="4008"/>
      <c r="L2" s="3077" t="s">
        <v>2305</v>
      </c>
      <c r="M2" s="3077" t="s">
        <v>2306</v>
      </c>
      <c r="N2" s="3077" t="s">
        <v>2307</v>
      </c>
      <c r="O2" s="3077" t="s">
        <v>2308</v>
      </c>
      <c r="P2" s="3077" t="s">
        <v>2309</v>
      </c>
      <c r="Q2" s="3078" t="s">
        <v>2310</v>
      </c>
      <c r="R2" s="3079" t="s">
        <v>2311</v>
      </c>
      <c r="S2" s="3067"/>
      <c r="T2" s="3067"/>
      <c r="U2" s="3067"/>
      <c r="V2" s="3076"/>
    </row>
    <row r="3" spans="1:22" s="3080" customFormat="1" ht="13.2" customHeight="1">
      <c r="A3" s="3081" t="s">
        <v>2312</v>
      </c>
      <c r="B3" s="3082" t="e">
        <f>ROUND(B2*10000/B4,0)</f>
        <v>#DIV/0!</v>
      </c>
      <c r="C3" s="3071" t="s">
        <v>2313</v>
      </c>
      <c r="D3" s="3071"/>
      <c r="E3" s="3072"/>
      <c r="F3" s="3073"/>
      <c r="G3" s="3074"/>
      <c r="H3" s="3075"/>
      <c r="I3" s="3076"/>
      <c r="J3" s="4009" t="s">
        <v>2314</v>
      </c>
      <c r="K3" s="4010"/>
      <c r="L3" s="3083"/>
      <c r="M3" s="3083"/>
      <c r="N3" s="3083"/>
      <c r="O3" s="3083"/>
      <c r="P3" s="3083"/>
      <c r="Q3" s="3084"/>
      <c r="R3" s="3085">
        <f>SUM(L3:Q3)</f>
        <v>0</v>
      </c>
      <c r="S3" s="3067"/>
      <c r="T3" s="3067"/>
      <c r="U3" s="3067"/>
      <c r="V3" s="3076"/>
    </row>
    <row r="4" spans="1:22" s="3080" customFormat="1" ht="13.2" customHeight="1">
      <c r="A4" s="3086" t="s">
        <v>2315</v>
      </c>
      <c r="B4" s="3087"/>
      <c r="C4" s="3071"/>
      <c r="D4" s="3071"/>
      <c r="E4" s="3072"/>
      <c r="F4" s="3073"/>
      <c r="G4" s="3074"/>
      <c r="H4" s="3075"/>
      <c r="I4" s="3076"/>
      <c r="J4" s="4009" t="s">
        <v>2316</v>
      </c>
      <c r="K4" s="4010"/>
      <c r="L4" s="3088"/>
      <c r="M4" s="3088"/>
      <c r="N4" s="3088"/>
      <c r="O4" s="3088"/>
      <c r="P4" s="3088"/>
      <c r="Q4" s="3089"/>
      <c r="R4" s="3090">
        <f>SUM(L4:Q4)</f>
        <v>0</v>
      </c>
      <c r="S4" s="3067"/>
      <c r="T4" s="3067"/>
      <c r="U4" s="3067"/>
      <c r="V4" s="3076"/>
    </row>
    <row r="5" spans="1:22" s="3080" customFormat="1" ht="13.2"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2" customHeight="1" thickBot="1">
      <c r="A6" s="4011" t="s">
        <v>2320</v>
      </c>
      <c r="B6" s="4012"/>
      <c r="C6" s="4013"/>
      <c r="D6" s="3097"/>
      <c r="E6" s="3098"/>
      <c r="F6" s="3099"/>
      <c r="G6" s="3100"/>
      <c r="H6" s="3075"/>
      <c r="I6" s="3076"/>
      <c r="J6" s="4014">
        <v>1</v>
      </c>
      <c r="K6" s="4015"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2" customHeight="1">
      <c r="A7" s="3103" t="s">
        <v>2330</v>
      </c>
      <c r="B7" s="3104"/>
      <c r="C7" s="3105"/>
      <c r="D7" s="3106">
        <f>SUM(D9,D10,D11,D17,0)</f>
        <v>0</v>
      </c>
      <c r="E7" s="3107" t="e">
        <f>E9+E10+E11+E17</f>
        <v>#DIV/0!</v>
      </c>
      <c r="F7" s="3108"/>
      <c r="G7" s="3109"/>
      <c r="H7" s="3075"/>
      <c r="I7" s="3076"/>
      <c r="J7" s="4014"/>
      <c r="K7" s="4016"/>
      <c r="L7" s="3110" t="s">
        <v>2331</v>
      </c>
      <c r="M7" s="3111"/>
      <c r="N7" s="3087"/>
      <c r="O7" s="3112"/>
      <c r="P7" s="3112"/>
      <c r="Q7" s="3113">
        <v>365</v>
      </c>
      <c r="R7" s="3114">
        <f>ROUND(M7*N7*O7*P7*Q7/10000,0)</f>
        <v>0</v>
      </c>
      <c r="S7" s="3067"/>
      <c r="T7" s="3067" t="s">
        <v>2332</v>
      </c>
      <c r="U7" s="3067"/>
      <c r="V7" s="3076"/>
    </row>
    <row r="8" spans="1:22" s="3080" customFormat="1" ht="13.2" customHeight="1">
      <c r="A8" s="3115" t="s">
        <v>2333</v>
      </c>
      <c r="B8" s="4018" t="s">
        <v>2334</v>
      </c>
      <c r="C8" s="4019"/>
      <c r="D8" s="3116" t="s">
        <v>2335</v>
      </c>
      <c r="E8" s="3117" t="s">
        <v>2336</v>
      </c>
      <c r="F8" s="3118" t="s">
        <v>2337</v>
      </c>
      <c r="G8" s="3119"/>
      <c r="H8" s="3075"/>
      <c r="I8" s="3076"/>
      <c r="J8" s="4014"/>
      <c r="K8" s="4016"/>
      <c r="L8" s="3110" t="s">
        <v>2338</v>
      </c>
      <c r="M8" s="3111"/>
      <c r="N8" s="3087"/>
      <c r="O8" s="3112"/>
      <c r="P8" s="3112"/>
      <c r="Q8" s="3113">
        <v>365</v>
      </c>
      <c r="R8" s="3114">
        <f t="shared" ref="R8:R13" si="0">ROUND(M8*N8*O8*P8*Q8/10000,0)</f>
        <v>0</v>
      </c>
      <c r="S8" s="3067"/>
      <c r="T8" s="3067" t="s">
        <v>2339</v>
      </c>
      <c r="U8" s="3067"/>
      <c r="V8" s="3076"/>
    </row>
    <row r="9" spans="1:22" s="3080" customFormat="1" ht="13.2" customHeight="1">
      <c r="A9" s="3115">
        <v>1</v>
      </c>
      <c r="B9" s="4018" t="s">
        <v>2340</v>
      </c>
      <c r="C9" s="4019"/>
      <c r="D9" s="3116">
        <f>ROUND(D6*E9,0)</f>
        <v>0</v>
      </c>
      <c r="E9" s="3120"/>
      <c r="F9" s="3121" t="s">
        <v>2341</v>
      </c>
      <c r="G9" s="3100"/>
      <c r="H9" s="3075"/>
      <c r="I9" s="3076"/>
      <c r="J9" s="4014"/>
      <c r="K9" s="4016"/>
      <c r="L9" s="3110" t="s">
        <v>2342</v>
      </c>
      <c r="M9" s="3111"/>
      <c r="N9" s="3087"/>
      <c r="O9" s="3112"/>
      <c r="P9" s="3112"/>
      <c r="Q9" s="3113">
        <v>365</v>
      </c>
      <c r="R9" s="3114">
        <f t="shared" si="0"/>
        <v>0</v>
      </c>
      <c r="S9" s="3067"/>
      <c r="T9" s="3067"/>
      <c r="U9" s="3067"/>
      <c r="V9" s="3076"/>
    </row>
    <row r="10" spans="1:22" s="3080" customFormat="1" ht="13.2" customHeight="1">
      <c r="A10" s="3115">
        <v>2</v>
      </c>
      <c r="B10" s="4018" t="s">
        <v>2343</v>
      </c>
      <c r="C10" s="4019"/>
      <c r="D10" s="3116">
        <f>ROUND(D6*E10,0)</f>
        <v>0</v>
      </c>
      <c r="E10" s="3120"/>
      <c r="F10" s="3121" t="s">
        <v>2344</v>
      </c>
      <c r="G10" s="3100"/>
      <c r="H10" s="3075"/>
      <c r="I10" s="3076"/>
      <c r="J10" s="4014"/>
      <c r="K10" s="4016"/>
      <c r="L10" s="3110" t="s">
        <v>2345</v>
      </c>
      <c r="M10" s="3111"/>
      <c r="N10" s="3087"/>
      <c r="O10" s="3112"/>
      <c r="P10" s="3112"/>
      <c r="Q10" s="3113">
        <v>365</v>
      </c>
      <c r="R10" s="3114">
        <f t="shared" si="0"/>
        <v>0</v>
      </c>
      <c r="S10" s="3067"/>
      <c r="T10" s="3067"/>
      <c r="U10" s="3067"/>
      <c r="V10" s="3076"/>
    </row>
    <row r="11" spans="1:22" s="3080" customFormat="1" ht="13.2" customHeight="1">
      <c r="A11" s="3115">
        <v>3</v>
      </c>
      <c r="B11" s="4018" t="s">
        <v>2346</v>
      </c>
      <c r="C11" s="4019"/>
      <c r="D11" s="3116">
        <f>D12+D14+D15+D16</f>
        <v>0</v>
      </c>
      <c r="E11" s="3122" t="e">
        <f>D11/D6</f>
        <v>#DIV/0!</v>
      </c>
      <c r="F11" s="3118"/>
      <c r="G11" s="3119"/>
      <c r="H11" s="3075"/>
      <c r="I11" s="3076"/>
      <c r="J11" s="4014"/>
      <c r="K11" s="4016"/>
      <c r="L11" s="3110" t="s">
        <v>2347</v>
      </c>
      <c r="M11" s="3111"/>
      <c r="N11" s="3087"/>
      <c r="O11" s="3112"/>
      <c r="P11" s="3112"/>
      <c r="Q11" s="3113">
        <v>365</v>
      </c>
      <c r="R11" s="3114">
        <f t="shared" si="0"/>
        <v>0</v>
      </c>
      <c r="S11" s="3067"/>
      <c r="T11" s="3067"/>
      <c r="U11" s="3067"/>
      <c r="V11" s="3076"/>
    </row>
    <row r="12" spans="1:22" s="3080" customFormat="1" ht="13.2" customHeight="1">
      <c r="A12" s="3123" t="s">
        <v>2348</v>
      </c>
      <c r="B12" s="4020" t="s">
        <v>2349</v>
      </c>
      <c r="C12" s="4021"/>
      <c r="D12" s="3124">
        <f>ROUND(D13*1.2%*(1-30%),0)</f>
        <v>0</v>
      </c>
      <c r="E12" s="3125">
        <v>1.2E-2</v>
      </c>
      <c r="F12" s="3118" t="s">
        <v>2350</v>
      </c>
      <c r="G12" s="3119"/>
      <c r="H12" s="3075"/>
      <c r="I12" s="3076"/>
      <c r="J12" s="4014"/>
      <c r="K12" s="4016"/>
      <c r="L12" s="3110" t="s">
        <v>2351</v>
      </c>
      <c r="M12" s="3111"/>
      <c r="N12" s="3087"/>
      <c r="O12" s="3112"/>
      <c r="P12" s="3112"/>
      <c r="Q12" s="3113">
        <v>365</v>
      </c>
      <c r="R12" s="3114">
        <f t="shared" si="0"/>
        <v>0</v>
      </c>
      <c r="S12" s="3067"/>
      <c r="T12" s="3067"/>
      <c r="U12" s="3067"/>
      <c r="V12" s="3076"/>
    </row>
    <row r="13" spans="1:22" s="3080" customFormat="1" ht="13.2" customHeight="1">
      <c r="A13" s="3123"/>
      <c r="B13" s="3126"/>
      <c r="C13" s="3127" t="s">
        <v>2352</v>
      </c>
      <c r="D13" s="3128"/>
      <c r="E13" s="3129"/>
      <c r="F13" s="3118"/>
      <c r="G13" s="3119"/>
      <c r="H13" s="3075"/>
      <c r="I13" s="3076"/>
      <c r="J13" s="4014"/>
      <c r="K13" s="4016"/>
      <c r="L13" s="3110" t="s">
        <v>2353</v>
      </c>
      <c r="M13" s="3111"/>
      <c r="N13" s="3087"/>
      <c r="O13" s="3112"/>
      <c r="P13" s="3112"/>
      <c r="Q13" s="3113">
        <v>365</v>
      </c>
      <c r="R13" s="3114">
        <f t="shared" si="0"/>
        <v>0</v>
      </c>
      <c r="S13" s="3067"/>
      <c r="T13" s="3067"/>
      <c r="U13" s="3067"/>
      <c r="V13" s="3076"/>
    </row>
    <row r="14" spans="1:22" s="3080" customFormat="1" ht="13.2" customHeight="1">
      <c r="A14" s="3123" t="s">
        <v>2354</v>
      </c>
      <c r="B14" s="4020" t="s">
        <v>2355</v>
      </c>
      <c r="C14" s="4021"/>
      <c r="D14" s="3124">
        <f>ROUND(E14*B5/10000,0)</f>
        <v>0</v>
      </c>
      <c r="E14" s="3113"/>
      <c r="F14" s="3118" t="s">
        <v>2356</v>
      </c>
      <c r="G14" s="3119"/>
      <c r="H14" s="3075"/>
      <c r="I14" s="3076"/>
      <c r="J14" s="4014"/>
      <c r="K14" s="4017"/>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2358</v>
      </c>
      <c r="B15" s="4020" t="s">
        <v>2359</v>
      </c>
      <c r="C15" s="4021"/>
      <c r="D15" s="3124">
        <f>ROUND(D6*E15,0)</f>
        <v>0</v>
      </c>
      <c r="E15" s="3125">
        <v>5.5E-2</v>
      </c>
      <c r="F15" s="3118" t="s">
        <v>2360</v>
      </c>
      <c r="G15" s="3100"/>
      <c r="H15" s="3075"/>
      <c r="I15" s="3076"/>
      <c r="J15" s="4014">
        <v>2</v>
      </c>
      <c r="K15" s="4015"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2" customHeight="1">
      <c r="A16" s="3123" t="s">
        <v>2369</v>
      </c>
      <c r="B16" s="4020" t="s">
        <v>2370</v>
      </c>
      <c r="C16" s="4021"/>
      <c r="D16" s="3135">
        <f>D6*E16</f>
        <v>0</v>
      </c>
      <c r="E16" s="3136"/>
      <c r="F16" s="3121" t="s">
        <v>2371</v>
      </c>
      <c r="G16" s="3100"/>
      <c r="H16" s="3075"/>
      <c r="I16" s="3076"/>
      <c r="J16" s="4014"/>
      <c r="K16" s="4016"/>
      <c r="L16" s="3110" t="s">
        <v>2372</v>
      </c>
      <c r="M16" s="3111"/>
      <c r="N16" s="3111"/>
      <c r="O16" s="3112"/>
      <c r="P16" s="3113">
        <v>365</v>
      </c>
      <c r="Q16" s="3087"/>
      <c r="R16" s="3134">
        <f>ROUND(M16*N16*O16*P16/10000,0)</f>
        <v>0</v>
      </c>
      <c r="S16" s="3067"/>
      <c r="T16" s="3067"/>
      <c r="U16" s="3067"/>
      <c r="V16" s="3076"/>
    </row>
    <row r="17" spans="1:22" s="3080" customFormat="1" ht="13.2" customHeight="1" thickBot="1">
      <c r="A17" s="3137">
        <v>4</v>
      </c>
      <c r="B17" s="4022" t="s">
        <v>2373</v>
      </c>
      <c r="C17" s="4023"/>
      <c r="D17" s="3138">
        <f>ROUND(D6*E17,0)</f>
        <v>0</v>
      </c>
      <c r="E17" s="3139"/>
      <c r="F17" s="3140" t="s">
        <v>2374</v>
      </c>
      <c r="G17" s="3100"/>
      <c r="H17" s="3075"/>
      <c r="I17" s="3076"/>
      <c r="J17" s="4014"/>
      <c r="K17" s="4016"/>
      <c r="L17" s="3110" t="s">
        <v>2375</v>
      </c>
      <c r="M17" s="3111"/>
      <c r="N17" s="3111"/>
      <c r="O17" s="3112"/>
      <c r="P17" s="3113">
        <v>365</v>
      </c>
      <c r="Q17" s="3087"/>
      <c r="R17" s="3134">
        <f>ROUND(M17*N17*O17*P17/10000,0)</f>
        <v>0</v>
      </c>
      <c r="S17" s="3067"/>
      <c r="T17" s="3067"/>
      <c r="U17" s="3067"/>
      <c r="V17" s="3076"/>
    </row>
    <row r="18" spans="1:22" s="3080" customFormat="1" ht="13.2" customHeight="1" thickBot="1">
      <c r="A18" s="3103" t="s">
        <v>2376</v>
      </c>
      <c r="B18" s="3104"/>
      <c r="C18" s="3104"/>
      <c r="D18" s="3141">
        <f>ROUND(D6*E18,0)</f>
        <v>0</v>
      </c>
      <c r="E18" s="3142"/>
      <c r="F18" s="3143" t="s">
        <v>2377</v>
      </c>
      <c r="G18" s="3100"/>
      <c r="H18" s="3075"/>
      <c r="I18" s="3076"/>
      <c r="J18" s="4014"/>
      <c r="K18" s="4016"/>
      <c r="L18" s="3110" t="s">
        <v>2378</v>
      </c>
      <c r="M18" s="3111"/>
      <c r="N18" s="3111"/>
      <c r="O18" s="3112"/>
      <c r="P18" s="3113">
        <v>365</v>
      </c>
      <c r="Q18" s="3087"/>
      <c r="R18" s="3134">
        <f>ROUND(M18*N18*O18*P18/10000,0)</f>
        <v>0</v>
      </c>
      <c r="S18" s="3067"/>
      <c r="T18" s="3067"/>
      <c r="U18" s="3067"/>
      <c r="V18" s="3076"/>
    </row>
    <row r="19" spans="1:22" s="3080" customFormat="1" ht="13.2" customHeight="1" thickBot="1">
      <c r="A19" s="3144" t="s">
        <v>2379</v>
      </c>
      <c r="B19" s="3098"/>
      <c r="C19" s="3098"/>
      <c r="D19" s="3098"/>
      <c r="E19" s="3098"/>
      <c r="F19" s="3099"/>
      <c r="G19" s="3119"/>
      <c r="H19" s="3075"/>
      <c r="I19" s="3076"/>
      <c r="J19" s="4014"/>
      <c r="K19" s="4017"/>
      <c r="L19" s="3130" t="s">
        <v>2357</v>
      </c>
      <c r="M19" s="3131"/>
      <c r="N19" s="3131">
        <f>SUM(N16:N18)</f>
        <v>0</v>
      </c>
      <c r="O19" s="3132"/>
      <c r="P19" s="3145" t="s">
        <v>2445</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4014">
        <v>3</v>
      </c>
      <c r="K20" s="4015"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2" customHeight="1">
      <c r="A21" s="3103"/>
      <c r="B21" s="3104"/>
      <c r="C21" s="3150" t="s">
        <v>2387</v>
      </c>
      <c r="D21" s="3151" t="s">
        <v>2388</v>
      </c>
      <c r="E21" s="3152" t="s">
        <v>2389</v>
      </c>
      <c r="F21" s="3147"/>
      <c r="G21" s="3119"/>
      <c r="H21" s="3075"/>
      <c r="I21" s="3076"/>
      <c r="J21" s="4014"/>
      <c r="K21" s="4016"/>
      <c r="L21" s="3110" t="s">
        <v>2390</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2391</v>
      </c>
      <c r="D22" s="3155" t="s">
        <v>2392</v>
      </c>
      <c r="E22" s="3156" t="s">
        <v>2393</v>
      </c>
      <c r="F22" s="3147"/>
      <c r="G22" s="3157"/>
      <c r="H22" s="3075"/>
      <c r="I22" s="3076"/>
      <c r="J22" s="4014"/>
      <c r="K22" s="4016"/>
      <c r="L22" s="3110" t="s">
        <v>2394</v>
      </c>
      <c r="M22" s="3111"/>
      <c r="N22" s="3111"/>
      <c r="O22" s="3112"/>
      <c r="P22" s="3113">
        <v>365</v>
      </c>
      <c r="Q22" s="3087"/>
      <c r="R22" s="3153">
        <f>ROUND(M22*N22*O22*P22/10000,0)</f>
        <v>0</v>
      </c>
      <c r="S22" s="3149"/>
      <c r="T22" s="3149"/>
      <c r="U22" s="3149"/>
      <c r="V22" s="3076"/>
    </row>
    <row r="23" spans="1:22" s="3080" customFormat="1" ht="13.2" customHeight="1">
      <c r="A23" s="3158">
        <v>1</v>
      </c>
      <c r="B23" s="3159" t="s">
        <v>2395</v>
      </c>
      <c r="C23" s="3160">
        <f>D6</f>
        <v>0</v>
      </c>
      <c r="D23" s="3161">
        <f>C23*(1+D24)</f>
        <v>0</v>
      </c>
      <c r="E23" s="3162">
        <f>D23*(1+E24)</f>
        <v>0</v>
      </c>
      <c r="F23" s="3163"/>
      <c r="G23" s="3164"/>
      <c r="H23" s="3075"/>
      <c r="I23" s="3076"/>
      <c r="J23" s="4014"/>
      <c r="K23" s="4016"/>
      <c r="L23" s="3110" t="s">
        <v>2396</v>
      </c>
      <c r="M23" s="3111"/>
      <c r="N23" s="3111"/>
      <c r="O23" s="3112"/>
      <c r="P23" s="3113">
        <v>365</v>
      </c>
      <c r="Q23" s="3087"/>
      <c r="R23" s="3153">
        <f>ROUND(M23*N23*O23*P23/10000,0)</f>
        <v>0</v>
      </c>
      <c r="S23" s="3067"/>
      <c r="T23" s="3067"/>
      <c r="U23" s="3067"/>
      <c r="V23" s="3076"/>
    </row>
    <row r="24" spans="1:22" s="3080" customFormat="1" ht="13.2" customHeight="1">
      <c r="A24" s="3165"/>
      <c r="B24" s="3166" t="s">
        <v>2397</v>
      </c>
      <c r="C24" s="3167"/>
      <c r="D24" s="3168"/>
      <c r="E24" s="3169"/>
      <c r="F24" s="3170"/>
      <c r="G24" s="3164"/>
      <c r="H24" s="3075"/>
      <c r="I24" s="3076"/>
      <c r="J24" s="4014"/>
      <c r="K24" s="4017"/>
      <c r="L24" s="3130" t="s">
        <v>2357</v>
      </c>
      <c r="M24" s="3131">
        <f>SUM(M21:M23)</f>
        <v>0</v>
      </c>
      <c r="N24" s="3131"/>
      <c r="O24" s="3132"/>
      <c r="P24" s="3145" t="s">
        <v>2445</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2" customHeight="1">
      <c r="A26" s="3158">
        <v>2</v>
      </c>
      <c r="B26" s="3159" t="s">
        <v>2399</v>
      </c>
      <c r="C26" s="3160">
        <f>D7</f>
        <v>0</v>
      </c>
      <c r="D26" s="3161">
        <f>D23*D27</f>
        <v>0</v>
      </c>
      <c r="E26" s="3162">
        <f>E23*E27</f>
        <v>0</v>
      </c>
      <c r="F26" s="3163"/>
      <c r="G26" s="3164"/>
      <c r="H26" s="3075"/>
      <c r="I26" s="3076"/>
      <c r="J26" s="4024">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2" customHeight="1">
      <c r="A27" s="3165"/>
      <c r="B27" s="3166" t="s">
        <v>2406</v>
      </c>
      <c r="C27" s="3184" t="e">
        <f>E7</f>
        <v>#DIV/0!</v>
      </c>
      <c r="D27" s="3168"/>
      <c r="E27" s="3169"/>
      <c r="F27" s="3170"/>
      <c r="G27" s="3164"/>
      <c r="H27" s="3185"/>
      <c r="I27" s="3176"/>
      <c r="J27" s="4025"/>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2"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2" customHeight="1">
      <c r="A32" s="3158">
        <v>4</v>
      </c>
      <c r="B32" s="3159" t="s">
        <v>2415</v>
      </c>
      <c r="C32" s="3160">
        <f>C23-C26-C29</f>
        <v>0</v>
      </c>
      <c r="D32" s="3161">
        <f>D23-D26-D29</f>
        <v>0</v>
      </c>
      <c r="E32" s="3162">
        <f>E23-E26-E29</f>
        <v>0</v>
      </c>
      <c r="F32" s="3163"/>
      <c r="G32" s="3157"/>
      <c r="H32" s="3075"/>
      <c r="I32" s="3076"/>
      <c r="J32" s="4007" t="s">
        <v>2416</v>
      </c>
      <c r="K32" s="4008"/>
      <c r="L32" s="3077" t="s">
        <v>2417</v>
      </c>
      <c r="M32" s="3077" t="s">
        <v>2306</v>
      </c>
      <c r="N32" s="3077" t="s">
        <v>2307</v>
      </c>
      <c r="O32" s="3077" t="s">
        <v>2308</v>
      </c>
      <c r="P32" s="3077" t="s">
        <v>2309</v>
      </c>
      <c r="Q32" s="3078" t="s">
        <v>2418</v>
      </c>
      <c r="R32" s="3200" t="s">
        <v>2419</v>
      </c>
      <c r="S32" s="3149"/>
      <c r="T32" s="3067"/>
      <c r="U32" s="3067"/>
      <c r="V32" s="3176"/>
    </row>
    <row r="33" spans="1:23" s="3080" customFormat="1" ht="13.2" customHeight="1">
      <c r="A33" s="3158"/>
      <c r="B33" s="3159"/>
      <c r="C33" s="3160"/>
      <c r="D33" s="3201"/>
      <c r="E33" s="3202"/>
      <c r="F33" s="3163"/>
      <c r="G33" s="3157"/>
      <c r="H33" s="3185"/>
      <c r="I33" s="3176"/>
      <c r="J33" s="4009" t="s">
        <v>2420</v>
      </c>
      <c r="K33" s="4010"/>
      <c r="L33" s="3083"/>
      <c r="M33" s="3083"/>
      <c r="N33" s="3083"/>
      <c r="O33" s="3083"/>
      <c r="P33" s="3083"/>
      <c r="Q33" s="3084"/>
      <c r="R33" s="3203">
        <f>SUM(L33:Q33)</f>
        <v>0</v>
      </c>
      <c r="S33" s="3149"/>
      <c r="T33" s="3067"/>
      <c r="U33" s="3067"/>
      <c r="V33" s="3076"/>
    </row>
    <row r="34" spans="1:23" s="3080" customFormat="1" ht="13.2" customHeight="1">
      <c r="A34" s="3158">
        <v>5</v>
      </c>
      <c r="B34" s="3159" t="s">
        <v>2421</v>
      </c>
      <c r="C34" s="3204"/>
      <c r="D34" s="3205"/>
      <c r="E34" s="3206"/>
      <c r="F34" s="3163"/>
      <c r="G34" s="3157"/>
      <c r="H34" s="3185"/>
      <c r="I34" s="3176"/>
      <c r="J34" s="4009" t="s">
        <v>2422</v>
      </c>
      <c r="K34" s="4010"/>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2" customHeight="1" thickBot="1">
      <c r="A36" s="3158">
        <v>7</v>
      </c>
      <c r="B36" s="3213" t="s">
        <v>2426</v>
      </c>
      <c r="C36" s="3214"/>
      <c r="D36" s="3215"/>
      <c r="E36" s="3216"/>
      <c r="F36" s="3217">
        <f>C36+D36+E36</f>
        <v>0</v>
      </c>
      <c r="G36" s="3157"/>
      <c r="H36" s="3075"/>
      <c r="I36" s="3076"/>
      <c r="J36" s="4014">
        <v>1</v>
      </c>
      <c r="K36" s="4015" t="s">
        <v>2427</v>
      </c>
      <c r="L36" s="3101"/>
      <c r="M36" s="3102"/>
      <c r="N36" s="3102"/>
      <c r="O36" s="3102"/>
      <c r="P36" s="3102"/>
      <c r="Q36" s="3102"/>
      <c r="R36" s="3085" t="s">
        <v>2328</v>
      </c>
      <c r="S36" s="3149"/>
      <c r="T36" s="3067" t="s">
        <v>2329</v>
      </c>
      <c r="U36" s="3067"/>
      <c r="V36" s="3076"/>
    </row>
    <row r="37" spans="1:23" s="3080" customFormat="1" ht="13.2" customHeight="1">
      <c r="A37" s="3158"/>
      <c r="B37" s="3159"/>
      <c r="C37" s="3159"/>
      <c r="D37" s="3159"/>
      <c r="E37" s="3159"/>
      <c r="F37" s="3163"/>
      <c r="G37" s="3157"/>
      <c r="H37" s="3075"/>
      <c r="I37" s="3076"/>
      <c r="J37" s="4014"/>
      <c r="K37" s="4016"/>
      <c r="L37" s="3110"/>
      <c r="M37" s="3111"/>
      <c r="N37" s="3087"/>
      <c r="O37" s="3112"/>
      <c r="P37" s="3112"/>
      <c r="Q37" s="3113"/>
      <c r="R37" s="3114"/>
      <c r="S37" s="3149"/>
      <c r="T37" s="3067" t="s">
        <v>2332</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4014"/>
      <c r="K38" s="4016"/>
      <c r="L38" s="3110"/>
      <c r="M38" s="3111"/>
      <c r="N38" s="3087"/>
      <c r="O38" s="3112"/>
      <c r="P38" s="3112"/>
      <c r="Q38" s="3113"/>
      <c r="R38" s="3114"/>
      <c r="S38" s="3149"/>
      <c r="T38" s="3067" t="s">
        <v>2339</v>
      </c>
      <c r="U38" s="3067"/>
      <c r="V38" s="3076"/>
    </row>
    <row r="39" spans="1:23" s="3080" customFormat="1" ht="13.2" customHeight="1">
      <c r="A39" s="3158">
        <v>9</v>
      </c>
      <c r="B39" s="3159" t="s">
        <v>2428</v>
      </c>
      <c r="C39" s="3124" t="e">
        <f>C38</f>
        <v>#DIV/0!</v>
      </c>
      <c r="D39" s="3159">
        <f>D38/(1+D34)^C36</f>
        <v>0</v>
      </c>
      <c r="E39" s="3159">
        <f>E38/(1+E34)^(C36+D36)</f>
        <v>0</v>
      </c>
      <c r="F39" s="3163"/>
      <c r="G39" s="3218"/>
      <c r="H39" s="3075"/>
      <c r="I39" s="3076"/>
      <c r="J39" s="4014"/>
      <c r="K39" s="4016"/>
      <c r="L39" s="3110"/>
      <c r="M39" s="3111"/>
      <c r="N39" s="3087"/>
      <c r="O39" s="3112"/>
      <c r="P39" s="3112"/>
      <c r="Q39" s="3113"/>
      <c r="R39" s="3114"/>
      <c r="S39" s="3149"/>
      <c r="T39" s="3067"/>
      <c r="U39" s="3067"/>
      <c r="V39" s="3076"/>
    </row>
    <row r="40" spans="1:23" s="3080" customFormat="1" ht="13.2" customHeight="1">
      <c r="A40" s="3219">
        <v>10</v>
      </c>
      <c r="B40" s="3159" t="s">
        <v>2429</v>
      </c>
      <c r="C40" s="3220" t="e">
        <f>C39+D39+E39</f>
        <v>#DIV/0!</v>
      </c>
      <c r="D40" s="3221"/>
      <c r="E40" s="3221"/>
      <c r="F40" s="3222"/>
      <c r="G40" s="3157"/>
      <c r="H40" s="3075"/>
      <c r="I40" s="3076"/>
      <c r="J40" s="4014"/>
      <c r="K40" s="4017"/>
      <c r="L40" s="3130" t="s">
        <v>2430</v>
      </c>
      <c r="M40" s="3131"/>
      <c r="N40" s="3131"/>
      <c r="O40" s="3132"/>
      <c r="P40" s="3132"/>
      <c r="Q40" s="3133"/>
      <c r="R40" s="3079">
        <f>SUM(R37:R39)</f>
        <v>0</v>
      </c>
      <c r="S40" s="3149"/>
      <c r="T40" s="3067"/>
      <c r="U40" s="3067"/>
      <c r="V40" s="3076"/>
    </row>
    <row r="41" spans="1:23" s="3080" customFormat="1" ht="13.2"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2" customHeight="1">
      <c r="G42" s="3227"/>
      <c r="H42" s="3075"/>
      <c r="I42" s="3076"/>
      <c r="J42" s="4024">
        <v>3</v>
      </c>
      <c r="K42" s="3178" t="s">
        <v>2433</v>
      </c>
      <c r="L42" s="3179"/>
      <c r="M42" s="3180"/>
      <c r="N42" s="3181" t="s">
        <v>2434</v>
      </c>
      <c r="O42" s="3181" t="s">
        <v>2435</v>
      </c>
      <c r="P42" s="3182" t="s">
        <v>2436</v>
      </c>
      <c r="Q42" s="3182" t="s">
        <v>2437</v>
      </c>
      <c r="R42" s="3085" t="s">
        <v>2438</v>
      </c>
      <c r="S42" s="3183"/>
      <c r="T42" s="3183"/>
      <c r="U42" s="3067"/>
      <c r="V42" s="3076"/>
    </row>
    <row r="43" spans="1:23" ht="13.2" customHeight="1">
      <c r="A43" s="3080"/>
      <c r="B43" s="3080"/>
      <c r="C43" s="3080"/>
      <c r="D43" s="3080"/>
      <c r="E43" s="3080"/>
      <c r="F43" s="3080"/>
      <c r="I43" s="3062"/>
      <c r="J43" s="4025"/>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6" sqref="E16"/>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115395</v>
      </c>
      <c r="C2" s="3009"/>
      <c r="D2" s="3009"/>
      <c r="E2" s="3009"/>
      <c r="F2" s="3009"/>
      <c r="G2" s="3009"/>
    </row>
    <row r="3" spans="1:25" s="1783" customFormat="1" ht="18" customHeight="1">
      <c r="A3" s="1237" t="s">
        <v>1218</v>
      </c>
      <c r="B3" s="412">
        <f ca="1">ROUND(B2*10000/'数据-汇总表'!E3,0)</f>
        <v>3116</v>
      </c>
      <c r="C3" s="3009"/>
      <c r="D3" s="3009"/>
      <c r="E3" s="3009"/>
      <c r="F3" s="3009"/>
      <c r="G3" s="3009"/>
    </row>
    <row r="4" spans="1:25" s="1783" customFormat="1" ht="18" customHeight="1">
      <c r="A4" s="413" t="s">
        <v>428</v>
      </c>
      <c r="B4" s="414">
        <f ca="1">ROUND(B2*10000/'数据-汇总表'!D3,0)</f>
        <v>3116</v>
      </c>
      <c r="C4" s="2963"/>
      <c r="D4" s="3009"/>
      <c r="E4" s="3009"/>
      <c r="F4" s="3009"/>
      <c r="G4" s="3009"/>
    </row>
    <row r="5" spans="1:25" s="1783" customFormat="1" ht="18" customHeight="1" thickBot="1">
      <c r="A5" s="416"/>
      <c r="B5" s="417">
        <f ca="1">ROUND(B2/('数据-汇总表'!D3/666.67),0)</f>
        <v>208</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90669</v>
      </c>
      <c r="D7" s="716"/>
      <c r="E7" s="717"/>
      <c r="F7" s="717"/>
      <c r="G7" s="2128" t="s">
        <v>3349</v>
      </c>
    </row>
    <row r="8" spans="1:25" s="1905" customFormat="1" ht="13.5" customHeight="1">
      <c r="A8" s="2119" t="s">
        <v>1786</v>
      </c>
      <c r="B8" s="2122" t="s">
        <v>1788</v>
      </c>
      <c r="C8" s="3012">
        <f>ROUND(D8*E8/10000,0)</f>
        <v>90669</v>
      </c>
      <c r="D8" s="3012">
        <f>'数据-基础表'!A3</f>
        <v>370379.14</v>
      </c>
      <c r="E8" s="3013">
        <f>'比较法-工业 (2)'!C44</f>
        <v>2448</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6852.0141000000003</v>
      </c>
      <c r="D10" s="726"/>
      <c r="E10" s="716"/>
      <c r="F10" s="727"/>
      <c r="G10" s="725" t="s">
        <v>562</v>
      </c>
    </row>
    <row r="11" spans="1:25" s="1905" customFormat="1" ht="13.5" customHeight="1">
      <c r="A11" s="2119" t="s">
        <v>1786</v>
      </c>
      <c r="B11" s="719" t="s">
        <v>558</v>
      </c>
      <c r="C11" s="720">
        <f>'数据-取费表'!B29</f>
        <v>6852.0141000000003</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6852</v>
      </c>
      <c r="D13" s="3012">
        <f>'数据-汇总表'!E6</f>
        <v>370379.14</v>
      </c>
      <c r="E13" s="3012">
        <v>185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3246</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14628</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115395.0141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115395.0141</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115395</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115395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05" t="s">
        <v>471</v>
      </c>
      <c r="D4" s="3906"/>
      <c r="E4" s="3941" t="s">
        <v>472</v>
      </c>
      <c r="F4" s="3942"/>
      <c r="G4" s="3905" t="s">
        <v>473</v>
      </c>
      <c r="H4" s="3906"/>
      <c r="I4" s="3905" t="s">
        <v>474</v>
      </c>
      <c r="J4" s="3906"/>
      <c r="K4" s="818" t="s">
        <v>475</v>
      </c>
      <c r="L4" s="1856"/>
      <c r="M4" s="1857"/>
      <c r="N4" s="1857"/>
      <c r="O4" s="1857"/>
      <c r="P4" s="3907" t="s">
        <v>476</v>
      </c>
      <c r="Q4" s="3908"/>
      <c r="R4" s="3913" t="s">
        <v>472</v>
      </c>
      <c r="S4" s="3914"/>
      <c r="T4" s="3913" t="s">
        <v>473</v>
      </c>
      <c r="U4" s="3914"/>
      <c r="V4" s="3900" t="s">
        <v>474</v>
      </c>
      <c r="W4" s="3900"/>
      <c r="X4" s="1380"/>
      <c r="Y4" s="3913" t="s">
        <v>476</v>
      </c>
      <c r="Z4" s="3914"/>
      <c r="AA4" s="3902" t="s">
        <v>472</v>
      </c>
      <c r="AB4" s="3902" t="s">
        <v>473</v>
      </c>
      <c r="AC4" s="3902" t="s">
        <v>474</v>
      </c>
    </row>
    <row r="5" spans="1:29">
      <c r="A5" s="485"/>
      <c r="B5" s="486"/>
      <c r="C5" s="3921" t="s">
        <v>2192</v>
      </c>
      <c r="D5" s="3922"/>
      <c r="E5" s="3943" t="s">
        <v>2193</v>
      </c>
      <c r="F5" s="3944"/>
      <c r="G5" s="3921" t="s">
        <v>2194</v>
      </c>
      <c r="H5" s="3922"/>
      <c r="I5" s="3921" t="s">
        <v>2195</v>
      </c>
      <c r="J5" s="3922"/>
      <c r="K5" s="819"/>
      <c r="L5" s="1856"/>
      <c r="M5" s="1857"/>
      <c r="N5" s="1857"/>
      <c r="O5" s="1857"/>
      <c r="P5" s="3909"/>
      <c r="Q5" s="3910"/>
      <c r="R5" s="3915"/>
      <c r="S5" s="3916"/>
      <c r="T5" s="3915"/>
      <c r="U5" s="3916"/>
      <c r="V5" s="3900"/>
      <c r="W5" s="3900"/>
      <c r="X5" s="1380"/>
      <c r="Y5" s="3915"/>
      <c r="Z5" s="3916"/>
      <c r="AA5" s="3903"/>
      <c r="AB5" s="3903"/>
      <c r="AC5" s="3903"/>
    </row>
    <row r="6" spans="1:29" ht="15" thickBot="1">
      <c r="A6" s="487"/>
      <c r="B6" s="488"/>
      <c r="C6" s="3919" t="s">
        <v>2196</v>
      </c>
      <c r="D6" s="3920"/>
      <c r="E6" s="3939" t="s">
        <v>2196</v>
      </c>
      <c r="F6" s="3940"/>
      <c r="G6" s="3919" t="s">
        <v>2196</v>
      </c>
      <c r="H6" s="3920"/>
      <c r="I6" s="3919" t="s">
        <v>2196</v>
      </c>
      <c r="J6" s="3920"/>
      <c r="K6" s="819" t="s">
        <v>477</v>
      </c>
      <c r="L6" s="1856"/>
      <c r="M6" s="1857"/>
      <c r="N6" s="1857"/>
      <c r="O6" s="1857"/>
      <c r="P6" s="3911"/>
      <c r="Q6" s="3912"/>
      <c r="R6" s="3915"/>
      <c r="S6" s="3916"/>
      <c r="T6" s="3917"/>
      <c r="U6" s="3918"/>
      <c r="V6" s="3900"/>
      <c r="W6" s="3900"/>
      <c r="X6" s="1380"/>
      <c r="Y6" s="3917"/>
      <c r="Z6" s="3918"/>
      <c r="AA6" s="3904"/>
      <c r="AB6" s="3904"/>
      <c r="AC6" s="3904"/>
    </row>
    <row r="7" spans="1:29" s="1118" customFormat="1" ht="1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29" t="s">
        <v>479</v>
      </c>
      <c r="Q7" s="3931"/>
      <c r="R7" s="1381" t="s">
        <v>10</v>
      </c>
      <c r="S7" s="1382">
        <f t="shared" ref="S7:S15" si="0">F7</f>
        <v>0</v>
      </c>
      <c r="T7" s="1381" t="s">
        <v>10</v>
      </c>
      <c r="U7" s="1382">
        <f t="shared" ref="U7:U15" si="1">H7</f>
        <v>0</v>
      </c>
      <c r="V7" s="1381" t="s">
        <v>10</v>
      </c>
      <c r="W7" s="1382">
        <f t="shared" ref="W7:W15" si="2">J7</f>
        <v>0</v>
      </c>
      <c r="X7" s="1383"/>
      <c r="Y7" s="3929" t="s">
        <v>479</v>
      </c>
      <c r="Z7" s="3930"/>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29" t="s">
        <v>482</v>
      </c>
      <c r="Q8" s="3930"/>
      <c r="R8" s="1381" t="s">
        <v>10</v>
      </c>
      <c r="S8" s="1382">
        <f t="shared" si="0"/>
        <v>0</v>
      </c>
      <c r="T8" s="1381" t="s">
        <v>10</v>
      </c>
      <c r="U8" s="1382">
        <f t="shared" si="1"/>
        <v>0</v>
      </c>
      <c r="V8" s="1381" t="s">
        <v>10</v>
      </c>
      <c r="W8" s="1382">
        <f t="shared" si="2"/>
        <v>0</v>
      </c>
      <c r="X8" s="1383"/>
      <c r="Y8" s="3929" t="s">
        <v>482</v>
      </c>
      <c r="Z8" s="3930"/>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9"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99"/>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9"/>
      <c r="Q11" s="1050" t="str">
        <f t="shared" si="6"/>
        <v>容积率</v>
      </c>
      <c r="R11" s="1381" t="s">
        <v>8</v>
      </c>
      <c r="S11" s="1382" t="e">
        <f t="shared" si="0"/>
        <v>#N/A</v>
      </c>
      <c r="T11" s="1381" t="s">
        <v>8</v>
      </c>
      <c r="U11" s="1382" t="e">
        <f t="shared" si="1"/>
        <v>#N/A</v>
      </c>
      <c r="V11" s="1381" t="s">
        <v>8</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9"/>
      <c r="Q12" s="1050">
        <f t="shared" si="6"/>
        <v>111</v>
      </c>
      <c r="R12" s="1381" t="s">
        <v>8</v>
      </c>
      <c r="S12" s="1382">
        <f t="shared" si="0"/>
        <v>100</v>
      </c>
      <c r="T12" s="1381" t="s">
        <v>8</v>
      </c>
      <c r="U12" s="1382">
        <f t="shared" si="1"/>
        <v>100</v>
      </c>
      <c r="V12" s="1381" t="s">
        <v>8</v>
      </c>
      <c r="W12" s="1382">
        <f t="shared" si="2"/>
        <v>100</v>
      </c>
      <c r="X12" s="1383"/>
      <c r="Y12" s="384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9"/>
      <c r="Q13" s="1050">
        <f t="shared" si="6"/>
        <v>111</v>
      </c>
      <c r="R13" s="1381" t="s">
        <v>8</v>
      </c>
      <c r="S13" s="1382">
        <f t="shared" si="0"/>
        <v>100</v>
      </c>
      <c r="T13" s="1381" t="s">
        <v>8</v>
      </c>
      <c r="U13" s="1382">
        <f t="shared" si="1"/>
        <v>100</v>
      </c>
      <c r="V13" s="1381" t="s">
        <v>8</v>
      </c>
      <c r="W13" s="1382">
        <f t="shared" si="2"/>
        <v>100</v>
      </c>
      <c r="X13" s="1383"/>
      <c r="Y13" s="3843"/>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9"/>
      <c r="Q14" s="1050">
        <f t="shared" si="6"/>
        <v>111</v>
      </c>
      <c r="R14" s="1381" t="s">
        <v>8</v>
      </c>
      <c r="S14" s="1382">
        <f t="shared" si="0"/>
        <v>100</v>
      </c>
      <c r="T14" s="1381" t="s">
        <v>8</v>
      </c>
      <c r="U14" s="1382">
        <f t="shared" si="1"/>
        <v>100</v>
      </c>
      <c r="V14" s="1381" t="s">
        <v>8</v>
      </c>
      <c r="W14" s="1382">
        <f t="shared" si="2"/>
        <v>100</v>
      </c>
      <c r="X14" s="1383"/>
      <c r="Y14" s="3843"/>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32" t="s">
        <v>489</v>
      </c>
      <c r="Q15" s="1385" t="str">
        <f t="shared" si="6"/>
        <v>居住社区成熟度</v>
      </c>
      <c r="R15" s="1386" t="s">
        <v>8</v>
      </c>
      <c r="S15" s="1387">
        <f t="shared" si="0"/>
        <v>100</v>
      </c>
      <c r="T15" s="1386" t="s">
        <v>8</v>
      </c>
      <c r="U15" s="1387">
        <f t="shared" si="1"/>
        <v>100</v>
      </c>
      <c r="V15" s="1386" t="s">
        <v>8</v>
      </c>
      <c r="W15" s="1387">
        <f t="shared" si="2"/>
        <v>100</v>
      </c>
      <c r="X15" s="1380"/>
      <c r="Y15" s="393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33"/>
      <c r="Q16" s="1385"/>
      <c r="R16" s="1386"/>
      <c r="S16" s="1387"/>
      <c r="T16" s="1386"/>
      <c r="U16" s="1387"/>
      <c r="V16" s="1386"/>
      <c r="W16" s="1387"/>
      <c r="X16" s="1380"/>
      <c r="Y16" s="3933"/>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33"/>
      <c r="Q17" s="1385" t="str">
        <f>B17</f>
        <v>交通便捷度</v>
      </c>
      <c r="R17" s="1386" t="s">
        <v>8</v>
      </c>
      <c r="S17" s="1387">
        <f>F17</f>
        <v>100</v>
      </c>
      <c r="T17" s="1386" t="s">
        <v>8</v>
      </c>
      <c r="U17" s="1387">
        <f>H17</f>
        <v>100</v>
      </c>
      <c r="V17" s="1386" t="s">
        <v>8</v>
      </c>
      <c r="W17" s="1387">
        <f>J17</f>
        <v>100</v>
      </c>
      <c r="X17" s="1380"/>
      <c r="Y17" s="393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33"/>
      <c r="Q18" s="1385"/>
      <c r="R18" s="1386"/>
      <c r="S18" s="1387"/>
      <c r="T18" s="1386"/>
      <c r="U18" s="1387"/>
      <c r="V18" s="1386"/>
      <c r="W18" s="1387"/>
      <c r="X18" s="1380"/>
      <c r="Y18" s="3933"/>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33"/>
      <c r="Q19" s="1385" t="str">
        <f>B19</f>
        <v>公共配套设施</v>
      </c>
      <c r="R19" s="1386" t="s">
        <v>8</v>
      </c>
      <c r="S19" s="1387">
        <f>F19</f>
        <v>100</v>
      </c>
      <c r="T19" s="1386" t="s">
        <v>8</v>
      </c>
      <c r="U19" s="1387">
        <f>H19</f>
        <v>100</v>
      </c>
      <c r="V19" s="1386" t="s">
        <v>8</v>
      </c>
      <c r="W19" s="1387">
        <f>J19</f>
        <v>100</v>
      </c>
      <c r="X19" s="1380"/>
      <c r="Y19" s="393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33"/>
      <c r="Q20" s="1385"/>
      <c r="R20" s="1386"/>
      <c r="S20" s="1387"/>
      <c r="T20" s="1386"/>
      <c r="U20" s="1387"/>
      <c r="V20" s="1386"/>
      <c r="W20" s="1387"/>
      <c r="X20" s="1380"/>
      <c r="Y20" s="3933"/>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33"/>
      <c r="Q21" s="2193" t="str">
        <f>B21</f>
        <v>基础设施水平</v>
      </c>
      <c r="R21" s="1386" t="s">
        <v>8</v>
      </c>
      <c r="S21" s="1387">
        <f>F21</f>
        <v>100</v>
      </c>
      <c r="T21" s="1386" t="s">
        <v>8</v>
      </c>
      <c r="U21" s="1387">
        <f>H21</f>
        <v>100</v>
      </c>
      <c r="V21" s="1386" t="s">
        <v>8</v>
      </c>
      <c r="W21" s="1387">
        <f>J21</f>
        <v>100</v>
      </c>
      <c r="X21" s="2195"/>
      <c r="Y21" s="393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33"/>
      <c r="Q22" s="2193"/>
      <c r="R22" s="1386"/>
      <c r="S22" s="1387"/>
      <c r="T22" s="1386"/>
      <c r="U22" s="1387"/>
      <c r="V22" s="1386"/>
      <c r="W22" s="1387"/>
      <c r="X22" s="2195"/>
      <c r="Y22" s="3933"/>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33"/>
      <c r="Q23" s="1385" t="str">
        <f>B23</f>
        <v>自然及人文环境</v>
      </c>
      <c r="R23" s="1386" t="s">
        <v>8</v>
      </c>
      <c r="S23" s="1387">
        <f>F23</f>
        <v>100</v>
      </c>
      <c r="T23" s="1386" t="s">
        <v>8</v>
      </c>
      <c r="U23" s="1387">
        <f>H23</f>
        <v>100</v>
      </c>
      <c r="V23" s="1386" t="s">
        <v>8</v>
      </c>
      <c r="W23" s="1387">
        <f>J23</f>
        <v>100</v>
      </c>
      <c r="X23" s="1380"/>
      <c r="Y23" s="393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33"/>
      <c r="Q24" s="1385"/>
      <c r="R24" s="1386"/>
      <c r="S24" s="1387"/>
      <c r="T24" s="1386"/>
      <c r="U24" s="1387"/>
      <c r="V24" s="1386"/>
      <c r="W24" s="1387"/>
      <c r="X24" s="1380"/>
      <c r="Y24" s="393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33"/>
      <c r="Q25" s="1385" t="str">
        <f t="shared" ref="Q25:Q46" si="8">B25</f>
        <v>楼层-1</v>
      </c>
      <c r="R25" s="1386" t="s">
        <v>8</v>
      </c>
      <c r="S25" s="1387">
        <f>F25</f>
        <v>100</v>
      </c>
      <c r="T25" s="1386" t="s">
        <v>8</v>
      </c>
      <c r="U25" s="1387">
        <f>H25</f>
        <v>100</v>
      </c>
      <c r="V25" s="1386" t="s">
        <v>8</v>
      </c>
      <c r="W25" s="1387">
        <f>J25</f>
        <v>100</v>
      </c>
      <c r="X25" s="1380"/>
      <c r="Y25" s="393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33"/>
      <c r="Q26" s="1385" t="str">
        <f t="shared" si="8"/>
        <v>朝向</v>
      </c>
      <c r="R26" s="1386" t="s">
        <v>8</v>
      </c>
      <c r="S26" s="1387">
        <f>F26</f>
        <v>100</v>
      </c>
      <c r="T26" s="1386" t="s">
        <v>8</v>
      </c>
      <c r="U26" s="1387">
        <f>H26</f>
        <v>100</v>
      </c>
      <c r="V26" s="1386" t="s">
        <v>8</v>
      </c>
      <c r="W26" s="1387">
        <f>J26</f>
        <v>100</v>
      </c>
      <c r="X26" s="1380"/>
      <c r="Y26" s="393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33"/>
      <c r="Q27" s="1050" t="str">
        <f t="shared" si="8"/>
        <v>道路级别</v>
      </c>
      <c r="R27" s="1381" t="s">
        <v>8</v>
      </c>
      <c r="S27" s="1382">
        <f>F27</f>
        <v>100</v>
      </c>
      <c r="T27" s="1381" t="s">
        <v>8</v>
      </c>
      <c r="U27" s="1382">
        <f>H27</f>
        <v>100</v>
      </c>
      <c r="V27" s="1381" t="s">
        <v>8</v>
      </c>
      <c r="W27" s="1382">
        <f>J27</f>
        <v>100</v>
      </c>
      <c r="X27" s="1383"/>
      <c r="Y27" s="393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33"/>
      <c r="Q28" s="1385">
        <f t="shared" si="8"/>
        <v>111</v>
      </c>
      <c r="R28" s="1386" t="s">
        <v>8</v>
      </c>
      <c r="S28" s="1387">
        <f t="shared" ref="S28:S46" si="9">F28</f>
        <v>100</v>
      </c>
      <c r="T28" s="1386" t="s">
        <v>8</v>
      </c>
      <c r="U28" s="1387">
        <f t="shared" ref="U28:U46" si="10">H28</f>
        <v>100</v>
      </c>
      <c r="V28" s="1386" t="s">
        <v>8</v>
      </c>
      <c r="W28" s="1387">
        <f t="shared" ref="W28:W46" si="11">J28</f>
        <v>100</v>
      </c>
      <c r="X28" s="1380"/>
      <c r="Y28" s="393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33"/>
      <c r="Q29" s="1385">
        <f t="shared" si="8"/>
        <v>111</v>
      </c>
      <c r="R29" s="1386" t="s">
        <v>8</v>
      </c>
      <c r="S29" s="1387">
        <f t="shared" si="9"/>
        <v>100</v>
      </c>
      <c r="T29" s="1386" t="s">
        <v>8</v>
      </c>
      <c r="U29" s="1387">
        <f t="shared" si="10"/>
        <v>100</v>
      </c>
      <c r="V29" s="1386" t="s">
        <v>8</v>
      </c>
      <c r="W29" s="1387">
        <f t="shared" si="11"/>
        <v>100</v>
      </c>
      <c r="X29" s="1380"/>
      <c r="Y29" s="393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33"/>
      <c r="Q30" s="1385">
        <f t="shared" si="8"/>
        <v>111</v>
      </c>
      <c r="R30" s="1386" t="s">
        <v>8</v>
      </c>
      <c r="S30" s="1387">
        <f t="shared" si="9"/>
        <v>100</v>
      </c>
      <c r="T30" s="1386" t="s">
        <v>8</v>
      </c>
      <c r="U30" s="1387">
        <f t="shared" si="10"/>
        <v>100</v>
      </c>
      <c r="V30" s="1386" t="s">
        <v>8</v>
      </c>
      <c r="W30" s="1387">
        <f t="shared" si="11"/>
        <v>100</v>
      </c>
      <c r="X30" s="1380"/>
      <c r="Y30" s="3933"/>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33"/>
      <c r="Q31" s="1385">
        <f t="shared" si="8"/>
        <v>111</v>
      </c>
      <c r="R31" s="1386" t="s">
        <v>8</v>
      </c>
      <c r="S31" s="1387">
        <f t="shared" si="9"/>
        <v>100</v>
      </c>
      <c r="T31" s="1386" t="s">
        <v>8</v>
      </c>
      <c r="U31" s="1387">
        <f t="shared" si="10"/>
        <v>100</v>
      </c>
      <c r="V31" s="1386" t="s">
        <v>8</v>
      </c>
      <c r="W31" s="1387">
        <f t="shared" si="11"/>
        <v>100</v>
      </c>
      <c r="X31" s="1380"/>
      <c r="Y31" s="393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34" t="s">
        <v>499</v>
      </c>
      <c r="Q32" s="1385" t="str">
        <f t="shared" si="8"/>
        <v>建筑类型</v>
      </c>
      <c r="R32" s="1386" t="s">
        <v>8</v>
      </c>
      <c r="S32" s="1387">
        <f t="shared" si="9"/>
        <v>100</v>
      </c>
      <c r="T32" s="1386" t="s">
        <v>8</v>
      </c>
      <c r="U32" s="1387">
        <f t="shared" si="10"/>
        <v>100</v>
      </c>
      <c r="V32" s="1386" t="s">
        <v>8</v>
      </c>
      <c r="W32" s="1387">
        <f t="shared" si="11"/>
        <v>100</v>
      </c>
      <c r="X32" s="1380"/>
      <c r="Y32" s="393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35"/>
      <c r="Q33" s="1414" t="str">
        <f t="shared" si="8"/>
        <v>项目建筑规模</v>
      </c>
      <c r="R33" s="1390" t="s">
        <v>8</v>
      </c>
      <c r="S33" s="1391" t="e">
        <f t="shared" si="9"/>
        <v>#N/A</v>
      </c>
      <c r="T33" s="1390" t="s">
        <v>8</v>
      </c>
      <c r="U33" s="1391" t="e">
        <f t="shared" si="10"/>
        <v>#N/A</v>
      </c>
      <c r="V33" s="1390" t="s">
        <v>8</v>
      </c>
      <c r="W33" s="1391" t="e">
        <f t="shared" si="11"/>
        <v>#N/A</v>
      </c>
      <c r="X33" s="1392"/>
      <c r="Y33" s="393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35"/>
      <c r="Q34" s="1385" t="str">
        <f t="shared" si="8"/>
        <v>建筑结构</v>
      </c>
      <c r="R34" s="1386" t="s">
        <v>8</v>
      </c>
      <c r="S34" s="1387">
        <f t="shared" si="9"/>
        <v>100</v>
      </c>
      <c r="T34" s="1386" t="s">
        <v>8</v>
      </c>
      <c r="U34" s="1387">
        <f t="shared" si="10"/>
        <v>100</v>
      </c>
      <c r="V34" s="1386" t="s">
        <v>8</v>
      </c>
      <c r="W34" s="1387">
        <f t="shared" si="11"/>
        <v>100</v>
      </c>
      <c r="X34" s="1380"/>
      <c r="Y34" s="393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35"/>
      <c r="Q35" s="1385" t="str">
        <f t="shared" si="8"/>
        <v>建筑品质</v>
      </c>
      <c r="R35" s="1386" t="s">
        <v>8</v>
      </c>
      <c r="S35" s="1387">
        <f t="shared" si="9"/>
        <v>100</v>
      </c>
      <c r="T35" s="1386" t="s">
        <v>8</v>
      </c>
      <c r="U35" s="1387">
        <f t="shared" si="10"/>
        <v>100</v>
      </c>
      <c r="V35" s="1386" t="s">
        <v>8</v>
      </c>
      <c r="W35" s="1387">
        <f t="shared" si="11"/>
        <v>100</v>
      </c>
      <c r="X35" s="1380"/>
      <c r="Y35" s="393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35"/>
      <c r="Q36" s="1385" t="str">
        <f t="shared" si="8"/>
        <v>公共部分装修</v>
      </c>
      <c r="R36" s="1386" t="s">
        <v>8</v>
      </c>
      <c r="S36" s="1387">
        <f t="shared" si="9"/>
        <v>100</v>
      </c>
      <c r="T36" s="1386" t="s">
        <v>8</v>
      </c>
      <c r="U36" s="1387">
        <f t="shared" si="10"/>
        <v>100</v>
      </c>
      <c r="V36" s="1386" t="s">
        <v>8</v>
      </c>
      <c r="W36" s="1387">
        <f t="shared" si="11"/>
        <v>100</v>
      </c>
      <c r="X36" s="1380"/>
      <c r="Y36" s="393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35"/>
      <c r="Q37" s="1050" t="str">
        <f t="shared" si="8"/>
        <v>成新度</v>
      </c>
      <c r="R37" s="1381" t="s">
        <v>8</v>
      </c>
      <c r="S37" s="1382" t="e">
        <f t="shared" si="9"/>
        <v>#N/A</v>
      </c>
      <c r="T37" s="1381" t="s">
        <v>8</v>
      </c>
      <c r="U37" s="1382" t="e">
        <f t="shared" si="10"/>
        <v>#N/A</v>
      </c>
      <c r="V37" s="1381" t="s">
        <v>8</v>
      </c>
      <c r="W37" s="1382" t="e">
        <f t="shared" si="11"/>
        <v>#N/A</v>
      </c>
      <c r="X37" s="1383"/>
      <c r="Y37" s="393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35" t="s">
        <v>499</v>
      </c>
      <c r="Q38" s="1385" t="str">
        <f t="shared" si="8"/>
        <v>物业管理</v>
      </c>
      <c r="R38" s="1386" t="s">
        <v>8</v>
      </c>
      <c r="S38" s="1387">
        <f t="shared" si="9"/>
        <v>100</v>
      </c>
      <c r="T38" s="1386" t="s">
        <v>8</v>
      </c>
      <c r="U38" s="1387">
        <f t="shared" si="10"/>
        <v>100</v>
      </c>
      <c r="V38" s="1386" t="s">
        <v>8</v>
      </c>
      <c r="W38" s="1387">
        <f t="shared" si="11"/>
        <v>100</v>
      </c>
      <c r="X38" s="1380"/>
      <c r="Y38" s="393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35"/>
      <c r="Q39" s="1385" t="str">
        <f t="shared" si="8"/>
        <v>市政基础设施</v>
      </c>
      <c r="R39" s="1386" t="s">
        <v>8</v>
      </c>
      <c r="S39" s="1387">
        <f t="shared" si="9"/>
        <v>100</v>
      </c>
      <c r="T39" s="1386" t="s">
        <v>8</v>
      </c>
      <c r="U39" s="1387">
        <f t="shared" si="10"/>
        <v>100</v>
      </c>
      <c r="V39" s="1386" t="s">
        <v>8</v>
      </c>
      <c r="W39" s="1387">
        <f t="shared" si="11"/>
        <v>100</v>
      </c>
      <c r="X39" s="1380"/>
      <c r="Y39" s="393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35"/>
      <c r="Q40" s="1385" t="str">
        <f t="shared" si="8"/>
        <v>房型</v>
      </c>
      <c r="R40" s="1386" t="s">
        <v>8</v>
      </c>
      <c r="S40" s="1387">
        <f t="shared" si="9"/>
        <v>100</v>
      </c>
      <c r="T40" s="1386" t="s">
        <v>8</v>
      </c>
      <c r="U40" s="1387">
        <f t="shared" si="10"/>
        <v>100</v>
      </c>
      <c r="V40" s="1386" t="s">
        <v>8</v>
      </c>
      <c r="W40" s="1387">
        <f t="shared" si="11"/>
        <v>100</v>
      </c>
      <c r="X40" s="1380"/>
      <c r="Y40" s="3935"/>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35"/>
      <c r="Q41" s="1414" t="str">
        <f t="shared" si="8"/>
        <v>单套/主力户型建筑面积</v>
      </c>
      <c r="R41" s="1390" t="s">
        <v>8</v>
      </c>
      <c r="S41" s="1391">
        <f t="shared" si="9"/>
        <v>100</v>
      </c>
      <c r="T41" s="1390" t="s">
        <v>8</v>
      </c>
      <c r="U41" s="1391">
        <f t="shared" si="10"/>
        <v>100</v>
      </c>
      <c r="V41" s="1390" t="s">
        <v>8</v>
      </c>
      <c r="W41" s="1391">
        <f t="shared" si="11"/>
        <v>100</v>
      </c>
      <c r="X41" s="1392"/>
      <c r="Y41" s="393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35"/>
      <c r="Q42" s="1385" t="str">
        <f t="shared" si="8"/>
        <v>内部装修</v>
      </c>
      <c r="R42" s="1386" t="s">
        <v>8</v>
      </c>
      <c r="S42" s="1387">
        <f t="shared" si="9"/>
        <v>100</v>
      </c>
      <c r="T42" s="1386" t="s">
        <v>8</v>
      </c>
      <c r="U42" s="1387">
        <f t="shared" si="10"/>
        <v>100</v>
      </c>
      <c r="V42" s="1386" t="s">
        <v>8</v>
      </c>
      <c r="W42" s="1387">
        <f t="shared" si="11"/>
        <v>100</v>
      </c>
      <c r="X42" s="1380"/>
      <c r="Y42" s="3935"/>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35"/>
      <c r="Q43" s="1385" t="str">
        <f t="shared" si="8"/>
        <v>内部装修维护情况</v>
      </c>
      <c r="R43" s="1386" t="s">
        <v>8</v>
      </c>
      <c r="S43" s="1387">
        <f t="shared" si="9"/>
        <v>100</v>
      </c>
      <c r="T43" s="1386" t="s">
        <v>8</v>
      </c>
      <c r="U43" s="1387">
        <f t="shared" si="10"/>
        <v>100</v>
      </c>
      <c r="V43" s="1386" t="s">
        <v>8</v>
      </c>
      <c r="W43" s="1387">
        <f t="shared" si="11"/>
        <v>100</v>
      </c>
      <c r="X43" s="1380"/>
      <c r="Y43" s="393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35"/>
      <c r="Q44" s="1050">
        <f t="shared" si="8"/>
        <v>111</v>
      </c>
      <c r="R44" s="1381" t="s">
        <v>8</v>
      </c>
      <c r="S44" s="1382">
        <f t="shared" si="9"/>
        <v>100</v>
      </c>
      <c r="T44" s="1381" t="s">
        <v>8</v>
      </c>
      <c r="U44" s="1382">
        <f t="shared" si="10"/>
        <v>100</v>
      </c>
      <c r="V44" s="1381" t="s">
        <v>8</v>
      </c>
      <c r="W44" s="1382">
        <f t="shared" si="11"/>
        <v>100</v>
      </c>
      <c r="X44" s="1383"/>
      <c r="Y44" s="393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35"/>
      <c r="Q45" s="1385">
        <f t="shared" si="8"/>
        <v>111</v>
      </c>
      <c r="R45" s="1386" t="s">
        <v>8</v>
      </c>
      <c r="S45" s="1387">
        <f t="shared" si="9"/>
        <v>100</v>
      </c>
      <c r="T45" s="1386" t="s">
        <v>8</v>
      </c>
      <c r="U45" s="1387">
        <f t="shared" si="10"/>
        <v>100</v>
      </c>
      <c r="V45" s="1386" t="s">
        <v>8</v>
      </c>
      <c r="W45" s="1387">
        <f t="shared" si="11"/>
        <v>100</v>
      </c>
      <c r="X45" s="1380"/>
      <c r="Y45" s="3935"/>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8"/>
      <c r="Q46" s="1385">
        <f t="shared" si="8"/>
        <v>111</v>
      </c>
      <c r="R46" s="1386" t="s">
        <v>7</v>
      </c>
      <c r="S46" s="1387">
        <f t="shared" si="9"/>
        <v>100</v>
      </c>
      <c r="T46" s="1386" t="s">
        <v>7</v>
      </c>
      <c r="U46" s="1387">
        <f t="shared" si="10"/>
        <v>100</v>
      </c>
      <c r="V46" s="1386" t="s">
        <v>7</v>
      </c>
      <c r="W46" s="1387">
        <f t="shared" si="11"/>
        <v>100</v>
      </c>
      <c r="X46" s="1380"/>
      <c r="Y46" s="4028"/>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99" t="str">
        <f>A47</f>
        <v>成交单价（元/平方米）</v>
      </c>
      <c r="Q47" s="3899"/>
      <c r="R47" s="4027">
        <f>E47</f>
        <v>0</v>
      </c>
      <c r="S47" s="4027"/>
      <c r="T47" s="4027">
        <f>G47</f>
        <v>0</v>
      </c>
      <c r="U47" s="4027"/>
      <c r="V47" s="4027">
        <f>I47</f>
        <v>0</v>
      </c>
      <c r="W47" s="402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99" t="str">
        <f>A48</f>
        <v>比较价格（元/平方米）</v>
      </c>
      <c r="Q48" s="3899"/>
      <c r="R48" s="4027" t="e">
        <f>IF(F1="售价",ROUND(PRODUCT(R47,AA7:AA46),0),ROUND(PRODUCT(R47,AA7:AA46),1))</f>
        <v>#DIV/0!</v>
      </c>
      <c r="S48" s="4027"/>
      <c r="T48" s="4027" t="e">
        <f>IF(F1="售价",ROUND(PRODUCT(T47,AB7:AB46),0),ROUND(PRODUCT(T47,AB7:AB46),1))</f>
        <v>#DIV/0!</v>
      </c>
      <c r="U48" s="4027"/>
      <c r="V48" s="4027" t="e">
        <f>IF(F1="售价",ROUND(PRODUCT(V47,AC7:AC46),0),ROUND(PRODUCT(V47,AC7:AC46),1))</f>
        <v>#DIV/0!</v>
      </c>
      <c r="W48" s="402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36" t="str">
        <f>A49</f>
        <v>估价对象XX用房的比较价格（楼面单价，元/平方米）</v>
      </c>
      <c r="Q49" s="3937"/>
      <c r="R49" s="4026" t="e">
        <f>IF(F1="售价",ROUND(IF(D48="简单平均",AVERAGE(R48:V48),R48*F48+T48*H48+V48*J48),0),ROUND(IF(D48="简单平均",AVERAGE(R48:V48),R48*F48+T48*H48+V48*J48),1))</f>
        <v>#DIV/0!</v>
      </c>
      <c r="S49" s="4026"/>
      <c r="T49" s="4026"/>
      <c r="U49" s="4026"/>
      <c r="V49" s="4026"/>
      <c r="W49" s="402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370379.14平方米。根据《建设工程规划许可证》[]、《出让合同》[]，估价对象规划建筑面积为370379.14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2024年3月31日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根据《国有土地使用证》[]，估价对象（分摊）出让国有建设用地使用权面积为370379.14平方米。根据《建设工程规划许可证》[]、《出让合同》[]，估价对象规划建筑面积为370379.14平方米。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05" t="s">
        <v>471</v>
      </c>
      <c r="D4" s="3906"/>
      <c r="E4" s="3941" t="s">
        <v>472</v>
      </c>
      <c r="F4" s="3942"/>
      <c r="G4" s="3905" t="s">
        <v>473</v>
      </c>
      <c r="H4" s="3906"/>
      <c r="I4" s="3905" t="s">
        <v>474</v>
      </c>
      <c r="J4" s="3906"/>
      <c r="K4" s="484" t="s">
        <v>475</v>
      </c>
      <c r="L4" s="1856"/>
      <c r="M4" s="1857"/>
      <c r="N4" s="1857"/>
      <c r="O4" s="1857"/>
      <c r="P4" s="3907" t="s">
        <v>476</v>
      </c>
      <c r="Q4" s="3908"/>
      <c r="R4" s="3913" t="s">
        <v>472</v>
      </c>
      <c r="S4" s="3914"/>
      <c r="T4" s="3913" t="s">
        <v>473</v>
      </c>
      <c r="U4" s="3914"/>
      <c r="V4" s="3900" t="s">
        <v>474</v>
      </c>
      <c r="W4" s="3900"/>
      <c r="X4" s="1380"/>
      <c r="Y4" s="3913" t="s">
        <v>476</v>
      </c>
      <c r="Z4" s="3914"/>
      <c r="AA4" s="3902" t="s">
        <v>472</v>
      </c>
      <c r="AB4" s="3900" t="s">
        <v>473</v>
      </c>
      <c r="AC4" s="3902" t="s">
        <v>474</v>
      </c>
    </row>
    <row r="5" spans="1:29">
      <c r="A5" s="485"/>
      <c r="B5" s="486"/>
      <c r="C5" s="3921" t="s">
        <v>2192</v>
      </c>
      <c r="D5" s="3922"/>
      <c r="E5" s="3943" t="s">
        <v>2193</v>
      </c>
      <c r="F5" s="3944"/>
      <c r="G5" s="3921" t="s">
        <v>2194</v>
      </c>
      <c r="H5" s="3922"/>
      <c r="I5" s="3921" t="s">
        <v>2195</v>
      </c>
      <c r="J5" s="3922"/>
      <c r="K5" s="484"/>
      <c r="L5" s="1856"/>
      <c r="M5" s="1857"/>
      <c r="N5" s="1857"/>
      <c r="O5" s="1857"/>
      <c r="P5" s="3909"/>
      <c r="Q5" s="3910"/>
      <c r="R5" s="3915"/>
      <c r="S5" s="3916"/>
      <c r="T5" s="3915"/>
      <c r="U5" s="3916"/>
      <c r="V5" s="3900"/>
      <c r="W5" s="3900"/>
      <c r="X5" s="1380"/>
      <c r="Y5" s="3915"/>
      <c r="Z5" s="3916"/>
      <c r="AA5" s="3903"/>
      <c r="AB5" s="3900"/>
      <c r="AC5" s="3903"/>
    </row>
    <row r="6" spans="1:29" ht="15" thickBot="1">
      <c r="A6" s="487"/>
      <c r="B6" s="488"/>
      <c r="C6" s="3919" t="s">
        <v>2196</v>
      </c>
      <c r="D6" s="3920"/>
      <c r="E6" s="3939" t="s">
        <v>2196</v>
      </c>
      <c r="F6" s="3940"/>
      <c r="G6" s="3919" t="s">
        <v>2196</v>
      </c>
      <c r="H6" s="3920"/>
      <c r="I6" s="3919" t="s">
        <v>2196</v>
      </c>
      <c r="J6" s="3920"/>
      <c r="K6" s="484" t="s">
        <v>477</v>
      </c>
      <c r="L6" s="1856"/>
      <c r="M6" s="1857"/>
      <c r="N6" s="1857"/>
      <c r="O6" s="1857"/>
      <c r="P6" s="3911"/>
      <c r="Q6" s="3912"/>
      <c r="R6" s="3915"/>
      <c r="S6" s="3916"/>
      <c r="T6" s="3917"/>
      <c r="U6" s="3918"/>
      <c r="V6" s="3900"/>
      <c r="W6" s="3900"/>
      <c r="X6" s="1380"/>
      <c r="Y6" s="3917"/>
      <c r="Z6" s="3918"/>
      <c r="AA6" s="3904"/>
      <c r="AB6" s="3900"/>
      <c r="AC6" s="3904"/>
    </row>
    <row r="7" spans="1:29" s="1118" customFormat="1" ht="1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9" t="s">
        <v>479</v>
      </c>
      <c r="Q7" s="3931"/>
      <c r="R7" s="1381" t="s">
        <v>5</v>
      </c>
      <c r="S7" s="1382">
        <f t="shared" ref="S7:S15" si="0">F7</f>
        <v>0</v>
      </c>
      <c r="T7" s="1381" t="s">
        <v>5</v>
      </c>
      <c r="U7" s="1382">
        <f t="shared" ref="U7:U15" si="1">H7</f>
        <v>0</v>
      </c>
      <c r="V7" s="1381" t="s">
        <v>5</v>
      </c>
      <c r="W7" s="1382">
        <f t="shared" ref="W7:W15" si="2">J7</f>
        <v>0</v>
      </c>
      <c r="X7" s="1383"/>
      <c r="Y7" s="3929" t="s">
        <v>479</v>
      </c>
      <c r="Z7" s="3930"/>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9" t="s">
        <v>482</v>
      </c>
      <c r="Q8" s="3930"/>
      <c r="R8" s="1381" t="s">
        <v>5</v>
      </c>
      <c r="S8" s="1382">
        <f t="shared" si="0"/>
        <v>0</v>
      </c>
      <c r="T8" s="1381" t="s">
        <v>5</v>
      </c>
      <c r="U8" s="1382">
        <f t="shared" si="1"/>
        <v>0</v>
      </c>
      <c r="V8" s="1381" t="s">
        <v>5</v>
      </c>
      <c r="W8" s="1382">
        <f t="shared" si="2"/>
        <v>0</v>
      </c>
      <c r="X8" s="1383"/>
      <c r="Y8" s="3929" t="s">
        <v>482</v>
      </c>
      <c r="Z8" s="3930"/>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9"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99"/>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9"/>
      <c r="Q11" s="1050" t="str">
        <f t="shared" si="6"/>
        <v>容积率</v>
      </c>
      <c r="R11" s="1381" t="s">
        <v>5</v>
      </c>
      <c r="S11" s="1382" t="e">
        <f t="shared" si="0"/>
        <v>#N/A</v>
      </c>
      <c r="T11" s="1381" t="s">
        <v>5</v>
      </c>
      <c r="U11" s="1382" t="e">
        <f t="shared" si="1"/>
        <v>#N/A</v>
      </c>
      <c r="V11" s="1381" t="s">
        <v>5</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9"/>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9"/>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9"/>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32" t="s">
        <v>489</v>
      </c>
      <c r="Q15" s="1385" t="str">
        <f t="shared" si="6"/>
        <v>商业繁华度</v>
      </c>
      <c r="R15" s="1386" t="s">
        <v>5</v>
      </c>
      <c r="S15" s="1387">
        <f t="shared" si="0"/>
        <v>100</v>
      </c>
      <c r="T15" s="1386" t="s">
        <v>5</v>
      </c>
      <c r="U15" s="1387">
        <f t="shared" si="1"/>
        <v>100</v>
      </c>
      <c r="V15" s="1386" t="s">
        <v>5</v>
      </c>
      <c r="W15" s="1387">
        <f t="shared" si="2"/>
        <v>100</v>
      </c>
      <c r="X15" s="1380"/>
      <c r="Y15" s="393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3"/>
      <c r="Q16" s="1385"/>
      <c r="R16" s="1386"/>
      <c r="S16" s="1387"/>
      <c r="T16" s="1386"/>
      <c r="U16" s="1387"/>
      <c r="V16" s="1386"/>
      <c r="W16" s="1387"/>
      <c r="X16" s="1380"/>
      <c r="Y16" s="3933"/>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33"/>
      <c r="Q17" s="1385" t="str">
        <f>B17</f>
        <v>交通便捷度</v>
      </c>
      <c r="R17" s="1386" t="s">
        <v>5</v>
      </c>
      <c r="S17" s="1387">
        <f>F17</f>
        <v>100</v>
      </c>
      <c r="T17" s="1386" t="s">
        <v>5</v>
      </c>
      <c r="U17" s="1387">
        <f>H17</f>
        <v>100</v>
      </c>
      <c r="V17" s="1386" t="s">
        <v>5</v>
      </c>
      <c r="W17" s="1387">
        <f>J17</f>
        <v>100</v>
      </c>
      <c r="X17" s="1380"/>
      <c r="Y17" s="393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3"/>
      <c r="Q18" s="1385"/>
      <c r="R18" s="1386"/>
      <c r="S18" s="1387"/>
      <c r="T18" s="1386"/>
      <c r="U18" s="1387"/>
      <c r="V18" s="1386"/>
      <c r="W18" s="1387"/>
      <c r="X18" s="1380"/>
      <c r="Y18" s="3933"/>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33"/>
      <c r="Q19" s="1385" t="str">
        <f>B19</f>
        <v>公共配套设施</v>
      </c>
      <c r="R19" s="1386" t="s">
        <v>5</v>
      </c>
      <c r="S19" s="1387">
        <f>F19</f>
        <v>100</v>
      </c>
      <c r="T19" s="1386" t="s">
        <v>5</v>
      </c>
      <c r="U19" s="1387">
        <f>H19</f>
        <v>100</v>
      </c>
      <c r="V19" s="1386" t="s">
        <v>5</v>
      </c>
      <c r="W19" s="1387">
        <f>J19</f>
        <v>100</v>
      </c>
      <c r="X19" s="1380"/>
      <c r="Y19" s="393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33"/>
      <c r="Q20" s="1385"/>
      <c r="R20" s="1386"/>
      <c r="S20" s="1387"/>
      <c r="T20" s="1386"/>
      <c r="U20" s="1387"/>
      <c r="V20" s="1386"/>
      <c r="W20" s="1387"/>
      <c r="X20" s="1380"/>
      <c r="Y20" s="3933"/>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33"/>
      <c r="Q21" s="2193" t="str">
        <f>B21</f>
        <v>基础设施水平</v>
      </c>
      <c r="R21" s="1386" t="s">
        <v>5</v>
      </c>
      <c r="S21" s="1387">
        <f>F21</f>
        <v>100</v>
      </c>
      <c r="T21" s="1386" t="s">
        <v>5</v>
      </c>
      <c r="U21" s="1387">
        <f>H21</f>
        <v>100</v>
      </c>
      <c r="V21" s="1386" t="s">
        <v>5</v>
      </c>
      <c r="W21" s="1387">
        <f>J21</f>
        <v>100</v>
      </c>
      <c r="X21" s="2195"/>
      <c r="Y21" s="393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33"/>
      <c r="Q22" s="2193"/>
      <c r="R22" s="1386"/>
      <c r="S22" s="1387"/>
      <c r="T22" s="1386"/>
      <c r="U22" s="1387"/>
      <c r="V22" s="1386"/>
      <c r="W22" s="1387"/>
      <c r="X22" s="2195"/>
      <c r="Y22" s="3933"/>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33"/>
      <c r="Q23" s="1385" t="str">
        <f>B23</f>
        <v>自然及人文环境</v>
      </c>
      <c r="R23" s="1386" t="s">
        <v>5</v>
      </c>
      <c r="S23" s="1387">
        <f>F23</f>
        <v>100</v>
      </c>
      <c r="T23" s="1386" t="s">
        <v>5</v>
      </c>
      <c r="U23" s="1387">
        <f>H23</f>
        <v>100</v>
      </c>
      <c r="V23" s="1386" t="s">
        <v>5</v>
      </c>
      <c r="W23" s="1387">
        <f>J23</f>
        <v>100</v>
      </c>
      <c r="X23" s="1380"/>
      <c r="Y23" s="393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33"/>
      <c r="Q24" s="1385"/>
      <c r="R24" s="1386"/>
      <c r="S24" s="1387"/>
      <c r="T24" s="1386"/>
      <c r="U24" s="1387"/>
      <c r="V24" s="1386"/>
      <c r="W24" s="1387"/>
      <c r="X24" s="1380"/>
      <c r="Y24" s="393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33"/>
      <c r="Q25" s="1385" t="str">
        <f t="shared" ref="Q25:Q46" si="8">B25</f>
        <v>临街状况</v>
      </c>
      <c r="R25" s="1386" t="s">
        <v>5</v>
      </c>
      <c r="S25" s="1387">
        <f>F25</f>
        <v>100</v>
      </c>
      <c r="T25" s="1386" t="s">
        <v>5</v>
      </c>
      <c r="U25" s="1387">
        <f>H25</f>
        <v>100</v>
      </c>
      <c r="V25" s="1386" t="s">
        <v>5</v>
      </c>
      <c r="W25" s="1387">
        <f>J25</f>
        <v>100</v>
      </c>
      <c r="X25" s="1380"/>
      <c r="Y25" s="393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33"/>
      <c r="Q26" s="1385" t="str">
        <f t="shared" si="8"/>
        <v>平面位置/可视性</v>
      </c>
      <c r="R26" s="1386" t="s">
        <v>5</v>
      </c>
      <c r="S26" s="1387">
        <f>F26</f>
        <v>100</v>
      </c>
      <c r="T26" s="1386" t="s">
        <v>5</v>
      </c>
      <c r="U26" s="1387">
        <f>H26</f>
        <v>100</v>
      </c>
      <c r="V26" s="1386" t="s">
        <v>5</v>
      </c>
      <c r="W26" s="1387">
        <f>J26</f>
        <v>100</v>
      </c>
      <c r="X26" s="1380"/>
      <c r="Y26" s="393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33"/>
      <c r="Q27" s="1050" t="str">
        <f t="shared" si="8"/>
        <v>人流量</v>
      </c>
      <c r="R27" s="1381" t="s">
        <v>5</v>
      </c>
      <c r="S27" s="1382">
        <f>F27</f>
        <v>100</v>
      </c>
      <c r="T27" s="1381" t="s">
        <v>5</v>
      </c>
      <c r="U27" s="1382">
        <f>H27</f>
        <v>100</v>
      </c>
      <c r="V27" s="1381" t="s">
        <v>5</v>
      </c>
      <c r="W27" s="1382">
        <f>J27</f>
        <v>100</v>
      </c>
      <c r="X27" s="1383"/>
      <c r="Y27" s="393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3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3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33"/>
      <c r="Q29" s="1385">
        <f t="shared" si="8"/>
        <v>111</v>
      </c>
      <c r="R29" s="1386" t="s">
        <v>5</v>
      </c>
      <c r="S29" s="1387">
        <f t="shared" si="9"/>
        <v>100</v>
      </c>
      <c r="T29" s="1386" t="s">
        <v>5</v>
      </c>
      <c r="U29" s="1387">
        <f t="shared" si="10"/>
        <v>100</v>
      </c>
      <c r="V29" s="1386" t="s">
        <v>5</v>
      </c>
      <c r="W29" s="1387">
        <f t="shared" si="11"/>
        <v>100</v>
      </c>
      <c r="X29" s="1380"/>
      <c r="Y29" s="393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33"/>
      <c r="Q30" s="1385">
        <f t="shared" si="8"/>
        <v>111</v>
      </c>
      <c r="R30" s="1386" t="s">
        <v>5</v>
      </c>
      <c r="S30" s="1387">
        <f t="shared" si="9"/>
        <v>100</v>
      </c>
      <c r="T30" s="1386" t="s">
        <v>5</v>
      </c>
      <c r="U30" s="1387">
        <f t="shared" si="10"/>
        <v>100</v>
      </c>
      <c r="V30" s="1386" t="s">
        <v>5</v>
      </c>
      <c r="W30" s="1387">
        <f t="shared" si="11"/>
        <v>100</v>
      </c>
      <c r="X30" s="1380"/>
      <c r="Y30" s="3933"/>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33"/>
      <c r="Q31" s="1385">
        <f t="shared" si="8"/>
        <v>111</v>
      </c>
      <c r="R31" s="1386" t="s">
        <v>5</v>
      </c>
      <c r="S31" s="1387">
        <f t="shared" si="9"/>
        <v>100</v>
      </c>
      <c r="T31" s="1386" t="s">
        <v>5</v>
      </c>
      <c r="U31" s="1387">
        <f t="shared" si="10"/>
        <v>100</v>
      </c>
      <c r="V31" s="1386" t="s">
        <v>5</v>
      </c>
      <c r="W31" s="1387">
        <f t="shared" si="11"/>
        <v>100</v>
      </c>
      <c r="X31" s="1380"/>
      <c r="Y31" s="393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34" t="s">
        <v>499</v>
      </c>
      <c r="Q32" s="1385" t="str">
        <f t="shared" si="8"/>
        <v>商业类型</v>
      </c>
      <c r="R32" s="1386" t="s">
        <v>5</v>
      </c>
      <c r="S32" s="1387">
        <f t="shared" si="9"/>
        <v>100</v>
      </c>
      <c r="T32" s="1386" t="s">
        <v>5</v>
      </c>
      <c r="U32" s="1387">
        <f t="shared" si="10"/>
        <v>100</v>
      </c>
      <c r="V32" s="1386" t="s">
        <v>5</v>
      </c>
      <c r="W32" s="1387">
        <f t="shared" si="11"/>
        <v>100</v>
      </c>
      <c r="X32" s="1380"/>
      <c r="Y32" s="393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35"/>
      <c r="Q33" s="1414" t="str">
        <f t="shared" si="8"/>
        <v>项目建筑规模</v>
      </c>
      <c r="R33" s="1390" t="s">
        <v>5</v>
      </c>
      <c r="S33" s="1391" t="e">
        <f t="shared" si="9"/>
        <v>#N/A</v>
      </c>
      <c r="T33" s="1390" t="s">
        <v>5</v>
      </c>
      <c r="U33" s="1391" t="e">
        <f t="shared" si="10"/>
        <v>#N/A</v>
      </c>
      <c r="V33" s="1390" t="s">
        <v>5</v>
      </c>
      <c r="W33" s="1391" t="e">
        <f t="shared" si="11"/>
        <v>#N/A</v>
      </c>
      <c r="X33" s="1392"/>
      <c r="Y33" s="393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35"/>
      <c r="Q34" s="1385" t="str">
        <f t="shared" si="8"/>
        <v>建筑结构</v>
      </c>
      <c r="R34" s="1386" t="s">
        <v>5</v>
      </c>
      <c r="S34" s="1387">
        <f t="shared" si="9"/>
        <v>100</v>
      </c>
      <c r="T34" s="1386" t="s">
        <v>5</v>
      </c>
      <c r="U34" s="1387">
        <f t="shared" si="10"/>
        <v>100</v>
      </c>
      <c r="V34" s="1386" t="s">
        <v>5</v>
      </c>
      <c r="W34" s="1387">
        <f t="shared" si="11"/>
        <v>100</v>
      </c>
      <c r="X34" s="1380"/>
      <c r="Y34" s="393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35"/>
      <c r="Q35" s="1385" t="str">
        <f t="shared" si="8"/>
        <v>公共部分装修</v>
      </c>
      <c r="R35" s="1386" t="s">
        <v>5</v>
      </c>
      <c r="S35" s="1387">
        <f t="shared" si="9"/>
        <v>100</v>
      </c>
      <c r="T35" s="1386" t="s">
        <v>5</v>
      </c>
      <c r="U35" s="1387">
        <f t="shared" si="10"/>
        <v>100</v>
      </c>
      <c r="V35" s="1386" t="s">
        <v>5</v>
      </c>
      <c r="W35" s="1387">
        <f t="shared" si="11"/>
        <v>100</v>
      </c>
      <c r="X35" s="1380"/>
      <c r="Y35" s="393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35"/>
      <c r="Q36" s="1385" t="str">
        <f t="shared" si="8"/>
        <v>成新度</v>
      </c>
      <c r="R36" s="1386" t="s">
        <v>5</v>
      </c>
      <c r="S36" s="1387" t="e">
        <f t="shared" si="9"/>
        <v>#N/A</v>
      </c>
      <c r="T36" s="1386" t="s">
        <v>5</v>
      </c>
      <c r="U36" s="1387" t="e">
        <f t="shared" si="10"/>
        <v>#N/A</v>
      </c>
      <c r="V36" s="1386" t="s">
        <v>5</v>
      </c>
      <c r="W36" s="1387" t="e">
        <f t="shared" si="11"/>
        <v>#N/A</v>
      </c>
      <c r="X36" s="1380"/>
      <c r="Y36" s="393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35"/>
      <c r="Q37" s="1050" t="str">
        <f t="shared" si="8"/>
        <v>市政基础设施</v>
      </c>
      <c r="R37" s="1381" t="s">
        <v>5</v>
      </c>
      <c r="S37" s="1382">
        <f t="shared" si="9"/>
        <v>100</v>
      </c>
      <c r="T37" s="1381" t="s">
        <v>5</v>
      </c>
      <c r="U37" s="1382">
        <f t="shared" si="10"/>
        <v>100</v>
      </c>
      <c r="V37" s="1381" t="s">
        <v>5</v>
      </c>
      <c r="W37" s="1382">
        <f t="shared" si="11"/>
        <v>100</v>
      </c>
      <c r="X37" s="1383"/>
      <c r="Y37" s="393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35" t="s">
        <v>706</v>
      </c>
      <c r="Q38" s="1385" t="str">
        <f t="shared" si="8"/>
        <v>业态</v>
      </c>
      <c r="R38" s="1386" t="s">
        <v>5</v>
      </c>
      <c r="S38" s="1387">
        <f t="shared" si="9"/>
        <v>100</v>
      </c>
      <c r="T38" s="1386" t="s">
        <v>5</v>
      </c>
      <c r="U38" s="1387">
        <f t="shared" si="10"/>
        <v>100</v>
      </c>
      <c r="V38" s="1386" t="s">
        <v>5</v>
      </c>
      <c r="W38" s="1387">
        <f t="shared" si="11"/>
        <v>100</v>
      </c>
      <c r="X38" s="1380"/>
      <c r="Y38" s="393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35"/>
      <c r="Q39" s="1385" t="str">
        <f t="shared" si="8"/>
        <v>层高</v>
      </c>
      <c r="R39" s="1386" t="s">
        <v>5</v>
      </c>
      <c r="S39" s="1387">
        <f t="shared" si="9"/>
        <v>100</v>
      </c>
      <c r="T39" s="1386" t="s">
        <v>5</v>
      </c>
      <c r="U39" s="1387">
        <f t="shared" si="10"/>
        <v>100</v>
      </c>
      <c r="V39" s="1386" t="s">
        <v>5</v>
      </c>
      <c r="W39" s="1387">
        <f t="shared" si="11"/>
        <v>100</v>
      </c>
      <c r="X39" s="1380"/>
      <c r="Y39" s="393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35"/>
      <c r="Q40" s="1385" t="str">
        <f t="shared" si="8"/>
        <v>单套建筑面积</v>
      </c>
      <c r="R40" s="1386" t="s">
        <v>5</v>
      </c>
      <c r="S40" s="1387">
        <f t="shared" si="9"/>
        <v>100</v>
      </c>
      <c r="T40" s="1386" t="s">
        <v>5</v>
      </c>
      <c r="U40" s="1387">
        <f t="shared" si="10"/>
        <v>100</v>
      </c>
      <c r="V40" s="1386" t="s">
        <v>5</v>
      </c>
      <c r="W40" s="1387">
        <f t="shared" si="11"/>
        <v>100</v>
      </c>
      <c r="X40" s="1380"/>
      <c r="Y40" s="393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35"/>
      <c r="Q41" s="1414" t="str">
        <f t="shared" si="8"/>
        <v>进深比</v>
      </c>
      <c r="R41" s="1390" t="s">
        <v>5</v>
      </c>
      <c r="S41" s="1391">
        <f t="shared" si="9"/>
        <v>100</v>
      </c>
      <c r="T41" s="1390" t="s">
        <v>5</v>
      </c>
      <c r="U41" s="1391">
        <f t="shared" si="10"/>
        <v>100</v>
      </c>
      <c r="V41" s="1390" t="s">
        <v>5</v>
      </c>
      <c r="W41" s="1391">
        <f t="shared" si="11"/>
        <v>100</v>
      </c>
      <c r="X41" s="1392"/>
      <c r="Y41" s="393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35"/>
      <c r="Q42" s="1385" t="str">
        <f t="shared" si="8"/>
        <v>内部装修</v>
      </c>
      <c r="R42" s="1386" t="s">
        <v>5</v>
      </c>
      <c r="S42" s="1387">
        <f t="shared" si="9"/>
        <v>100</v>
      </c>
      <c r="T42" s="1386" t="s">
        <v>5</v>
      </c>
      <c r="U42" s="1387">
        <f t="shared" si="10"/>
        <v>100</v>
      </c>
      <c r="V42" s="1386" t="s">
        <v>5</v>
      </c>
      <c r="W42" s="1387">
        <f t="shared" si="11"/>
        <v>100</v>
      </c>
      <c r="X42" s="1380"/>
      <c r="Y42" s="3935"/>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35"/>
      <c r="Q43" s="1385" t="str">
        <f t="shared" si="8"/>
        <v>内部装修维护情况</v>
      </c>
      <c r="R43" s="1386" t="s">
        <v>5</v>
      </c>
      <c r="S43" s="1387">
        <f t="shared" si="9"/>
        <v>100</v>
      </c>
      <c r="T43" s="1386" t="s">
        <v>5</v>
      </c>
      <c r="U43" s="1387">
        <f t="shared" si="10"/>
        <v>100</v>
      </c>
      <c r="V43" s="1386" t="s">
        <v>5</v>
      </c>
      <c r="W43" s="1387">
        <f t="shared" si="11"/>
        <v>100</v>
      </c>
      <c r="X43" s="1380"/>
      <c r="Y43" s="393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35"/>
      <c r="Q44" s="1050">
        <f t="shared" si="8"/>
        <v>111</v>
      </c>
      <c r="R44" s="1381" t="s">
        <v>5</v>
      </c>
      <c r="S44" s="1382">
        <f t="shared" si="9"/>
        <v>100</v>
      </c>
      <c r="T44" s="1381" t="s">
        <v>5</v>
      </c>
      <c r="U44" s="1382">
        <f t="shared" si="10"/>
        <v>100</v>
      </c>
      <c r="V44" s="1381" t="s">
        <v>5</v>
      </c>
      <c r="W44" s="1382">
        <f t="shared" si="11"/>
        <v>100</v>
      </c>
      <c r="X44" s="1383"/>
      <c r="Y44" s="393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35"/>
      <c r="Q45" s="1385">
        <f t="shared" si="8"/>
        <v>111</v>
      </c>
      <c r="R45" s="1386" t="s">
        <v>5</v>
      </c>
      <c r="S45" s="1387">
        <f t="shared" si="9"/>
        <v>100</v>
      </c>
      <c r="T45" s="1386" t="s">
        <v>5</v>
      </c>
      <c r="U45" s="1387">
        <f t="shared" si="10"/>
        <v>100</v>
      </c>
      <c r="V45" s="1386" t="s">
        <v>5</v>
      </c>
      <c r="W45" s="1387">
        <f t="shared" si="11"/>
        <v>100</v>
      </c>
      <c r="X45" s="1380"/>
      <c r="Y45" s="3935"/>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8"/>
      <c r="Q46" s="1385">
        <f t="shared" si="8"/>
        <v>111</v>
      </c>
      <c r="R46" s="1386" t="s">
        <v>5</v>
      </c>
      <c r="S46" s="1387">
        <f t="shared" si="9"/>
        <v>100</v>
      </c>
      <c r="T46" s="1386" t="s">
        <v>5</v>
      </c>
      <c r="U46" s="1387">
        <f t="shared" si="10"/>
        <v>100</v>
      </c>
      <c r="V46" s="1386" t="s">
        <v>5</v>
      </c>
      <c r="W46" s="1387">
        <f t="shared" si="11"/>
        <v>100</v>
      </c>
      <c r="X46" s="1380"/>
      <c r="Y46" s="4028"/>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99" t="str">
        <f>A47</f>
        <v>成交单价（元/平方米）</v>
      </c>
      <c r="Q47" s="3899"/>
      <c r="R47" s="4027">
        <f>E47</f>
        <v>0</v>
      </c>
      <c r="S47" s="4027"/>
      <c r="T47" s="4027">
        <f>G47</f>
        <v>0</v>
      </c>
      <c r="U47" s="4027"/>
      <c r="V47" s="4027">
        <f>I47</f>
        <v>0</v>
      </c>
      <c r="W47" s="402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99" t="str">
        <f>A48</f>
        <v>比较价格（元/平方米）</v>
      </c>
      <c r="Q48" s="3899"/>
      <c r="R48" s="4027" t="e">
        <f>IF(F1="售价",ROUND(PRODUCT(R47,AA7:AA46),0),ROUND(PRODUCT(R47,AA7:AA46),1))</f>
        <v>#DIV/0!</v>
      </c>
      <c r="S48" s="4027"/>
      <c r="T48" s="4027" t="e">
        <f>IF(F1="售价",ROUND(PRODUCT(T47,AB7:AB46),0),ROUND(PRODUCT(T47,AB7:AB46),1))</f>
        <v>#DIV/0!</v>
      </c>
      <c r="U48" s="4027"/>
      <c r="V48" s="4027" t="e">
        <f>IF(F1="售价",ROUND(PRODUCT(V47,AC7:AC46),0),ROUND(PRODUCT(V47,AC7:AC46),1))</f>
        <v>#DIV/0!</v>
      </c>
      <c r="W48" s="402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36" t="str">
        <f>A49</f>
        <v>估价对象XX用房的比较价格（楼面单价，元/平方米）</v>
      </c>
      <c r="Q49" s="3937"/>
      <c r="R49" s="4026" t="e">
        <f>IF(F1="售价",ROUND(IF(D48="简单平均",AVERAGE(R48:V48),R48*F48+T48*H48+V48*J48),0),ROUND(IF(D48="简单平均",AVERAGE(R48:V48),R48*F48+T48*H48+V48*J48),1))</f>
        <v>#DIV/0!</v>
      </c>
      <c r="S49" s="4026"/>
      <c r="T49" s="4026"/>
      <c r="U49" s="4026"/>
      <c r="V49" s="4026"/>
      <c r="W49" s="402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905" t="s">
        <v>471</v>
      </c>
      <c r="D4" s="3906"/>
      <c r="E4" s="3941" t="s">
        <v>472</v>
      </c>
      <c r="F4" s="3942"/>
      <c r="G4" s="3905" t="s">
        <v>473</v>
      </c>
      <c r="H4" s="3906"/>
      <c r="I4" s="3905" t="s">
        <v>474</v>
      </c>
      <c r="J4" s="3906"/>
      <c r="K4" s="484" t="s">
        <v>475</v>
      </c>
      <c r="L4" s="1856"/>
      <c r="M4" s="1857"/>
      <c r="N4" s="1857"/>
      <c r="O4" s="1857"/>
      <c r="P4" s="4030" t="s">
        <v>476</v>
      </c>
      <c r="Q4" s="3908"/>
      <c r="R4" s="3913" t="s">
        <v>472</v>
      </c>
      <c r="S4" s="3914"/>
      <c r="T4" s="3913" t="s">
        <v>473</v>
      </c>
      <c r="U4" s="3914"/>
      <c r="V4" s="3900" t="s">
        <v>474</v>
      </c>
      <c r="W4" s="3900"/>
      <c r="X4" s="1380"/>
      <c r="Y4" s="3913" t="s">
        <v>476</v>
      </c>
      <c r="Z4" s="3914"/>
      <c r="AA4" s="3902" t="s">
        <v>472</v>
      </c>
      <c r="AB4" s="3902" t="s">
        <v>473</v>
      </c>
      <c r="AC4" s="3902" t="s">
        <v>474</v>
      </c>
    </row>
    <row r="5" spans="1:29">
      <c r="A5" s="485"/>
      <c r="B5" s="486"/>
      <c r="C5" s="3921" t="s">
        <v>2192</v>
      </c>
      <c r="D5" s="3922"/>
      <c r="E5" s="3943" t="s">
        <v>2193</v>
      </c>
      <c r="F5" s="3944"/>
      <c r="G5" s="3921" t="s">
        <v>2194</v>
      </c>
      <c r="H5" s="3922"/>
      <c r="I5" s="3921" t="s">
        <v>2195</v>
      </c>
      <c r="J5" s="3922"/>
      <c r="K5" s="484"/>
      <c r="L5" s="1856"/>
      <c r="M5" s="1857"/>
      <c r="N5" s="1857"/>
      <c r="O5" s="1857"/>
      <c r="P5" s="4031"/>
      <c r="Q5" s="3910"/>
      <c r="R5" s="3915"/>
      <c r="S5" s="3916"/>
      <c r="T5" s="3915"/>
      <c r="U5" s="3916"/>
      <c r="V5" s="3900"/>
      <c r="W5" s="3900"/>
      <c r="X5" s="1380"/>
      <c r="Y5" s="3915"/>
      <c r="Z5" s="3916"/>
      <c r="AA5" s="3903"/>
      <c r="AB5" s="3903"/>
      <c r="AC5" s="3903"/>
    </row>
    <row r="6" spans="1:29" ht="15" thickBot="1">
      <c r="A6" s="487"/>
      <c r="B6" s="488"/>
      <c r="C6" s="3919" t="s">
        <v>2196</v>
      </c>
      <c r="D6" s="3920"/>
      <c r="E6" s="3939" t="s">
        <v>2196</v>
      </c>
      <c r="F6" s="3940"/>
      <c r="G6" s="3919" t="s">
        <v>2196</v>
      </c>
      <c r="H6" s="3920"/>
      <c r="I6" s="3919" t="s">
        <v>2196</v>
      </c>
      <c r="J6" s="3920"/>
      <c r="K6" s="484" t="s">
        <v>477</v>
      </c>
      <c r="L6" s="1856"/>
      <c r="M6" s="1857"/>
      <c r="N6" s="1857"/>
      <c r="O6" s="1857"/>
      <c r="P6" s="4032"/>
      <c r="Q6" s="3912"/>
      <c r="R6" s="3915"/>
      <c r="S6" s="3916"/>
      <c r="T6" s="3917"/>
      <c r="U6" s="3918"/>
      <c r="V6" s="3900"/>
      <c r="W6" s="3900"/>
      <c r="X6" s="1380"/>
      <c r="Y6" s="3917"/>
      <c r="Z6" s="3918"/>
      <c r="AA6" s="3904"/>
      <c r="AB6" s="3904"/>
      <c r="AC6" s="3904"/>
    </row>
    <row r="7" spans="1:29" s="1118" customFormat="1" ht="1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31" t="s">
        <v>479</v>
      </c>
      <c r="Q7" s="3931"/>
      <c r="R7" s="1381" t="s">
        <v>5</v>
      </c>
      <c r="S7" s="1382">
        <f t="shared" ref="S7:S15" si="0">F7</f>
        <v>0</v>
      </c>
      <c r="T7" s="1381" t="s">
        <v>5</v>
      </c>
      <c r="U7" s="1382">
        <f t="shared" ref="U7:U15" si="1">H7</f>
        <v>0</v>
      </c>
      <c r="V7" s="1381" t="s">
        <v>5</v>
      </c>
      <c r="W7" s="1382">
        <f t="shared" ref="W7:W15" si="2">J7</f>
        <v>0</v>
      </c>
      <c r="X7" s="1383"/>
      <c r="Y7" s="3929" t="s">
        <v>479</v>
      </c>
      <c r="Z7" s="3930"/>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31" t="s">
        <v>482</v>
      </c>
      <c r="Q8" s="3930"/>
      <c r="R8" s="1381" t="s">
        <v>5</v>
      </c>
      <c r="S8" s="1382">
        <f t="shared" si="0"/>
        <v>0</v>
      </c>
      <c r="T8" s="1381" t="s">
        <v>5</v>
      </c>
      <c r="U8" s="1382">
        <f t="shared" si="1"/>
        <v>0</v>
      </c>
      <c r="V8" s="1381" t="s">
        <v>5</v>
      </c>
      <c r="W8" s="1382">
        <f t="shared" si="2"/>
        <v>0</v>
      </c>
      <c r="X8" s="1383"/>
      <c r="Y8" s="3929" t="s">
        <v>482</v>
      </c>
      <c r="Z8" s="3930"/>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9"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99"/>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9"/>
      <c r="Q11" s="1050" t="str">
        <f t="shared" si="6"/>
        <v>容积率</v>
      </c>
      <c r="R11" s="1381" t="s">
        <v>5</v>
      </c>
      <c r="S11" s="1382" t="e">
        <f t="shared" si="0"/>
        <v>#N/A</v>
      </c>
      <c r="T11" s="1381" t="s">
        <v>5</v>
      </c>
      <c r="U11" s="1382" t="e">
        <f t="shared" si="1"/>
        <v>#N/A</v>
      </c>
      <c r="V11" s="1381" t="s">
        <v>5</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9"/>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9"/>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9"/>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32" t="s">
        <v>489</v>
      </c>
      <c r="Q15" s="1385" t="str">
        <f t="shared" si="6"/>
        <v>办公集聚程度</v>
      </c>
      <c r="R15" s="1386" t="s">
        <v>5</v>
      </c>
      <c r="S15" s="1387">
        <f t="shared" si="0"/>
        <v>100</v>
      </c>
      <c r="T15" s="1386" t="s">
        <v>5</v>
      </c>
      <c r="U15" s="1387">
        <f t="shared" si="1"/>
        <v>100</v>
      </c>
      <c r="V15" s="1386" t="s">
        <v>5</v>
      </c>
      <c r="W15" s="1387">
        <f t="shared" si="2"/>
        <v>100</v>
      </c>
      <c r="X15" s="1380"/>
      <c r="Y15" s="393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33"/>
      <c r="Q16" s="1385"/>
      <c r="R16" s="1386"/>
      <c r="S16" s="1387"/>
      <c r="T16" s="1386"/>
      <c r="U16" s="1387"/>
      <c r="V16" s="1386"/>
      <c r="W16" s="1387"/>
      <c r="X16" s="1380"/>
      <c r="Y16" s="3933"/>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33"/>
      <c r="Q17" s="1385" t="str">
        <f>B17</f>
        <v>交通便捷度</v>
      </c>
      <c r="R17" s="1386" t="s">
        <v>5</v>
      </c>
      <c r="S17" s="1387">
        <f>F17</f>
        <v>100</v>
      </c>
      <c r="T17" s="1386" t="s">
        <v>5</v>
      </c>
      <c r="U17" s="1387">
        <f>H17</f>
        <v>100</v>
      </c>
      <c r="V17" s="1386" t="s">
        <v>5</v>
      </c>
      <c r="W17" s="1387">
        <f>J17</f>
        <v>100</v>
      </c>
      <c r="X17" s="1380"/>
      <c r="Y17" s="393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33"/>
      <c r="Q18" s="1385"/>
      <c r="R18" s="1386"/>
      <c r="S18" s="1387"/>
      <c r="T18" s="1386"/>
      <c r="U18" s="1387"/>
      <c r="V18" s="1386"/>
      <c r="W18" s="1387"/>
      <c r="X18" s="1380"/>
      <c r="Y18" s="3933"/>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33"/>
      <c r="Q19" s="1385" t="str">
        <f>B19</f>
        <v>公共配套设施</v>
      </c>
      <c r="R19" s="1386" t="s">
        <v>5</v>
      </c>
      <c r="S19" s="1387">
        <f>F19</f>
        <v>100</v>
      </c>
      <c r="T19" s="1386" t="s">
        <v>5</v>
      </c>
      <c r="U19" s="1387">
        <f>H19</f>
        <v>100</v>
      </c>
      <c r="V19" s="1386" t="s">
        <v>5</v>
      </c>
      <c r="W19" s="1387">
        <f>J19</f>
        <v>100</v>
      </c>
      <c r="X19" s="1380"/>
      <c r="Y19" s="393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33"/>
      <c r="Q20" s="1385"/>
      <c r="R20" s="1386"/>
      <c r="S20" s="1387"/>
      <c r="T20" s="1386"/>
      <c r="U20" s="1387"/>
      <c r="V20" s="1386"/>
      <c r="W20" s="1387"/>
      <c r="X20" s="1380"/>
      <c r="Y20" s="3933"/>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33"/>
      <c r="Q21" s="2193" t="str">
        <f>B21</f>
        <v>基础设施水平</v>
      </c>
      <c r="R21" s="1386" t="s">
        <v>5</v>
      </c>
      <c r="S21" s="1387">
        <f>F21</f>
        <v>100</v>
      </c>
      <c r="T21" s="1386" t="s">
        <v>5</v>
      </c>
      <c r="U21" s="1387">
        <f>H21</f>
        <v>100</v>
      </c>
      <c r="V21" s="1386" t="s">
        <v>5</v>
      </c>
      <c r="W21" s="1387">
        <f>J21</f>
        <v>100</v>
      </c>
      <c r="X21" s="2195"/>
      <c r="Y21" s="393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33"/>
      <c r="Q22" s="2193"/>
      <c r="R22" s="1386"/>
      <c r="S22" s="1387"/>
      <c r="T22" s="1386"/>
      <c r="U22" s="1387"/>
      <c r="V22" s="1386"/>
      <c r="W22" s="1387"/>
      <c r="X22" s="2195"/>
      <c r="Y22" s="3933"/>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33"/>
      <c r="Q23" s="1385" t="str">
        <f>B23</f>
        <v>环境质量</v>
      </c>
      <c r="R23" s="1386" t="s">
        <v>5</v>
      </c>
      <c r="S23" s="1387">
        <f>F23</f>
        <v>100</v>
      </c>
      <c r="T23" s="1386" t="s">
        <v>5</v>
      </c>
      <c r="U23" s="1387">
        <f>H23</f>
        <v>100</v>
      </c>
      <c r="V23" s="1386" t="s">
        <v>5</v>
      </c>
      <c r="W23" s="1387">
        <f>J23</f>
        <v>100</v>
      </c>
      <c r="X23" s="1380"/>
      <c r="Y23" s="393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33"/>
      <c r="Q24" s="1385"/>
      <c r="R24" s="1386"/>
      <c r="S24" s="1387"/>
      <c r="T24" s="1386"/>
      <c r="U24" s="1387"/>
      <c r="V24" s="1386"/>
      <c r="W24" s="1387"/>
      <c r="X24" s="1380"/>
      <c r="Y24" s="3933"/>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33"/>
      <c r="Q25" s="1385" t="str">
        <f>B25</f>
        <v>毗邻道路的类型与等级</v>
      </c>
      <c r="R25" s="1386" t="s">
        <v>5</v>
      </c>
      <c r="S25" s="1387">
        <f>F25</f>
        <v>100</v>
      </c>
      <c r="T25" s="1386" t="s">
        <v>5</v>
      </c>
      <c r="U25" s="1387">
        <f>H25</f>
        <v>100</v>
      </c>
      <c r="V25" s="1386" t="s">
        <v>5</v>
      </c>
      <c r="W25" s="1387">
        <f>J25</f>
        <v>100</v>
      </c>
      <c r="X25" s="1380"/>
      <c r="Y25" s="393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33"/>
      <c r="Q26" s="1385"/>
      <c r="R26" s="1386"/>
      <c r="S26" s="1387"/>
      <c r="T26" s="1386"/>
      <c r="U26" s="1387"/>
      <c r="V26" s="1386"/>
      <c r="W26" s="1387"/>
      <c r="X26" s="1380"/>
      <c r="Y26" s="393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33"/>
      <c r="Q27" s="1385" t="str">
        <f t="shared" ref="Q27:Q47" si="8">B27</f>
        <v>楼层</v>
      </c>
      <c r="R27" s="1386" t="s">
        <v>5</v>
      </c>
      <c r="S27" s="1387">
        <f>F27</f>
        <v>100</v>
      </c>
      <c r="T27" s="1386" t="s">
        <v>5</v>
      </c>
      <c r="U27" s="1387">
        <f>H27</f>
        <v>100</v>
      </c>
      <c r="V27" s="1386" t="s">
        <v>5</v>
      </c>
      <c r="W27" s="1387">
        <f>J27</f>
        <v>100</v>
      </c>
      <c r="X27" s="1380"/>
      <c r="Y27" s="393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33"/>
      <c r="Q28" s="1050" t="str">
        <f t="shared" si="8"/>
        <v>朝向</v>
      </c>
      <c r="R28" s="1381" t="s">
        <v>5</v>
      </c>
      <c r="S28" s="1382">
        <f>F28</f>
        <v>100</v>
      </c>
      <c r="T28" s="1381" t="s">
        <v>5</v>
      </c>
      <c r="U28" s="1382">
        <f>H28</f>
        <v>100</v>
      </c>
      <c r="V28" s="1381" t="s">
        <v>5</v>
      </c>
      <c r="W28" s="1382">
        <f>J28</f>
        <v>100</v>
      </c>
      <c r="X28" s="1383"/>
      <c r="Y28" s="393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33"/>
      <c r="Q29" s="1385">
        <f t="shared" si="8"/>
        <v>111</v>
      </c>
      <c r="R29" s="1386" t="s">
        <v>5</v>
      </c>
      <c r="S29" s="1387">
        <f t="shared" ref="S29:S47" si="9">F29</f>
        <v>100</v>
      </c>
      <c r="T29" s="1386" t="s">
        <v>5</v>
      </c>
      <c r="U29" s="1387">
        <f t="shared" ref="U29:U47" si="10">H29</f>
        <v>100</v>
      </c>
      <c r="V29" s="1386" t="s">
        <v>5</v>
      </c>
      <c r="W29" s="1387">
        <f t="shared" ref="W29:W47" si="11">J29</f>
        <v>100</v>
      </c>
      <c r="X29" s="1380"/>
      <c r="Y29" s="393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33"/>
      <c r="Q30" s="1385">
        <f t="shared" si="8"/>
        <v>111</v>
      </c>
      <c r="R30" s="1386" t="s">
        <v>5</v>
      </c>
      <c r="S30" s="1387">
        <f t="shared" si="9"/>
        <v>100</v>
      </c>
      <c r="T30" s="1386" t="s">
        <v>5</v>
      </c>
      <c r="U30" s="1387">
        <f t="shared" si="10"/>
        <v>100</v>
      </c>
      <c r="V30" s="1386" t="s">
        <v>5</v>
      </c>
      <c r="W30" s="1387">
        <f t="shared" si="11"/>
        <v>100</v>
      </c>
      <c r="X30" s="1380"/>
      <c r="Y30" s="393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33"/>
      <c r="Q31" s="1385">
        <f t="shared" si="8"/>
        <v>111</v>
      </c>
      <c r="R31" s="1386" t="s">
        <v>5</v>
      </c>
      <c r="S31" s="1387">
        <f t="shared" si="9"/>
        <v>100</v>
      </c>
      <c r="T31" s="1386" t="s">
        <v>5</v>
      </c>
      <c r="U31" s="1387">
        <f t="shared" si="10"/>
        <v>100</v>
      </c>
      <c r="V31" s="1386" t="s">
        <v>5</v>
      </c>
      <c r="W31" s="1387">
        <f t="shared" si="11"/>
        <v>100</v>
      </c>
      <c r="X31" s="1380"/>
      <c r="Y31" s="3933"/>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33"/>
      <c r="Q32" s="1385">
        <f t="shared" si="8"/>
        <v>111</v>
      </c>
      <c r="R32" s="1386" t="s">
        <v>5</v>
      </c>
      <c r="S32" s="1387">
        <f t="shared" si="9"/>
        <v>100</v>
      </c>
      <c r="T32" s="1386" t="s">
        <v>5</v>
      </c>
      <c r="U32" s="1387">
        <f t="shared" si="10"/>
        <v>100</v>
      </c>
      <c r="V32" s="1386" t="s">
        <v>5</v>
      </c>
      <c r="W32" s="1387">
        <f t="shared" si="11"/>
        <v>100</v>
      </c>
      <c r="X32" s="1380"/>
      <c r="Y32" s="393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34" t="s">
        <v>499</v>
      </c>
      <c r="Q33" s="1385" t="str">
        <f t="shared" si="8"/>
        <v>建筑类型</v>
      </c>
      <c r="R33" s="1386" t="s">
        <v>5</v>
      </c>
      <c r="S33" s="1387">
        <f t="shared" si="9"/>
        <v>100</v>
      </c>
      <c r="T33" s="1386" t="s">
        <v>5</v>
      </c>
      <c r="U33" s="1387">
        <f t="shared" si="10"/>
        <v>100</v>
      </c>
      <c r="V33" s="1386" t="s">
        <v>5</v>
      </c>
      <c r="W33" s="1387">
        <f t="shared" si="11"/>
        <v>100</v>
      </c>
      <c r="X33" s="1380"/>
      <c r="Y33" s="393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35"/>
      <c r="Q34" s="1414" t="str">
        <f t="shared" si="8"/>
        <v>项目建筑规模</v>
      </c>
      <c r="R34" s="1390" t="s">
        <v>5</v>
      </c>
      <c r="S34" s="1391" t="e">
        <f t="shared" si="9"/>
        <v>#N/A</v>
      </c>
      <c r="T34" s="1390" t="s">
        <v>5</v>
      </c>
      <c r="U34" s="1391" t="e">
        <f t="shared" si="10"/>
        <v>#N/A</v>
      </c>
      <c r="V34" s="1390" t="s">
        <v>5</v>
      </c>
      <c r="W34" s="1391" t="e">
        <f t="shared" si="11"/>
        <v>#N/A</v>
      </c>
      <c r="X34" s="1392"/>
      <c r="Y34" s="393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35"/>
      <c r="Q35" s="1385" t="str">
        <f t="shared" si="8"/>
        <v>建筑结构</v>
      </c>
      <c r="R35" s="1386" t="s">
        <v>5</v>
      </c>
      <c r="S35" s="1387">
        <f t="shared" si="9"/>
        <v>100</v>
      </c>
      <c r="T35" s="1386" t="s">
        <v>5</v>
      </c>
      <c r="U35" s="1387">
        <f t="shared" si="10"/>
        <v>100</v>
      </c>
      <c r="V35" s="1386" t="s">
        <v>5</v>
      </c>
      <c r="W35" s="1387">
        <f t="shared" si="11"/>
        <v>100</v>
      </c>
      <c r="X35" s="1380"/>
      <c r="Y35" s="393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35"/>
      <c r="Q36" s="1385" t="str">
        <f t="shared" si="8"/>
        <v>公共部分装修</v>
      </c>
      <c r="R36" s="1386" t="s">
        <v>5</v>
      </c>
      <c r="S36" s="1387">
        <f t="shared" si="9"/>
        <v>100</v>
      </c>
      <c r="T36" s="1386" t="s">
        <v>5</v>
      </c>
      <c r="U36" s="1387">
        <f t="shared" si="10"/>
        <v>100</v>
      </c>
      <c r="V36" s="1386" t="s">
        <v>5</v>
      </c>
      <c r="W36" s="1387">
        <f t="shared" si="11"/>
        <v>100</v>
      </c>
      <c r="X36" s="1380"/>
      <c r="Y36" s="393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35"/>
      <c r="Q37" s="1385" t="str">
        <f t="shared" si="8"/>
        <v>成新度</v>
      </c>
      <c r="R37" s="1386" t="s">
        <v>5</v>
      </c>
      <c r="S37" s="1387" t="e">
        <f t="shared" si="9"/>
        <v>#N/A</v>
      </c>
      <c r="T37" s="1386" t="s">
        <v>5</v>
      </c>
      <c r="U37" s="1387" t="e">
        <f t="shared" si="10"/>
        <v>#N/A</v>
      </c>
      <c r="V37" s="1386" t="s">
        <v>5</v>
      </c>
      <c r="W37" s="1387" t="e">
        <f t="shared" si="11"/>
        <v>#N/A</v>
      </c>
      <c r="X37" s="1380"/>
      <c r="Y37" s="393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35"/>
      <c r="Q38" s="1050" t="str">
        <f t="shared" si="8"/>
        <v>写字楼等级</v>
      </c>
      <c r="R38" s="1381" t="s">
        <v>5</v>
      </c>
      <c r="S38" s="1382">
        <f t="shared" si="9"/>
        <v>100</v>
      </c>
      <c r="T38" s="1381" t="s">
        <v>5</v>
      </c>
      <c r="U38" s="1382">
        <f t="shared" si="10"/>
        <v>100</v>
      </c>
      <c r="V38" s="1381" t="s">
        <v>5</v>
      </c>
      <c r="W38" s="1382">
        <f t="shared" si="11"/>
        <v>100</v>
      </c>
      <c r="X38" s="1383"/>
      <c r="Y38" s="393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35" t="s">
        <v>499</v>
      </c>
      <c r="Q39" s="1385" t="str">
        <f t="shared" si="8"/>
        <v>物业管理</v>
      </c>
      <c r="R39" s="1386" t="s">
        <v>5</v>
      </c>
      <c r="S39" s="1387">
        <f t="shared" si="9"/>
        <v>100</v>
      </c>
      <c r="T39" s="1386" t="s">
        <v>5</v>
      </c>
      <c r="U39" s="1387">
        <f t="shared" si="10"/>
        <v>100</v>
      </c>
      <c r="V39" s="1386" t="s">
        <v>5</v>
      </c>
      <c r="W39" s="1387">
        <f t="shared" si="11"/>
        <v>100</v>
      </c>
      <c r="X39" s="1380"/>
      <c r="Y39" s="393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35"/>
      <c r="Q40" s="1385" t="str">
        <f t="shared" si="8"/>
        <v>市政基础设施</v>
      </c>
      <c r="R40" s="1386" t="s">
        <v>5</v>
      </c>
      <c r="S40" s="1387">
        <f t="shared" si="9"/>
        <v>100</v>
      </c>
      <c r="T40" s="1386" t="s">
        <v>5</v>
      </c>
      <c r="U40" s="1387">
        <f t="shared" si="10"/>
        <v>100</v>
      </c>
      <c r="V40" s="1386" t="s">
        <v>5</v>
      </c>
      <c r="W40" s="1387">
        <f t="shared" si="11"/>
        <v>100</v>
      </c>
      <c r="X40" s="1380"/>
      <c r="Y40" s="393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35"/>
      <c r="Q41" s="1385" t="str">
        <f t="shared" si="8"/>
        <v>层高</v>
      </c>
      <c r="R41" s="1386" t="s">
        <v>5</v>
      </c>
      <c r="S41" s="1387">
        <f t="shared" si="9"/>
        <v>100</v>
      </c>
      <c r="T41" s="1386" t="s">
        <v>5</v>
      </c>
      <c r="U41" s="1387">
        <f t="shared" si="10"/>
        <v>100</v>
      </c>
      <c r="V41" s="1386" t="s">
        <v>5</v>
      </c>
      <c r="W41" s="1387">
        <f t="shared" si="11"/>
        <v>100</v>
      </c>
      <c r="X41" s="1380"/>
      <c r="Y41" s="393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35"/>
      <c r="Q42" s="1414" t="str">
        <f t="shared" si="8"/>
        <v>单套建筑面积</v>
      </c>
      <c r="R42" s="1390" t="s">
        <v>5</v>
      </c>
      <c r="S42" s="1391">
        <f t="shared" si="9"/>
        <v>100</v>
      </c>
      <c r="T42" s="1390" t="s">
        <v>5</v>
      </c>
      <c r="U42" s="1391">
        <f t="shared" si="10"/>
        <v>100</v>
      </c>
      <c r="V42" s="1390" t="s">
        <v>5</v>
      </c>
      <c r="W42" s="1391">
        <f t="shared" si="11"/>
        <v>100</v>
      </c>
      <c r="X42" s="1392"/>
      <c r="Y42" s="393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35"/>
      <c r="Q43" s="1385" t="str">
        <f t="shared" si="8"/>
        <v>内部装修</v>
      </c>
      <c r="R43" s="1386" t="s">
        <v>5</v>
      </c>
      <c r="S43" s="1387">
        <f t="shared" si="9"/>
        <v>100</v>
      </c>
      <c r="T43" s="1386" t="s">
        <v>5</v>
      </c>
      <c r="U43" s="1387">
        <f t="shared" si="10"/>
        <v>100</v>
      </c>
      <c r="V43" s="1386" t="s">
        <v>5</v>
      </c>
      <c r="W43" s="1387">
        <f t="shared" si="11"/>
        <v>100</v>
      </c>
      <c r="X43" s="1380"/>
      <c r="Y43" s="3935"/>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35"/>
      <c r="Q44" s="1385" t="str">
        <f t="shared" si="8"/>
        <v>内部装修维护情况</v>
      </c>
      <c r="R44" s="1386" t="s">
        <v>5</v>
      </c>
      <c r="S44" s="1387">
        <f t="shared" si="9"/>
        <v>100</v>
      </c>
      <c r="T44" s="1386" t="s">
        <v>5</v>
      </c>
      <c r="U44" s="1387">
        <f t="shared" si="10"/>
        <v>100</v>
      </c>
      <c r="V44" s="1386" t="s">
        <v>5</v>
      </c>
      <c r="W44" s="1387">
        <f t="shared" si="11"/>
        <v>100</v>
      </c>
      <c r="X44" s="1380"/>
      <c r="Y44" s="393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35"/>
      <c r="Q45" s="1050">
        <f t="shared" si="8"/>
        <v>111</v>
      </c>
      <c r="R45" s="1381" t="s">
        <v>5</v>
      </c>
      <c r="S45" s="1382">
        <f t="shared" si="9"/>
        <v>100</v>
      </c>
      <c r="T45" s="1381" t="s">
        <v>5</v>
      </c>
      <c r="U45" s="1382">
        <f t="shared" si="10"/>
        <v>100</v>
      </c>
      <c r="V45" s="1381" t="s">
        <v>5</v>
      </c>
      <c r="W45" s="1382">
        <f t="shared" si="11"/>
        <v>100</v>
      </c>
      <c r="X45" s="1383"/>
      <c r="Y45" s="393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35"/>
      <c r="Q46" s="1385">
        <f t="shared" si="8"/>
        <v>111</v>
      </c>
      <c r="R46" s="1386" t="s">
        <v>5</v>
      </c>
      <c r="S46" s="1387">
        <f t="shared" si="9"/>
        <v>100</v>
      </c>
      <c r="T46" s="1386" t="s">
        <v>5</v>
      </c>
      <c r="U46" s="1387">
        <f t="shared" si="10"/>
        <v>100</v>
      </c>
      <c r="V46" s="1386" t="s">
        <v>5</v>
      </c>
      <c r="W46" s="1387">
        <f t="shared" si="11"/>
        <v>100</v>
      </c>
      <c r="X46" s="1380"/>
      <c r="Y46" s="3935"/>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8"/>
      <c r="Q47" s="1385">
        <f t="shared" si="8"/>
        <v>111</v>
      </c>
      <c r="R47" s="1386" t="s">
        <v>5</v>
      </c>
      <c r="S47" s="1387">
        <f t="shared" si="9"/>
        <v>100</v>
      </c>
      <c r="T47" s="1386" t="s">
        <v>5</v>
      </c>
      <c r="U47" s="1387">
        <f t="shared" si="10"/>
        <v>100</v>
      </c>
      <c r="V47" s="1386" t="s">
        <v>5</v>
      </c>
      <c r="W47" s="1387">
        <f t="shared" si="11"/>
        <v>100</v>
      </c>
      <c r="X47" s="1380"/>
      <c r="Y47" s="4028"/>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37" t="str">
        <f>A48</f>
        <v>成交单价（元/平方米）</v>
      </c>
      <c r="Q48" s="3899"/>
      <c r="R48" s="4027">
        <f>E48</f>
        <v>0</v>
      </c>
      <c r="S48" s="4027"/>
      <c r="T48" s="4027">
        <f>G48</f>
        <v>0</v>
      </c>
      <c r="U48" s="4027"/>
      <c r="V48" s="4027">
        <f>I48</f>
        <v>0</v>
      </c>
      <c r="W48" s="4027"/>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37" t="str">
        <f>A49</f>
        <v>比较价格（元/平方米）</v>
      </c>
      <c r="Q49" s="3899"/>
      <c r="R49" s="4027" t="e">
        <f>IF(F1="售价",ROUND(PRODUCT(R48,AA7:AA47),0),ROUND(PRODUCT(R48,AA7:AA47),1))</f>
        <v>#DIV/0!</v>
      </c>
      <c r="S49" s="4027"/>
      <c r="T49" s="4027" t="e">
        <f>IF(F1="售价",ROUND(PRODUCT(T48,AB7:AB47),0),ROUND(PRODUCT(T48,AB7:AB47),1))</f>
        <v>#DIV/0!</v>
      </c>
      <c r="U49" s="4027"/>
      <c r="V49" s="4027" t="e">
        <f>IF(F1="售价",ROUND(PRODUCT(V48,AC7:AC47),0),ROUND(PRODUCT(V48,AC7:AC47),1))</f>
        <v>#DIV/0!</v>
      </c>
      <c r="W49" s="4027"/>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29" t="str">
        <f>A50</f>
        <v>估价对象XX用房的比较价格（楼面单价，元/平方米）</v>
      </c>
      <c r="Q50" s="3937"/>
      <c r="R50" s="4026" t="e">
        <f>IF(F1="售价",ROUND(IF(D49="简单平均",AVERAGE(R49:V49),R49*F49+T49*H49+V49*J49),0),ROUND(IF(D49="简单平均",AVERAGE(R49:V49),R49*F49+T49*H49+V49*J49),1))</f>
        <v>#DIV/0!</v>
      </c>
      <c r="S50" s="4026"/>
      <c r="T50" s="4026"/>
      <c r="U50" s="4026"/>
      <c r="V50" s="4026"/>
      <c r="W50" s="4026"/>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tabSelected="1" view="pageBreakPreview" zoomScale="80" zoomScaleNormal="50" zoomScaleSheetLayoutView="80" workbookViewId="0">
      <selection activeCell="F61" sqref="E61:F61"/>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90669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2448</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2448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163</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05" t="s">
        <v>471</v>
      </c>
      <c r="D6" s="3906"/>
      <c r="E6" s="3941" t="s">
        <v>472</v>
      </c>
      <c r="F6" s="3942"/>
      <c r="G6" s="3905" t="s">
        <v>473</v>
      </c>
      <c r="H6" s="3906"/>
      <c r="I6" s="3905" t="s">
        <v>474</v>
      </c>
      <c r="J6" s="3906"/>
      <c r="K6" s="484" t="s">
        <v>475</v>
      </c>
      <c r="L6" s="1856"/>
      <c r="M6" s="1857"/>
      <c r="N6" s="1857"/>
      <c r="O6" s="1857"/>
      <c r="P6" s="3907" t="s">
        <v>476</v>
      </c>
      <c r="Q6" s="3908"/>
      <c r="R6" s="3913" t="s">
        <v>472</v>
      </c>
      <c r="S6" s="3914"/>
      <c r="T6" s="3913" t="s">
        <v>473</v>
      </c>
      <c r="U6" s="3914"/>
      <c r="V6" s="3900" t="s">
        <v>474</v>
      </c>
      <c r="W6" s="3900"/>
      <c r="X6" s="3667"/>
      <c r="Y6" s="3913" t="s">
        <v>476</v>
      </c>
      <c r="Z6" s="3914"/>
      <c r="AA6" s="3902" t="s">
        <v>472</v>
      </c>
      <c r="AB6" s="3903" t="s">
        <v>473</v>
      </c>
      <c r="AC6" s="3902" t="s">
        <v>474</v>
      </c>
    </row>
    <row r="7" spans="1:29">
      <c r="A7" s="485"/>
      <c r="B7" s="486"/>
      <c r="C7" s="3938" t="s">
        <v>3380</v>
      </c>
      <c r="D7" s="3922"/>
      <c r="E7" s="3943" t="str">
        <f>成本案例!B3</f>
        <v xml:space="preserve">顺义区国展预留地剩余地块 土地一级开发项目 </v>
      </c>
      <c r="F7" s="3944"/>
      <c r="G7" s="3921" t="str">
        <f>成本案例!B4</f>
        <v>顺义区仁和镇平各庄村B 地块土地一级开发项目</v>
      </c>
      <c r="H7" s="3922"/>
      <c r="I7" s="3921" t="str">
        <f>成本案例!B6</f>
        <v>顺义区M15号线后沙峪站ABC地块</v>
      </c>
      <c r="J7" s="3922"/>
      <c r="K7" s="484"/>
      <c r="L7" s="1856"/>
      <c r="M7" s="1857"/>
      <c r="N7" s="1857"/>
      <c r="O7" s="1857"/>
      <c r="P7" s="3909"/>
      <c r="Q7" s="3910"/>
      <c r="R7" s="3915"/>
      <c r="S7" s="3916"/>
      <c r="T7" s="3915"/>
      <c r="U7" s="3916"/>
      <c r="V7" s="3900"/>
      <c r="W7" s="3900"/>
      <c r="X7" s="3667"/>
      <c r="Y7" s="3915"/>
      <c r="Z7" s="3916"/>
      <c r="AA7" s="3903"/>
      <c r="AB7" s="3903"/>
      <c r="AC7" s="3903"/>
    </row>
    <row r="8" spans="1:29" ht="15" thickBot="1">
      <c r="A8" s="487"/>
      <c r="B8" s="488"/>
      <c r="C8" s="3919" t="s">
        <v>2196</v>
      </c>
      <c r="D8" s="3920"/>
      <c r="E8" s="3939" t="s">
        <v>2196</v>
      </c>
      <c r="F8" s="3940"/>
      <c r="G8" s="3919" t="s">
        <v>2196</v>
      </c>
      <c r="H8" s="3920"/>
      <c r="I8" s="3919" t="s">
        <v>2196</v>
      </c>
      <c r="J8" s="3920"/>
      <c r="K8" s="484" t="s">
        <v>477</v>
      </c>
      <c r="L8" s="1856"/>
      <c r="M8" s="1857"/>
      <c r="N8" s="1857"/>
      <c r="O8" s="1857"/>
      <c r="P8" s="3911"/>
      <c r="Q8" s="3912"/>
      <c r="R8" s="3915"/>
      <c r="S8" s="3916"/>
      <c r="T8" s="3917"/>
      <c r="U8" s="3918"/>
      <c r="V8" s="3900"/>
      <c r="W8" s="3900"/>
      <c r="X8" s="3667"/>
      <c r="Y8" s="3917"/>
      <c r="Z8" s="3918"/>
      <c r="AA8" s="3904"/>
      <c r="AB8" s="3904"/>
      <c r="AC8" s="3904"/>
    </row>
    <row r="9" spans="1:29" s="1118" customFormat="1" ht="15" thickBot="1">
      <c r="A9" s="2392"/>
      <c r="B9" s="2399" t="s">
        <v>478</v>
      </c>
      <c r="C9" s="489">
        <f>'数据-取费表'!B2</f>
        <v>45382</v>
      </c>
      <c r="D9" s="490">
        <v>100</v>
      </c>
      <c r="E9" s="491">
        <f>成本案例!I3</f>
        <v>44105</v>
      </c>
      <c r="F9" s="492">
        <f>SUMIF(66:66,YEAR(E9)&amp;"-"&amp;INT((MONTH(E9)+2)/3),67:67)</f>
        <v>91.479999999999976</v>
      </c>
      <c r="G9" s="493">
        <f>成本案例!I4</f>
        <v>44652</v>
      </c>
      <c r="H9" s="490">
        <f>SUMIF(66:66,YEAR(G9)&amp;"-"&amp;INT((MONTH(G9)+2)/3),67:67)</f>
        <v>95.01</v>
      </c>
      <c r="I9" s="493">
        <f>成本案例!I6</f>
        <v>44986</v>
      </c>
      <c r="J9" s="490">
        <f>SUMIF(66:66,YEAR(I9)&amp;"-"&amp;INT((MONTH(I9)+2)/3),67:67)</f>
        <v>97.26</v>
      </c>
      <c r="K9" s="494"/>
      <c r="L9" s="1858"/>
      <c r="M9" s="1859"/>
      <c r="N9" s="1859"/>
      <c r="O9" s="1859"/>
      <c r="P9" s="3929" t="s">
        <v>479</v>
      </c>
      <c r="Q9" s="3931"/>
      <c r="R9" s="1381" t="s">
        <v>5</v>
      </c>
      <c r="S9" s="1382">
        <f t="shared" ref="S9:S17" si="0">F9</f>
        <v>91.479999999999976</v>
      </c>
      <c r="T9" s="1381" t="s">
        <v>5</v>
      </c>
      <c r="U9" s="1382">
        <f t="shared" ref="U9:U17" si="1">H9</f>
        <v>95.01</v>
      </c>
      <c r="V9" s="1381" t="s">
        <v>5</v>
      </c>
      <c r="W9" s="1382">
        <f t="shared" ref="W9:W17" si="2">J9</f>
        <v>97.26</v>
      </c>
      <c r="X9" s="1383"/>
      <c r="Y9" s="3929" t="s">
        <v>479</v>
      </c>
      <c r="Z9" s="3930"/>
      <c r="AA9" s="1384">
        <f>D9/F9</f>
        <v>1.0931351114997816</v>
      </c>
      <c r="AB9" s="1384">
        <f>D9/H9</f>
        <v>1.0525207872855489</v>
      </c>
      <c r="AC9" s="1384">
        <f>D9/J9</f>
        <v>1.0281719103434093</v>
      </c>
    </row>
    <row r="10" spans="1:29" s="1118" customFormat="1" ht="1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29" t="s">
        <v>482</v>
      </c>
      <c r="Q10" s="3930"/>
      <c r="R10" s="1381" t="s">
        <v>5</v>
      </c>
      <c r="S10" s="1382">
        <f t="shared" si="0"/>
        <v>100</v>
      </c>
      <c r="T10" s="1381" t="s">
        <v>5</v>
      </c>
      <c r="U10" s="1382">
        <f t="shared" si="1"/>
        <v>100</v>
      </c>
      <c r="V10" s="1381" t="s">
        <v>5</v>
      </c>
      <c r="W10" s="1382">
        <f t="shared" si="2"/>
        <v>100</v>
      </c>
      <c r="X10" s="1383"/>
      <c r="Y10" s="3929" t="s">
        <v>482</v>
      </c>
      <c r="Z10" s="3930"/>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9" t="s">
        <v>484</v>
      </c>
      <c r="Q11" s="3664" t="str">
        <f t="shared" ref="Q11:Q17" si="6">B11</f>
        <v>用途</v>
      </c>
      <c r="R11" s="1381" t="s">
        <v>5</v>
      </c>
      <c r="S11" s="1382">
        <f t="shared" si="0"/>
        <v>100</v>
      </c>
      <c r="T11" s="1381" t="s">
        <v>5</v>
      </c>
      <c r="U11" s="1382">
        <f t="shared" si="1"/>
        <v>100</v>
      </c>
      <c r="V11" s="1381" t="s">
        <v>5</v>
      </c>
      <c r="W11" s="1382">
        <f t="shared" si="2"/>
        <v>100</v>
      </c>
      <c r="X11" s="1383"/>
      <c r="Y11" s="3843" t="s">
        <v>485</v>
      </c>
      <c r="Z11" s="3663"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899"/>
      <c r="Q12" s="3664" t="str">
        <f t="shared" si="6"/>
        <v>土地使用年限（年）</v>
      </c>
      <c r="R12" s="1381" t="s">
        <v>5</v>
      </c>
      <c r="S12" s="1382">
        <f t="shared" si="0"/>
        <v>100</v>
      </c>
      <c r="T12" s="1381" t="s">
        <v>5</v>
      </c>
      <c r="U12" s="1382">
        <f t="shared" si="1"/>
        <v>100</v>
      </c>
      <c r="V12" s="1381" t="s">
        <v>5</v>
      </c>
      <c r="W12" s="1382">
        <f t="shared" si="2"/>
        <v>100</v>
      </c>
      <c r="X12" s="1383"/>
      <c r="Y12" s="3843"/>
      <c r="Z12" s="3663"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9"/>
      <c r="Q13" s="3664" t="str">
        <f t="shared" si="6"/>
        <v>容积率</v>
      </c>
      <c r="R13" s="1381" t="s">
        <v>5</v>
      </c>
      <c r="S13" s="1382">
        <f t="shared" si="0"/>
        <v>100</v>
      </c>
      <c r="T13" s="1381" t="s">
        <v>5</v>
      </c>
      <c r="U13" s="1382">
        <f t="shared" si="1"/>
        <v>100</v>
      </c>
      <c r="V13" s="1381" t="s">
        <v>5</v>
      </c>
      <c r="W13" s="1382">
        <f t="shared" si="2"/>
        <v>100</v>
      </c>
      <c r="X13" s="1383"/>
      <c r="Y13" s="3843"/>
      <c r="Z13" s="3663"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9"/>
      <c r="Q14" s="3664">
        <f t="shared" si="6"/>
        <v>111</v>
      </c>
      <c r="R14" s="1381" t="s">
        <v>5</v>
      </c>
      <c r="S14" s="1382">
        <f t="shared" si="0"/>
        <v>100</v>
      </c>
      <c r="T14" s="1381" t="s">
        <v>5</v>
      </c>
      <c r="U14" s="1382">
        <f t="shared" si="1"/>
        <v>100</v>
      </c>
      <c r="V14" s="1381" t="s">
        <v>5</v>
      </c>
      <c r="W14" s="1382">
        <f t="shared" si="2"/>
        <v>100</v>
      </c>
      <c r="X14" s="1383"/>
      <c r="Y14" s="3843"/>
      <c r="Z14" s="3663">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9"/>
      <c r="Q15" s="3664">
        <f t="shared" si="6"/>
        <v>111</v>
      </c>
      <c r="R15" s="1381" t="s">
        <v>5</v>
      </c>
      <c r="S15" s="1382">
        <f t="shared" si="0"/>
        <v>100</v>
      </c>
      <c r="T15" s="1381" t="s">
        <v>5</v>
      </c>
      <c r="U15" s="1382">
        <f t="shared" si="1"/>
        <v>100</v>
      </c>
      <c r="V15" s="1381" t="s">
        <v>5</v>
      </c>
      <c r="W15" s="1382">
        <f t="shared" si="2"/>
        <v>100</v>
      </c>
      <c r="X15" s="1383"/>
      <c r="Y15" s="3843"/>
      <c r="Z15" s="3663">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9"/>
      <c r="Q16" s="3664">
        <f t="shared" si="6"/>
        <v>111</v>
      </c>
      <c r="R16" s="1381" t="s">
        <v>5</v>
      </c>
      <c r="S16" s="1382">
        <f t="shared" si="0"/>
        <v>100</v>
      </c>
      <c r="T16" s="1381" t="s">
        <v>5</v>
      </c>
      <c r="U16" s="1382">
        <f t="shared" si="1"/>
        <v>100</v>
      </c>
      <c r="V16" s="1381" t="s">
        <v>5</v>
      </c>
      <c r="W16" s="1382">
        <f t="shared" si="2"/>
        <v>100</v>
      </c>
      <c r="X16" s="1383"/>
      <c r="Y16" s="3843"/>
      <c r="Z16" s="3663">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32" t="s">
        <v>489</v>
      </c>
      <c r="Q17" s="3665" t="str">
        <f t="shared" si="6"/>
        <v>产业集聚程度</v>
      </c>
      <c r="R17" s="1386" t="s">
        <v>5</v>
      </c>
      <c r="S17" s="1387">
        <f t="shared" si="0"/>
        <v>100</v>
      </c>
      <c r="T17" s="1386" t="s">
        <v>5</v>
      </c>
      <c r="U17" s="1387">
        <f t="shared" si="1"/>
        <v>100</v>
      </c>
      <c r="V17" s="1386" t="s">
        <v>5</v>
      </c>
      <c r="W17" s="1387">
        <f t="shared" si="2"/>
        <v>100</v>
      </c>
      <c r="X17" s="3667"/>
      <c r="Y17" s="3932" t="s">
        <v>489</v>
      </c>
      <c r="Z17" s="3666" t="str">
        <f t="shared" si="7"/>
        <v>产业集聚程度</v>
      </c>
      <c r="AA17" s="3668">
        <f t="shared" si="3"/>
        <v>1</v>
      </c>
      <c r="AB17" s="3668">
        <f t="shared" si="4"/>
        <v>1</v>
      </c>
      <c r="AC17" s="3668">
        <f t="shared" si="5"/>
        <v>1</v>
      </c>
    </row>
    <row r="18" spans="1:29" ht="15">
      <c r="A18" s="502"/>
      <c r="B18" s="832"/>
      <c r="C18" s="546" t="s">
        <v>3383</v>
      </c>
      <c r="D18" s="525"/>
      <c r="E18" s="524" t="s">
        <v>3383</v>
      </c>
      <c r="F18" s="525"/>
      <c r="G18" s="524" t="s">
        <v>3383</v>
      </c>
      <c r="H18" s="529"/>
      <c r="I18" s="524" t="s">
        <v>3383</v>
      </c>
      <c r="J18" s="525"/>
      <c r="K18" s="501"/>
      <c r="L18" s="1865"/>
      <c r="M18" s="1857"/>
      <c r="N18" s="1857"/>
      <c r="O18" s="1864"/>
      <c r="P18" s="3933"/>
      <c r="Q18" s="3665"/>
      <c r="R18" s="1386"/>
      <c r="S18" s="1387"/>
      <c r="T18" s="1386"/>
      <c r="U18" s="1387"/>
      <c r="V18" s="1386"/>
      <c r="W18" s="1387"/>
      <c r="X18" s="3667"/>
      <c r="Y18" s="3933"/>
      <c r="Z18" s="3666"/>
      <c r="AA18" s="3668">
        <v>1</v>
      </c>
      <c r="AB18" s="3668">
        <v>1</v>
      </c>
      <c r="AC18" s="3668">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33"/>
      <c r="Q19" s="3665" t="str">
        <f>B19</f>
        <v>交通便捷度</v>
      </c>
      <c r="R19" s="1386" t="s">
        <v>5</v>
      </c>
      <c r="S19" s="1387">
        <f>F19</f>
        <v>100</v>
      </c>
      <c r="T19" s="1386" t="s">
        <v>5</v>
      </c>
      <c r="U19" s="1387">
        <f>H19</f>
        <v>100</v>
      </c>
      <c r="V19" s="1386" t="s">
        <v>5</v>
      </c>
      <c r="W19" s="1387">
        <f>J19</f>
        <v>100</v>
      </c>
      <c r="X19" s="3667"/>
      <c r="Y19" s="3933"/>
      <c r="Z19" s="3666" t="str">
        <f>Q19</f>
        <v>交通便捷度</v>
      </c>
      <c r="AA19" s="3668">
        <f t="shared" si="3"/>
        <v>1</v>
      </c>
      <c r="AB19" s="3668">
        <f t="shared" si="4"/>
        <v>1</v>
      </c>
      <c r="AC19" s="3668">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33"/>
      <c r="Q20" s="3665"/>
      <c r="R20" s="1386"/>
      <c r="S20" s="1387"/>
      <c r="T20" s="1386"/>
      <c r="U20" s="1387"/>
      <c r="V20" s="1386"/>
      <c r="W20" s="1387"/>
      <c r="X20" s="3667"/>
      <c r="Y20" s="3933"/>
      <c r="Z20" s="3666"/>
      <c r="AA20" s="3668">
        <v>1</v>
      </c>
      <c r="AB20" s="3668">
        <v>1</v>
      </c>
      <c r="AC20" s="366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33"/>
      <c r="Q21" s="3665" t="str">
        <f t="shared" ref="Q21:Q35" si="8">B21</f>
        <v>区域土地利用方向</v>
      </c>
      <c r="R21" s="1386" t="s">
        <v>5</v>
      </c>
      <c r="S21" s="1387">
        <f>F21</f>
        <v>100</v>
      </c>
      <c r="T21" s="1386" t="s">
        <v>5</v>
      </c>
      <c r="U21" s="1387">
        <f>H21</f>
        <v>100</v>
      </c>
      <c r="V21" s="1386" t="s">
        <v>5</v>
      </c>
      <c r="W21" s="1387">
        <f>J21</f>
        <v>100</v>
      </c>
      <c r="X21" s="3667"/>
      <c r="Y21" s="3933"/>
      <c r="Z21" s="3666" t="str">
        <f>Q21</f>
        <v>区域土地利用方向</v>
      </c>
      <c r="AA21" s="3668">
        <f t="shared" si="3"/>
        <v>1</v>
      </c>
      <c r="AB21" s="3668">
        <f t="shared" si="4"/>
        <v>1</v>
      </c>
      <c r="AC21" s="3668">
        <f t="shared" si="5"/>
        <v>1</v>
      </c>
    </row>
    <row r="22" spans="1:29" ht="15">
      <c r="A22" s="485"/>
      <c r="B22" s="565"/>
      <c r="C22" s="546" t="s">
        <v>3383</v>
      </c>
      <c r="D22" s="525"/>
      <c r="E22" s="546" t="s">
        <v>3383</v>
      </c>
      <c r="F22" s="527"/>
      <c r="G22" s="546" t="s">
        <v>3383</v>
      </c>
      <c r="H22" s="527"/>
      <c r="I22" s="546" t="s">
        <v>3383</v>
      </c>
      <c r="J22" s="527"/>
      <c r="K22" s="1208"/>
      <c r="L22" s="1865"/>
      <c r="M22" s="1857"/>
      <c r="N22" s="1857"/>
      <c r="O22" s="1864"/>
      <c r="P22" s="3933"/>
      <c r="Q22" s="3665"/>
      <c r="R22" s="1386"/>
      <c r="S22" s="1387"/>
      <c r="T22" s="1386"/>
      <c r="U22" s="1387"/>
      <c r="V22" s="1386"/>
      <c r="W22" s="1387"/>
      <c r="X22" s="3667"/>
      <c r="Y22" s="3933"/>
      <c r="Z22" s="3666"/>
      <c r="AA22" s="3668"/>
      <c r="AB22" s="3668"/>
      <c r="AC22" s="3668"/>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33"/>
      <c r="Q23" s="3665" t="str">
        <f t="shared" si="8"/>
        <v>环境状况</v>
      </c>
      <c r="R23" s="1386" t="s">
        <v>5</v>
      </c>
      <c r="S23" s="1387">
        <f>F23</f>
        <v>100</v>
      </c>
      <c r="T23" s="1386" t="s">
        <v>5</v>
      </c>
      <c r="U23" s="1387">
        <f>H23</f>
        <v>100</v>
      </c>
      <c r="V23" s="1386" t="s">
        <v>5</v>
      </c>
      <c r="W23" s="1387">
        <f>J23</f>
        <v>100</v>
      </c>
      <c r="X23" s="3667"/>
      <c r="Y23" s="3933"/>
      <c r="Z23" s="3666" t="str">
        <f>Q23</f>
        <v>环境状况</v>
      </c>
      <c r="AA23" s="3668">
        <f t="shared" si="3"/>
        <v>1</v>
      </c>
      <c r="AB23" s="3668">
        <f t="shared" si="4"/>
        <v>1</v>
      </c>
      <c r="AC23" s="3668">
        <f t="shared" si="5"/>
        <v>1</v>
      </c>
    </row>
    <row r="24" spans="1:29" ht="15">
      <c r="A24" s="485"/>
      <c r="B24" s="565"/>
      <c r="C24" s="546" t="s">
        <v>3382</v>
      </c>
      <c r="D24" s="525"/>
      <c r="E24" s="546" t="s">
        <v>3382</v>
      </c>
      <c r="F24" s="525"/>
      <c r="G24" s="546" t="s">
        <v>3382</v>
      </c>
      <c r="H24" s="525"/>
      <c r="I24" s="546" t="s">
        <v>3382</v>
      </c>
      <c r="J24" s="525"/>
      <c r="K24" s="501"/>
      <c r="L24" s="1865"/>
      <c r="M24" s="1857"/>
      <c r="N24" s="1857"/>
      <c r="O24" s="1864"/>
      <c r="P24" s="3933"/>
      <c r="Q24" s="3665"/>
      <c r="R24" s="1386"/>
      <c r="S24" s="1387"/>
      <c r="T24" s="1386"/>
      <c r="U24" s="1387"/>
      <c r="V24" s="1386"/>
      <c r="W24" s="1387"/>
      <c r="X24" s="3667"/>
      <c r="Y24" s="3933"/>
      <c r="Z24" s="3666"/>
      <c r="AA24" s="3668">
        <v>1</v>
      </c>
      <c r="AB24" s="3668">
        <v>1</v>
      </c>
      <c r="AC24" s="3668">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8"/>
      <c r="M25" s="1859"/>
      <c r="N25" s="1859"/>
      <c r="O25" s="1860"/>
      <c r="P25" s="3933"/>
      <c r="Q25" s="3664" t="str">
        <f t="shared" si="8"/>
        <v>公共配套设施</v>
      </c>
      <c r="R25" s="1381" t="s">
        <v>5</v>
      </c>
      <c r="S25" s="1382">
        <f>F25</f>
        <v>100</v>
      </c>
      <c r="T25" s="1381" t="s">
        <v>5</v>
      </c>
      <c r="U25" s="1382">
        <f>H25</f>
        <v>100</v>
      </c>
      <c r="V25" s="1381" t="s">
        <v>5</v>
      </c>
      <c r="W25" s="1382">
        <f>J25</f>
        <v>100</v>
      </c>
      <c r="X25" s="1383"/>
      <c r="Y25" s="3933"/>
      <c r="Z25" s="3663" t="str">
        <f>Q25</f>
        <v>公共配套设施</v>
      </c>
      <c r="AA25" s="3668">
        <f>D25/F25</f>
        <v>1</v>
      </c>
      <c r="AB25" s="3668">
        <f>D25/H25</f>
        <v>1</v>
      </c>
      <c r="AC25" s="3668">
        <f>D25/J25</f>
        <v>1</v>
      </c>
    </row>
    <row r="26" spans="1:29" s="1118" customFormat="1" ht="15">
      <c r="A26" s="547"/>
      <c r="B26" s="565"/>
      <c r="C26" s="546" t="s">
        <v>3382</v>
      </c>
      <c r="D26" s="525"/>
      <c r="E26" s="546" t="s">
        <v>3382</v>
      </c>
      <c r="F26" s="525"/>
      <c r="G26" s="546" t="s">
        <v>3382</v>
      </c>
      <c r="H26" s="525"/>
      <c r="I26" s="546" t="s">
        <v>3382</v>
      </c>
      <c r="J26" s="525"/>
      <c r="K26" s="501"/>
      <c r="L26" s="1858"/>
      <c r="M26" s="1859"/>
      <c r="N26" s="1859"/>
      <c r="O26" s="1860"/>
      <c r="P26" s="3933"/>
      <c r="Q26" s="3664"/>
      <c r="R26" s="1381"/>
      <c r="S26" s="1382"/>
      <c r="T26" s="1381"/>
      <c r="U26" s="1382"/>
      <c r="V26" s="1381"/>
      <c r="W26" s="1382"/>
      <c r="X26" s="1383"/>
      <c r="Y26" s="3933"/>
      <c r="Z26" s="3663"/>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33"/>
      <c r="Q27" s="3664" t="str">
        <f>B27</f>
        <v>基础设施水平</v>
      </c>
      <c r="R27" s="1381" t="s">
        <v>5</v>
      </c>
      <c r="S27" s="1382">
        <f>F27</f>
        <v>100</v>
      </c>
      <c r="T27" s="1381" t="s">
        <v>5</v>
      </c>
      <c r="U27" s="1382">
        <f>H27</f>
        <v>100</v>
      </c>
      <c r="V27" s="1381" t="s">
        <v>5</v>
      </c>
      <c r="W27" s="1382">
        <f>J27</f>
        <v>100</v>
      </c>
      <c r="X27" s="1383"/>
      <c r="Y27" s="3933"/>
      <c r="Z27" s="3663" t="str">
        <f>Q27</f>
        <v>基础设施水平</v>
      </c>
      <c r="AA27" s="3668">
        <f>D27/F27</f>
        <v>1</v>
      </c>
      <c r="AB27" s="3668">
        <f>D27/H27</f>
        <v>1</v>
      </c>
      <c r="AC27" s="3668">
        <f>D27/J27</f>
        <v>1</v>
      </c>
    </row>
    <row r="28" spans="1:29" s="1118" customFormat="1" ht="15">
      <c r="A28" s="547"/>
      <c r="B28" s="565"/>
      <c r="C28" s="2200"/>
      <c r="D28" s="525"/>
      <c r="E28" s="549"/>
      <c r="F28" s="525"/>
      <c r="G28" s="549"/>
      <c r="H28" s="525"/>
      <c r="I28" s="549"/>
      <c r="J28" s="525"/>
      <c r="K28" s="501"/>
      <c r="L28" s="1858"/>
      <c r="M28" s="1859"/>
      <c r="N28" s="1859"/>
      <c r="O28" s="1860"/>
      <c r="P28" s="3933"/>
      <c r="Q28" s="3664"/>
      <c r="R28" s="1381"/>
      <c r="S28" s="1382"/>
      <c r="T28" s="1381"/>
      <c r="U28" s="1382"/>
      <c r="V28" s="1381"/>
      <c r="W28" s="1382"/>
      <c r="X28" s="1383"/>
      <c r="Y28" s="3933"/>
      <c r="Z28" s="3663"/>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33"/>
      <c r="Q29" s="3665" t="str">
        <f t="shared" si="8"/>
        <v>临街状况</v>
      </c>
      <c r="R29" s="1386" t="s">
        <v>5</v>
      </c>
      <c r="S29" s="1387">
        <f t="shared" ref="S29:S42" si="9">F29</f>
        <v>100</v>
      </c>
      <c r="T29" s="1386" t="s">
        <v>5</v>
      </c>
      <c r="U29" s="1387">
        <f t="shared" ref="U29:U42" si="10">H29</f>
        <v>100</v>
      </c>
      <c r="V29" s="1386" t="s">
        <v>5</v>
      </c>
      <c r="W29" s="1387">
        <f t="shared" ref="W29:W42" si="11">J29</f>
        <v>100</v>
      </c>
      <c r="X29" s="3667"/>
      <c r="Y29" s="3933"/>
      <c r="Z29" s="3666" t="str">
        <f t="shared" ref="Z29:Z42" si="12">Q29</f>
        <v>临街状况</v>
      </c>
      <c r="AA29" s="3668">
        <f t="shared" si="3"/>
        <v>1</v>
      </c>
      <c r="AB29" s="3668">
        <f t="shared" si="4"/>
        <v>1</v>
      </c>
      <c r="AC29" s="3668">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33"/>
      <c r="Q30" s="3665" t="str">
        <f t="shared" si="8"/>
        <v>毗邻道路的类型与等级</v>
      </c>
      <c r="R30" s="1386" t="s">
        <v>5</v>
      </c>
      <c r="S30" s="1387">
        <f t="shared" si="9"/>
        <v>100</v>
      </c>
      <c r="T30" s="1386" t="s">
        <v>5</v>
      </c>
      <c r="U30" s="1387">
        <f t="shared" si="10"/>
        <v>100</v>
      </c>
      <c r="V30" s="1386" t="s">
        <v>5</v>
      </c>
      <c r="W30" s="1387">
        <f t="shared" si="11"/>
        <v>100</v>
      </c>
      <c r="X30" s="3667"/>
      <c r="Y30" s="3933"/>
      <c r="Z30" s="3666" t="str">
        <f t="shared" si="12"/>
        <v>毗邻道路的类型与等级</v>
      </c>
      <c r="AA30" s="3668">
        <f t="shared" si="3"/>
        <v>1</v>
      </c>
      <c r="AB30" s="3668">
        <f t="shared" si="4"/>
        <v>1</v>
      </c>
      <c r="AC30" s="3668">
        <f t="shared" si="5"/>
        <v>1</v>
      </c>
    </row>
    <row r="31" spans="1:29" ht="15">
      <c r="A31" s="502"/>
      <c r="B31" s="565"/>
      <c r="C31" s="546"/>
      <c r="D31" s="525"/>
      <c r="E31" s="546"/>
      <c r="F31" s="525"/>
      <c r="G31" s="546"/>
      <c r="H31" s="525"/>
      <c r="I31" s="546"/>
      <c r="J31" s="525"/>
      <c r="K31" s="551"/>
      <c r="L31" s="1865"/>
      <c r="M31" s="1857"/>
      <c r="N31" s="1857"/>
      <c r="O31" s="1864"/>
      <c r="P31" s="3933"/>
      <c r="Q31" s="3665"/>
      <c r="R31" s="1386"/>
      <c r="S31" s="1387"/>
      <c r="T31" s="1386"/>
      <c r="U31" s="1387"/>
      <c r="V31" s="1386"/>
      <c r="W31" s="1387"/>
      <c r="X31" s="3667"/>
      <c r="Y31" s="3933"/>
      <c r="Z31" s="3666"/>
      <c r="AA31" s="3668">
        <v>1</v>
      </c>
      <c r="AB31" s="3668">
        <v>1</v>
      </c>
      <c r="AC31" s="3668">
        <v>1</v>
      </c>
    </row>
    <row r="32" spans="1:29" ht="15">
      <c r="A32" s="502"/>
      <c r="B32" s="497" t="s">
        <v>498</v>
      </c>
      <c r="C32" s="2204"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5"/>
      <c r="M32" s="1857"/>
      <c r="N32" s="1857"/>
      <c r="O32" s="1864"/>
      <c r="P32" s="3933"/>
      <c r="Q32" s="3665" t="str">
        <f t="shared" si="8"/>
        <v>土地级别</v>
      </c>
      <c r="R32" s="1386" t="s">
        <v>5</v>
      </c>
      <c r="S32" s="1387">
        <f t="shared" si="9"/>
        <v>100</v>
      </c>
      <c r="T32" s="1386" t="s">
        <v>5</v>
      </c>
      <c r="U32" s="1387">
        <f t="shared" si="10"/>
        <v>100</v>
      </c>
      <c r="V32" s="1386" t="s">
        <v>5</v>
      </c>
      <c r="W32" s="1387">
        <f t="shared" si="11"/>
        <v>100</v>
      </c>
      <c r="X32" s="3667"/>
      <c r="Y32" s="3933"/>
      <c r="Z32" s="3666" t="str">
        <f t="shared" si="12"/>
        <v>土地级别</v>
      </c>
      <c r="AA32" s="3668">
        <f t="shared" si="3"/>
        <v>1</v>
      </c>
      <c r="AB32" s="3668">
        <f t="shared" si="4"/>
        <v>1</v>
      </c>
      <c r="AC32" s="366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33"/>
      <c r="Q33" s="3665">
        <f t="shared" si="8"/>
        <v>111</v>
      </c>
      <c r="R33" s="1386" t="s">
        <v>5</v>
      </c>
      <c r="S33" s="1387">
        <f t="shared" si="9"/>
        <v>100</v>
      </c>
      <c r="T33" s="1386" t="s">
        <v>5</v>
      </c>
      <c r="U33" s="1387">
        <f t="shared" si="10"/>
        <v>100</v>
      </c>
      <c r="V33" s="1386" t="s">
        <v>5</v>
      </c>
      <c r="W33" s="1387">
        <f t="shared" si="11"/>
        <v>100</v>
      </c>
      <c r="X33" s="3667"/>
      <c r="Y33" s="3933"/>
      <c r="Z33" s="3666">
        <f t="shared" si="12"/>
        <v>111</v>
      </c>
      <c r="AA33" s="3668">
        <f t="shared" si="3"/>
        <v>1</v>
      </c>
      <c r="AB33" s="3668">
        <f t="shared" si="4"/>
        <v>1</v>
      </c>
      <c r="AC33" s="366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34" t="s">
        <v>499</v>
      </c>
      <c r="Q34" s="3665">
        <f t="shared" si="8"/>
        <v>111</v>
      </c>
      <c r="R34" s="1386" t="s">
        <v>5</v>
      </c>
      <c r="S34" s="1387">
        <f t="shared" si="9"/>
        <v>100</v>
      </c>
      <c r="T34" s="1386" t="s">
        <v>5</v>
      </c>
      <c r="U34" s="1387">
        <f t="shared" si="10"/>
        <v>100</v>
      </c>
      <c r="V34" s="1386" t="s">
        <v>5</v>
      </c>
      <c r="W34" s="1387">
        <f t="shared" si="11"/>
        <v>100</v>
      </c>
      <c r="X34" s="3667"/>
      <c r="Y34" s="3935" t="s">
        <v>499</v>
      </c>
      <c r="Z34" s="3666">
        <f t="shared" si="12"/>
        <v>111</v>
      </c>
      <c r="AA34" s="3668">
        <f t="shared" si="3"/>
        <v>1</v>
      </c>
      <c r="AB34" s="3668">
        <f t="shared" si="4"/>
        <v>1</v>
      </c>
      <c r="AC34" s="3668">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5"/>
      <c r="Q35" s="3665">
        <f t="shared" si="8"/>
        <v>111</v>
      </c>
      <c r="R35" s="1390" t="s">
        <v>5</v>
      </c>
      <c r="S35" s="1391">
        <f t="shared" si="9"/>
        <v>100</v>
      </c>
      <c r="T35" s="1390" t="s">
        <v>5</v>
      </c>
      <c r="U35" s="1391">
        <f t="shared" si="10"/>
        <v>100</v>
      </c>
      <c r="V35" s="1390" t="s">
        <v>5</v>
      </c>
      <c r="W35" s="1391">
        <f t="shared" si="11"/>
        <v>100</v>
      </c>
      <c r="X35" s="1392"/>
      <c r="Y35" s="3935"/>
      <c r="Z35" s="1393">
        <f t="shared" si="12"/>
        <v>111</v>
      </c>
      <c r="AA35" s="3668">
        <f t="shared" si="3"/>
        <v>1</v>
      </c>
      <c r="AB35" s="3668">
        <f t="shared" si="4"/>
        <v>1</v>
      </c>
      <c r="AC35" s="3668">
        <f t="shared" si="5"/>
        <v>1</v>
      </c>
    </row>
    <row r="36" spans="1:29" ht="15">
      <c r="A36" s="2387" t="s">
        <v>2037</v>
      </c>
      <c r="B36" s="565" t="s">
        <v>501</v>
      </c>
      <c r="C36" s="566">
        <f>'数据-汇总表'!D19</f>
        <v>370379.14</v>
      </c>
      <c r="D36" s="567">
        <v>100</v>
      </c>
      <c r="E36" s="566">
        <v>129000</v>
      </c>
      <c r="F36" s="567">
        <f>LOOKUP(E36,109:109,110:110)-LOOKUP(C36,109:109,110:110)+100</f>
        <v>102</v>
      </c>
      <c r="G36" s="566">
        <v>361500</v>
      </c>
      <c r="H36" s="567">
        <f>LOOKUP(G36,109:109,110:110)-LOOKUP(C36,109:109,110:110)+100</f>
        <v>100</v>
      </c>
      <c r="I36" s="568">
        <v>847200</v>
      </c>
      <c r="J36" s="567">
        <f>LOOKUP(I36,109:109,110:110)-LOOKUP(C36,109:109,110:110)+100</f>
        <v>95</v>
      </c>
      <c r="K36" s="551"/>
      <c r="L36" s="1865"/>
      <c r="M36" s="1857"/>
      <c r="N36" s="1857"/>
      <c r="O36" s="1864"/>
      <c r="P36" s="3935"/>
      <c r="Q36" s="3665" t="str">
        <f>B36</f>
        <v>宗地面积</v>
      </c>
      <c r="R36" s="1386" t="s">
        <v>5</v>
      </c>
      <c r="S36" s="1387">
        <f t="shared" si="9"/>
        <v>102</v>
      </c>
      <c r="T36" s="1386" t="s">
        <v>5</v>
      </c>
      <c r="U36" s="1387">
        <f t="shared" si="10"/>
        <v>100</v>
      </c>
      <c r="V36" s="1386" t="s">
        <v>5</v>
      </c>
      <c r="W36" s="1387">
        <f t="shared" si="11"/>
        <v>95</v>
      </c>
      <c r="X36" s="3667"/>
      <c r="Y36" s="3935"/>
      <c r="Z36" s="3666" t="str">
        <f t="shared" si="12"/>
        <v>宗地面积</v>
      </c>
      <c r="AA36" s="3668">
        <f t="shared" si="3"/>
        <v>0.98039215686274506</v>
      </c>
      <c r="AB36" s="3668">
        <f t="shared" si="4"/>
        <v>1</v>
      </c>
      <c r="AC36" s="3668">
        <f t="shared" si="5"/>
        <v>1.0526315789473684</v>
      </c>
    </row>
    <row r="37" spans="1:29" ht="15">
      <c r="A37" s="564"/>
      <c r="B37" s="497" t="s">
        <v>502</v>
      </c>
      <c r="C37" s="569" t="s">
        <v>3406</v>
      </c>
      <c r="D37" s="510">
        <v>100</v>
      </c>
      <c r="E37" s="569" t="s">
        <v>3406</v>
      </c>
      <c r="F37" s="510">
        <f>SUMIF(111:111,E37,112:112)-SUMIF(111:111,C37,112:112)+100</f>
        <v>100</v>
      </c>
      <c r="G37" s="569" t="s">
        <v>3406</v>
      </c>
      <c r="H37" s="510">
        <f>SUMIF(111:111,G37,112:112)-SUMIF(111:111,C37,112:112)+100</f>
        <v>100</v>
      </c>
      <c r="I37" s="569" t="s">
        <v>3406</v>
      </c>
      <c r="J37" s="510">
        <f>SUMIF(111:111,I37,112:112)-SUMIF(111:111,C37,112:112)+100</f>
        <v>100</v>
      </c>
      <c r="K37" s="554"/>
      <c r="L37" s="1865"/>
      <c r="M37" s="1857"/>
      <c r="N37" s="1857"/>
      <c r="O37" s="1864"/>
      <c r="P37" s="3935"/>
      <c r="Q37" s="3665" t="str">
        <f t="shared" ref="Q37:Q42" si="13">B37</f>
        <v>宗地形状</v>
      </c>
      <c r="R37" s="1386" t="s">
        <v>5</v>
      </c>
      <c r="S37" s="1387">
        <f t="shared" si="9"/>
        <v>100</v>
      </c>
      <c r="T37" s="1386" t="s">
        <v>5</v>
      </c>
      <c r="U37" s="1387">
        <f t="shared" si="10"/>
        <v>100</v>
      </c>
      <c r="V37" s="1386" t="s">
        <v>5</v>
      </c>
      <c r="W37" s="1387">
        <f t="shared" si="11"/>
        <v>100</v>
      </c>
      <c r="X37" s="3667"/>
      <c r="Y37" s="3935"/>
      <c r="Z37" s="3666" t="str">
        <f t="shared" si="12"/>
        <v>宗地形状</v>
      </c>
      <c r="AA37" s="3668">
        <f t="shared" si="3"/>
        <v>1</v>
      </c>
      <c r="AB37" s="3668">
        <f t="shared" si="4"/>
        <v>1</v>
      </c>
      <c r="AC37" s="3668">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5"/>
      <c r="Q38" s="3665" t="str">
        <f t="shared" si="13"/>
        <v>宗地开发程度</v>
      </c>
      <c r="R38" s="1381" t="s">
        <v>5</v>
      </c>
      <c r="S38" s="1382">
        <f t="shared" si="9"/>
        <v>100</v>
      </c>
      <c r="T38" s="1381" t="s">
        <v>5</v>
      </c>
      <c r="U38" s="1382">
        <f t="shared" si="10"/>
        <v>100</v>
      </c>
      <c r="V38" s="1381" t="s">
        <v>5</v>
      </c>
      <c r="W38" s="1382">
        <f t="shared" si="11"/>
        <v>100</v>
      </c>
      <c r="X38" s="1383"/>
      <c r="Y38" s="3935"/>
      <c r="Z38" s="3663"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5" t="s">
        <v>499</v>
      </c>
      <c r="Q39" s="3665" t="str">
        <f t="shared" si="13"/>
        <v>工程地质条件</v>
      </c>
      <c r="R39" s="1386" t="s">
        <v>5</v>
      </c>
      <c r="S39" s="1387">
        <f t="shared" si="9"/>
        <v>100</v>
      </c>
      <c r="T39" s="1386" t="s">
        <v>5</v>
      </c>
      <c r="U39" s="1387">
        <f t="shared" si="10"/>
        <v>100</v>
      </c>
      <c r="V39" s="1386" t="s">
        <v>5</v>
      </c>
      <c r="W39" s="1387">
        <f t="shared" si="11"/>
        <v>100</v>
      </c>
      <c r="X39" s="3667"/>
      <c r="Y39" s="3935" t="s">
        <v>499</v>
      </c>
      <c r="Z39" s="3666" t="str">
        <f t="shared" si="12"/>
        <v>工程地质条件</v>
      </c>
      <c r="AA39" s="3668">
        <f t="shared" si="3"/>
        <v>1</v>
      </c>
      <c r="AB39" s="3668">
        <f t="shared" si="4"/>
        <v>1</v>
      </c>
      <c r="AC39" s="366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5"/>
      <c r="Q40" s="3665">
        <f t="shared" si="13"/>
        <v>111</v>
      </c>
      <c r="R40" s="1386" t="s">
        <v>5</v>
      </c>
      <c r="S40" s="1387">
        <f t="shared" si="9"/>
        <v>100</v>
      </c>
      <c r="T40" s="1386" t="s">
        <v>5</v>
      </c>
      <c r="U40" s="1387">
        <f t="shared" si="10"/>
        <v>100</v>
      </c>
      <c r="V40" s="1386" t="s">
        <v>5</v>
      </c>
      <c r="W40" s="1387">
        <f t="shared" si="11"/>
        <v>100</v>
      </c>
      <c r="X40" s="3667"/>
      <c r="Y40" s="3935"/>
      <c r="Z40" s="3666">
        <f t="shared" si="12"/>
        <v>111</v>
      </c>
      <c r="AA40" s="3668">
        <f t="shared" si="3"/>
        <v>1</v>
      </c>
      <c r="AB40" s="3668">
        <f t="shared" si="4"/>
        <v>1</v>
      </c>
      <c r="AC40" s="366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5"/>
      <c r="Q41" s="3665">
        <f t="shared" si="13"/>
        <v>111</v>
      </c>
      <c r="R41" s="1386" t="s">
        <v>5</v>
      </c>
      <c r="S41" s="1387">
        <f t="shared" si="9"/>
        <v>100</v>
      </c>
      <c r="T41" s="1386" t="s">
        <v>5</v>
      </c>
      <c r="U41" s="1387">
        <f t="shared" si="10"/>
        <v>100</v>
      </c>
      <c r="V41" s="1386" t="s">
        <v>5</v>
      </c>
      <c r="W41" s="1387">
        <f t="shared" si="11"/>
        <v>100</v>
      </c>
      <c r="X41" s="3667"/>
      <c r="Y41" s="3935"/>
      <c r="Z41" s="3666">
        <f t="shared" si="12"/>
        <v>111</v>
      </c>
      <c r="AA41" s="3668">
        <f t="shared" si="3"/>
        <v>1</v>
      </c>
      <c r="AB41" s="3668">
        <f t="shared" si="4"/>
        <v>1</v>
      </c>
      <c r="AC41" s="3668">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5"/>
      <c r="Q42" s="3665">
        <f t="shared" si="13"/>
        <v>111</v>
      </c>
      <c r="R42" s="1390" t="s">
        <v>5</v>
      </c>
      <c r="S42" s="1391">
        <f t="shared" si="9"/>
        <v>100</v>
      </c>
      <c r="T42" s="1390" t="s">
        <v>5</v>
      </c>
      <c r="U42" s="1391">
        <f t="shared" si="10"/>
        <v>100</v>
      </c>
      <c r="V42" s="1390" t="s">
        <v>5</v>
      </c>
      <c r="W42" s="1391">
        <f t="shared" si="11"/>
        <v>100</v>
      </c>
      <c r="X42" s="1392"/>
      <c r="Y42" s="3935"/>
      <c r="Z42" s="1393">
        <f t="shared" si="12"/>
        <v>111</v>
      </c>
      <c r="AA42" s="3668">
        <f t="shared" si="3"/>
        <v>1</v>
      </c>
      <c r="AB42" s="3668">
        <f t="shared" si="4"/>
        <v>1</v>
      </c>
      <c r="AC42" s="3668">
        <f t="shared" si="5"/>
        <v>1</v>
      </c>
    </row>
    <row r="43" spans="1:29" ht="14.4">
      <c r="A43" s="577" t="s">
        <v>505</v>
      </c>
      <c r="B43" s="578" t="s">
        <v>2197</v>
      </c>
      <c r="C43" s="579" t="s">
        <v>0</v>
      </c>
      <c r="D43" s="580"/>
      <c r="E43" s="581">
        <f>成本案例!J3</f>
        <v>2838.7</v>
      </c>
      <c r="F43" s="582"/>
      <c r="G43" s="583">
        <f>成本案例!J4</f>
        <v>2453.6</v>
      </c>
      <c r="H43" s="584"/>
      <c r="I43" s="581">
        <f>成本案例!J6</f>
        <v>1589.9</v>
      </c>
      <c r="J43" s="584"/>
      <c r="K43" s="1201"/>
      <c r="L43" s="1867"/>
      <c r="M43" s="1857"/>
      <c r="N43" s="1857"/>
      <c r="O43" s="1868"/>
      <c r="P43" s="3899" t="str">
        <f>A43</f>
        <v>成交单价</v>
      </c>
      <c r="Q43" s="3899"/>
      <c r="R43" s="3900">
        <f>E43</f>
        <v>2838.7</v>
      </c>
      <c r="S43" s="3900"/>
      <c r="T43" s="3900">
        <f>G43</f>
        <v>2453.6</v>
      </c>
      <c r="U43" s="3900"/>
      <c r="V43" s="3900">
        <f>I43</f>
        <v>1589.9</v>
      </c>
      <c r="W43" s="3900"/>
      <c r="X43" s="1375"/>
      <c r="Y43" s="1394"/>
      <c r="Z43" s="1375"/>
      <c r="AA43" s="1375"/>
      <c r="AB43" s="1375"/>
      <c r="AC43" s="1375"/>
    </row>
    <row r="44" spans="1:29" ht="15" thickBot="1">
      <c r="A44" s="585" t="s">
        <v>1975</v>
      </c>
      <c r="B44" s="586"/>
      <c r="C44" s="587">
        <f>R45</f>
        <v>2448</v>
      </c>
      <c r="D44" s="2757" t="s">
        <v>2261</v>
      </c>
      <c r="E44" s="587">
        <f>R44</f>
        <v>3042</v>
      </c>
      <c r="F44" s="2758"/>
      <c r="G44" s="588">
        <f>T44</f>
        <v>2582</v>
      </c>
      <c r="H44" s="2758"/>
      <c r="I44" s="587">
        <f>V44</f>
        <v>1721</v>
      </c>
      <c r="J44" s="2758"/>
      <c r="K44" s="2759">
        <f>F44+H44+J44</f>
        <v>0</v>
      </c>
      <c r="L44" s="1867"/>
      <c r="M44" s="1857"/>
      <c r="N44" s="1857"/>
      <c r="O44" s="1868"/>
      <c r="P44" s="3899" t="str">
        <f>A44</f>
        <v>比较价格（元/平方米）</v>
      </c>
      <c r="Q44" s="3899"/>
      <c r="R44" s="3901">
        <f>ROUND(PRODUCT(R43,AA9:AA42),0)</f>
        <v>3042</v>
      </c>
      <c r="S44" s="3901"/>
      <c r="T44" s="3901">
        <f>ROUND(PRODUCT(T43,AB9:AB42),0)</f>
        <v>2582</v>
      </c>
      <c r="U44" s="3901"/>
      <c r="V44" s="3901">
        <f>ROUND(PRODUCT(V43,AC9:AC42),0)</f>
        <v>1721</v>
      </c>
      <c r="W44" s="3901"/>
      <c r="X44" s="1375"/>
      <c r="Y44" s="1375"/>
      <c r="Z44" s="1375"/>
      <c r="AA44" s="1375"/>
      <c r="AB44" s="1375"/>
      <c r="AC44" s="1375"/>
    </row>
    <row r="45" spans="1:29" ht="15" thickBot="1">
      <c r="A45" s="589" t="s">
        <v>2198</v>
      </c>
      <c r="B45" s="590"/>
      <c r="C45" s="591">
        <f>R45</f>
        <v>2448</v>
      </c>
      <c r="D45" s="591"/>
      <c r="E45" s="591"/>
      <c r="F45" s="591"/>
      <c r="G45" s="591"/>
      <c r="H45" s="591"/>
      <c r="I45" s="591"/>
      <c r="J45" s="591"/>
      <c r="K45" s="1202"/>
      <c r="L45" s="1867"/>
      <c r="M45" s="1857"/>
      <c r="N45" s="1857"/>
      <c r="O45" s="1868"/>
      <c r="P45" s="3936" t="str">
        <f>A45</f>
        <v>估价对象XX用房的比较价格（楼面单价，元/平方米）</v>
      </c>
      <c r="Q45" s="3937"/>
      <c r="R45" s="3949">
        <f>ROUND(IF(D44="简单平均",AVERAGE(R44:W44),R44*F44+T44*H44+V44*J44),0)</f>
        <v>2448</v>
      </c>
      <c r="S45" s="3949"/>
      <c r="T45" s="3949"/>
      <c r="U45" s="3949"/>
      <c r="V45" s="3949"/>
      <c r="W45" s="3949"/>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7.1617289604396506E-2</v>
      </c>
      <c r="F48" s="595" t="str">
        <f>IF(OR(E48&gt;=0.3,E48&lt;=-0.3),"超过30%","")</f>
        <v/>
      </c>
      <c r="G48" s="594">
        <f>IF(G43&lt;G44,G44/G43-1,G43/G44-1)</f>
        <v>5.2331268340397807E-2</v>
      </c>
      <c r="H48" s="595" t="str">
        <f>IF(OR(G48&gt;=0.3,G48&lt;=-0.3),"超过30%","")</f>
        <v/>
      </c>
      <c r="I48" s="594">
        <f>IF(I43&lt;I44,I44/I43-1,I43/I44-1)</f>
        <v>8.2458016227435538E-2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0.17815646785437655</v>
      </c>
      <c r="F49" s="595" t="str">
        <f>IF(OR(E49&gt;=0.2,E49&lt;=-0.2),"超过20%","")</f>
        <v/>
      </c>
      <c r="G49" s="594">
        <f>IF(G44&lt;I44,I44/G44-1,G44/I44-1)</f>
        <v>0.50029052876234736</v>
      </c>
      <c r="H49" s="595" t="str">
        <f>IF(OR(G49&gt;=0.2,G49&lt;=-0.2),"超过20%","")</f>
        <v>超过20%</v>
      </c>
      <c r="I49" s="594">
        <f>IF(I44&lt;E44,E44/I44-1,I44/E44-1)</f>
        <v>0.76757699012202218</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45" t="s">
        <v>1642</v>
      </c>
      <c r="H52" s="3946"/>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2448</v>
      </c>
      <c r="C53" s="603">
        <v>1</v>
      </c>
      <c r="D53" s="1947">
        <v>1</v>
      </c>
      <c r="E53" s="603">
        <f>'数据-汇总表'!E8+'数据-汇总表'!E9</f>
        <v>370379.14</v>
      </c>
      <c r="F53" s="1706">
        <f t="shared" ref="F53:F61" si="14">ROUND(B53*E53/10000,0)</f>
        <v>90669</v>
      </c>
      <c r="G53" s="3947"/>
      <c r="H53" s="3948"/>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370379.14</v>
      </c>
      <c r="F62" s="612">
        <f>IF(B43="楼面地价",SUM(F53:F61),ROUND(C45*E62/10000,0))</f>
        <v>90669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81"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6"/>
      <c r="AB67" s="1746"/>
      <c r="AC67" s="1746"/>
    </row>
    <row r="68" spans="1:29" s="1118" customFormat="1" ht="15" thickBot="1">
      <c r="A68" s="621" t="s">
        <v>523</v>
      </c>
      <c r="B68" s="622"/>
      <c r="C68" s="3710">
        <v>0.61</v>
      </c>
      <c r="D68" s="3716">
        <v>0.43</v>
      </c>
      <c r="E68" s="3717">
        <v>0.71</v>
      </c>
      <c r="F68" s="3717">
        <v>0.5</v>
      </c>
      <c r="G68" s="3717">
        <v>0.53</v>
      </c>
      <c r="H68" s="3717">
        <v>0.63</v>
      </c>
      <c r="I68" s="3717">
        <v>1.08</v>
      </c>
      <c r="J68" s="3717">
        <v>0.64</v>
      </c>
      <c r="K68" s="3717">
        <v>0.55000000000000004</v>
      </c>
      <c r="L68" s="3717">
        <v>0.48</v>
      </c>
      <c r="M68" s="3717">
        <v>1.01</v>
      </c>
      <c r="N68" s="3717">
        <v>0.36</v>
      </c>
      <c r="O68" s="3717">
        <v>2.69</v>
      </c>
      <c r="P68" s="3718"/>
      <c r="Q68" s="3718"/>
      <c r="R68" s="3719"/>
      <c r="S68" s="3719"/>
      <c r="T68" s="3719"/>
      <c r="U68" s="3719"/>
      <c r="V68" s="3719"/>
      <c r="W68" s="3719"/>
      <c r="X68" s="3719"/>
      <c r="Y68" s="3719"/>
      <c r="Z68" s="3719"/>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99</v>
      </c>
      <c r="E93" s="647">
        <f>D93-$K25</f>
        <v>98</v>
      </c>
      <c r="F93" s="647">
        <f>E93-$K25</f>
        <v>97</v>
      </c>
      <c r="G93" s="647">
        <f>F93-$K25</f>
        <v>96</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705" t="s">
        <v>3405</v>
      </c>
      <c r="D100" s="3705" t="s">
        <v>3357</v>
      </c>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f>C109+100000</f>
        <v>100000</v>
      </c>
      <c r="E109" s="698">
        <f t="shared" ref="E109:M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 t="shared" si="27"/>
        <v>1000000</v>
      </c>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v>95</v>
      </c>
      <c r="I110" s="694">
        <v>94</v>
      </c>
      <c r="J110" s="694">
        <v>93</v>
      </c>
      <c r="K110" s="694">
        <v>92</v>
      </c>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opLeftCell="D1" workbookViewId="0">
      <selection activeCell="E17" sqref="E17"/>
    </sheetView>
  </sheetViews>
  <sheetFormatPr defaultColWidth="9" defaultRowHeight="14.4"/>
  <cols>
    <col min="1" max="1" width="9" style="3280"/>
    <col min="2" max="2" width="40.77734375" style="3280" customWidth="1"/>
    <col min="3" max="3" width="9" style="3691"/>
    <col min="4" max="8" width="9" style="3280"/>
    <col min="9" max="9" width="11.33203125" style="3280" bestFit="1" customWidth="1"/>
    <col min="10" max="16384" width="9" style="3280"/>
  </cols>
  <sheetData>
    <row r="1" spans="1:16">
      <c r="A1" s="4034" t="s">
        <v>3268</v>
      </c>
      <c r="B1" s="4034" t="s">
        <v>2146</v>
      </c>
      <c r="C1" s="4034" t="s">
        <v>3269</v>
      </c>
      <c r="D1" s="3669" t="s">
        <v>3270</v>
      </c>
      <c r="E1" s="3670"/>
      <c r="F1" s="4035" t="s">
        <v>3271</v>
      </c>
      <c r="G1" s="4035"/>
      <c r="H1" s="4036" t="s">
        <v>3272</v>
      </c>
      <c r="I1" s="4034" t="s">
        <v>3273</v>
      </c>
      <c r="J1" s="4033" t="s">
        <v>3274</v>
      </c>
      <c r="K1" s="4033" t="s">
        <v>3275</v>
      </c>
    </row>
    <row r="2" spans="1:16" s="3673" customFormat="1" ht="86.4">
      <c r="A2" s="4034"/>
      <c r="B2" s="4034"/>
      <c r="C2" s="4034"/>
      <c r="D2" s="3671" t="str">
        <f>[4]顺义土地案例!K2</f>
        <v>总用地面积（公顷）</v>
      </c>
      <c r="E2" s="3671" t="str">
        <f>[4]顺义土地案例!O2</f>
        <v>建设用地面积（公顷）</v>
      </c>
      <c r="F2" s="3672" t="str">
        <f>[4]顺义土地案例!R2</f>
        <v>征地补偿及相关税费</v>
      </c>
      <c r="G2" s="3672" t="str">
        <f>[4]顺义土地案例!S2</f>
        <v>收购补偿费、房屋征收（拆迁）补偿费及相关费用</v>
      </c>
      <c r="H2" s="4037"/>
      <c r="I2" s="4034"/>
      <c r="J2" s="4033"/>
      <c r="K2" s="4033"/>
    </row>
    <row r="3" spans="1:16" s="3678" customFormat="1">
      <c r="A3" s="3674">
        <v>1</v>
      </c>
      <c r="B3" s="3674" t="str">
        <f>[4]顺义土地案例!F14</f>
        <v xml:space="preserve">顺义区国展预留地剩余地块 土地一级开发项目 </v>
      </c>
      <c r="C3" s="3675" t="s">
        <v>3276</v>
      </c>
      <c r="D3" s="3674">
        <f>[4]顺义土地案例!K14</f>
        <v>12.9</v>
      </c>
      <c r="E3" s="3674">
        <f>[4]顺义土地案例!O14</f>
        <v>10.44</v>
      </c>
      <c r="F3" s="3674">
        <f>[4]顺义土地案例!R14</f>
        <v>5061.88</v>
      </c>
      <c r="G3" s="3674">
        <f>[4]顺义土地案例!S14</f>
        <v>31557.84</v>
      </c>
      <c r="H3" s="3676">
        <f>[4]顺义土地案例!AD14</f>
        <v>0</v>
      </c>
      <c r="I3" s="3711">
        <v>44105</v>
      </c>
      <c r="J3" s="3677">
        <f>ROUND((F3+G3)/D3,1)</f>
        <v>2838.7</v>
      </c>
      <c r="K3" s="3677">
        <f>ROUND(J3*P24*P23*P22*P21*P20*P19*P18*P17*P16*P15*P14,1)</f>
        <v>3041.4</v>
      </c>
    </row>
    <row r="4" spans="1:16" s="3678" customFormat="1">
      <c r="A4" s="3674">
        <v>2</v>
      </c>
      <c r="B4" s="3674" t="str">
        <f>[4]顺义土地案例!F20</f>
        <v>顺义区仁和镇平各庄村B 地块土地一级开发项目</v>
      </c>
      <c r="C4" s="3675" t="s">
        <v>3277</v>
      </c>
      <c r="D4" s="3674">
        <f>[4]顺义土地案例!K20</f>
        <v>36.15</v>
      </c>
      <c r="E4" s="3674">
        <f>[4]顺义土地案例!O20</f>
        <v>16.55</v>
      </c>
      <c r="F4" s="3674">
        <f>[4]顺义土地案例!R20</f>
        <v>41086.400000000001</v>
      </c>
      <c r="G4" s="3674">
        <f>[4]顺义土地案例!S20</f>
        <v>47612.92</v>
      </c>
      <c r="H4" s="3676">
        <f>[4]顺义土地案例!AD20</f>
        <v>0.13029387526745143</v>
      </c>
      <c r="I4" s="3711">
        <v>44652</v>
      </c>
      <c r="J4" s="3677">
        <f>ROUND((F4+G4)/D4,1)</f>
        <v>2453.6</v>
      </c>
      <c r="K4" s="3677">
        <f>ROUND(J4*P15*P18*P17*P16*P14,1)</f>
        <v>2523.1</v>
      </c>
    </row>
    <row r="5" spans="1:16" s="3683" customFormat="1">
      <c r="A5" s="3679">
        <v>3</v>
      </c>
      <c r="B5" s="3679" t="str">
        <f>[4]顺义土地案例!F9</f>
        <v>顺义区M15号线顺西路-府前街站土地一级开发项目</v>
      </c>
      <c r="C5" s="3680" t="s">
        <v>3278</v>
      </c>
      <c r="D5" s="3679">
        <f>[4]顺义土地案例!K9</f>
        <v>151.51</v>
      </c>
      <c r="E5" s="3679">
        <f>[4]顺义土地案例!O9</f>
        <v>103.45</v>
      </c>
      <c r="F5" s="3679">
        <f>[4]顺义土地案例!R9</f>
        <v>78200.91</v>
      </c>
      <c r="G5" s="3679">
        <f>[4]顺义土地案例!S9</f>
        <v>971721.13</v>
      </c>
      <c r="H5" s="3681">
        <f>[4]顺义土地案例!AD9</f>
        <v>0.16022459096076208</v>
      </c>
      <c r="I5" s="3712">
        <v>44713</v>
      </c>
      <c r="J5" s="3682">
        <f>ROUND((F5+G5)/D5,1)</f>
        <v>6929.7</v>
      </c>
      <c r="K5" s="3682">
        <f>ROUND(J5*P15*P18*P17*P16*P14,1)</f>
        <v>7125.9</v>
      </c>
    </row>
    <row r="6" spans="1:16" s="3688" customFormat="1">
      <c r="A6" s="3684">
        <v>4</v>
      </c>
      <c r="B6" s="3684" t="str">
        <f>[4]顺义土地案例!F17</f>
        <v>顺义区M15号线后沙峪站ABC地块</v>
      </c>
      <c r="C6" s="3685" t="s">
        <v>3277</v>
      </c>
      <c r="D6" s="3684">
        <f>[4]顺义土地案例!K17</f>
        <v>84.72</v>
      </c>
      <c r="E6" s="3684">
        <f>[4]顺义土地案例!O17</f>
        <v>44.73</v>
      </c>
      <c r="F6" s="3684">
        <f>[4]顺义土地案例!R17</f>
        <v>36436.78</v>
      </c>
      <c r="G6" s="3684">
        <f>[4]顺义土地案例!S17</f>
        <v>98258.5</v>
      </c>
      <c r="H6" s="3686">
        <f>[4]顺义土地案例!AD17</f>
        <v>0.18007912877011065</v>
      </c>
      <c r="I6" s="3713">
        <v>44986</v>
      </c>
      <c r="J6" s="3687">
        <f>ROUND((F6+G6)/D6,1)</f>
        <v>1589.9</v>
      </c>
      <c r="K6" s="3687">
        <f>ROUND(J6*P15*P14,1)</f>
        <v>1608.1</v>
      </c>
    </row>
    <row r="7" spans="1:16" s="3683" customFormat="1">
      <c r="A7" s="3679">
        <v>5</v>
      </c>
      <c r="B7" s="3679" t="str">
        <f>[4]顺义土地案例!F16</f>
        <v>顺义区后沙峪镇后沙峪村A地块</v>
      </c>
      <c r="C7" s="3680" t="s">
        <v>3276</v>
      </c>
      <c r="D7" s="3679">
        <f>[4]顺义土地案例!K16</f>
        <v>29.09</v>
      </c>
      <c r="E7" s="3679">
        <f>[4]顺义土地案例!O16</f>
        <v>21.819299999999998</v>
      </c>
      <c r="F7" s="3679">
        <f>[4]顺义土地案例!R16</f>
        <v>12773.36</v>
      </c>
      <c r="G7" s="3679">
        <f>[4]顺义土地案例!S16</f>
        <v>207435.6</v>
      </c>
      <c r="H7" s="3681">
        <f>[4]顺义土地案例!AD16</f>
        <v>0.17435965912139925</v>
      </c>
      <c r="I7" s="3712">
        <v>44986</v>
      </c>
      <c r="J7" s="3682">
        <f>ROUND((F7+G7)/D7,1)</f>
        <v>7569.9</v>
      </c>
      <c r="K7" s="3682">
        <f>ROUND(J7*P15*P14,1)</f>
        <v>7656.4</v>
      </c>
    </row>
    <row r="8" spans="1:16">
      <c r="A8" s="3670">
        <v>6</v>
      </c>
      <c r="B8" s="3670" t="str">
        <f>[4]顺义土地案例!F3</f>
        <v xml:space="preserve">北京天竺综合保税区保税功能二区工业用地项目
</v>
      </c>
      <c r="C8" s="3689" t="s">
        <v>3279</v>
      </c>
      <c r="D8" s="3670">
        <f>[4]顺义土地案例!K3</f>
        <v>177.34</v>
      </c>
      <c r="E8" s="3670">
        <f>[4]顺义土地案例!O3</f>
        <v>78.44</v>
      </c>
      <c r="F8" s="3670">
        <f>[4]顺义土地案例!R3</f>
        <v>28969.83</v>
      </c>
      <c r="G8" s="3670">
        <f>[4]顺义土地案例!S3</f>
        <v>98344.44</v>
      </c>
      <c r="H8" s="3690">
        <f>[4]顺义土地案例!AD3</f>
        <v>0.21245034300755861</v>
      </c>
      <c r="I8" s="3714">
        <v>44866</v>
      </c>
      <c r="J8" s="3691">
        <f t="shared" ref="J8:J12" si="0">ROUND((F8+G8)/D8,1)</f>
        <v>717.9</v>
      </c>
      <c r="K8" s="3691">
        <f>ROUND(J8*P15*P16*P14,1)</f>
        <v>729.7</v>
      </c>
    </row>
    <row r="9" spans="1:16">
      <c r="A9" s="3670">
        <v>7</v>
      </c>
      <c r="B9" s="3670" t="str">
        <f>[4]顺义土地案例!F4</f>
        <v xml:space="preserve">中关村临空国际高新技术产业基地工业用地
</v>
      </c>
      <c r="C9" s="3689" t="s">
        <v>3277</v>
      </c>
      <c r="D9" s="3670">
        <f>[4]顺义土地案例!K4</f>
        <v>113.57</v>
      </c>
      <c r="E9" s="3670">
        <f>[4]顺义土地案例!O4</f>
        <v>83.53</v>
      </c>
      <c r="F9" s="3670">
        <f>[4]顺义土地案例!R4</f>
        <v>23802.01</v>
      </c>
      <c r="G9" s="3670">
        <f>[4]顺义土地案例!S4</f>
        <v>50480.46</v>
      </c>
      <c r="H9" s="3690">
        <f>[4]顺义土地案例!AD4</f>
        <v>0.12997069134445727</v>
      </c>
      <c r="I9" s="3714">
        <v>44621</v>
      </c>
      <c r="J9" s="3691">
        <f t="shared" si="0"/>
        <v>654.1</v>
      </c>
      <c r="K9" s="3691">
        <f>ROUND(J9*P19*P15*P18*P17*P16*P14,1)</f>
        <v>679.9</v>
      </c>
    </row>
    <row r="10" spans="1:16">
      <c r="A10" s="3670">
        <v>8</v>
      </c>
      <c r="B10" s="3670" t="str">
        <f>[4]顺义土地案例!F5</f>
        <v xml:space="preserve">北京市顺义区空港木林高端制造业基地一期工业用地项目
</v>
      </c>
      <c r="C10" s="3689" t="s">
        <v>3277</v>
      </c>
      <c r="D10" s="3670">
        <f>[4]顺义土地案例!K5</f>
        <v>17.36</v>
      </c>
      <c r="E10" s="3670">
        <f>[4]顺义土地案例!O5</f>
        <v>13.09</v>
      </c>
      <c r="F10" s="3670">
        <f>[4]顺义土地案例!R5</f>
        <v>3173.01</v>
      </c>
      <c r="G10" s="3670">
        <f>[4]顺义土地案例!S5</f>
        <v>644.98</v>
      </c>
      <c r="H10" s="3690">
        <f>[4]顺义土地案例!AD5</f>
        <v>0.23078699879459832</v>
      </c>
      <c r="I10" s="3714">
        <v>44562</v>
      </c>
      <c r="J10" s="3691">
        <f t="shared" si="0"/>
        <v>219.9</v>
      </c>
      <c r="K10" s="3691">
        <f>ROUND(J10*P19*P15*P18*P17*P16*P14,1)</f>
        <v>228.6</v>
      </c>
    </row>
    <row r="11" spans="1:16">
      <c r="A11" s="3670">
        <v>9</v>
      </c>
      <c r="B11" s="3670" t="str">
        <f>[4]顺义土地案例!F6</f>
        <v>顺义新城30街区控规范围内剩余工业用地土地一级开发项目（30-27-02地块）</v>
      </c>
      <c r="C11" s="3689" t="s">
        <v>3277</v>
      </c>
      <c r="D11" s="3670">
        <f>[4]顺义土地案例!K6</f>
        <v>56.75</v>
      </c>
      <c r="E11" s="3670">
        <f>[4]顺义土地案例!O6</f>
        <v>38.92</v>
      </c>
      <c r="F11" s="3670">
        <f>[4]顺义土地案例!R6</f>
        <v>11601.87</v>
      </c>
      <c r="G11" s="3670">
        <f>[4]顺义土地案例!S6</f>
        <v>4320.93</v>
      </c>
      <c r="H11" s="3690">
        <f>[4]顺义土地案例!AD6</f>
        <v>2.9173718916180459E-2</v>
      </c>
      <c r="I11" s="3714">
        <v>44621</v>
      </c>
      <c r="J11" s="3691">
        <f t="shared" si="0"/>
        <v>280.60000000000002</v>
      </c>
      <c r="K11" s="3691">
        <f>ROUND(J11*P14*P16*P19*P18*P17*P15,1)</f>
        <v>291.7</v>
      </c>
    </row>
    <row r="12" spans="1:16">
      <c r="A12" s="3670">
        <v>10</v>
      </c>
      <c r="B12" s="3670" t="str">
        <f>[4]顺义土地案例!F18</f>
        <v>顺义区薛大人庄村剩余1、2号地块</v>
      </c>
      <c r="C12" s="3689" t="s">
        <v>3277</v>
      </c>
      <c r="D12" s="3670">
        <f>[4]顺义土地案例!K18</f>
        <v>24.25</v>
      </c>
      <c r="E12" s="3670">
        <f>[4]顺义土地案例!O18</f>
        <v>7.26</v>
      </c>
      <c r="F12" s="3670">
        <f>[4]顺义土地案例!R18</f>
        <v>3879.88</v>
      </c>
      <c r="G12" s="3670">
        <f>[4]顺义土地案例!S18</f>
        <v>20568.54</v>
      </c>
      <c r="H12" s="3690">
        <f>[4]顺义土地案例!AD18</f>
        <v>1.2334725731683311E-2</v>
      </c>
      <c r="I12" s="3714">
        <v>44621</v>
      </c>
      <c r="J12" s="3691">
        <f t="shared" si="0"/>
        <v>1008.2</v>
      </c>
      <c r="K12" s="3691">
        <f>ROUND(J12*P15*P17*P14*P19*P18*P16,1)</f>
        <v>1047.9000000000001</v>
      </c>
    </row>
    <row r="13" spans="1:16">
      <c r="C13" s="3692"/>
      <c r="N13" s="3343" t="s">
        <v>3280</v>
      </c>
      <c r="O13" s="3403">
        <v>0</v>
      </c>
    </row>
    <row r="14" spans="1:16">
      <c r="N14" s="3343" t="s">
        <v>3281</v>
      </c>
      <c r="O14" s="3403">
        <f>'[4]地价-分区'!H6</f>
        <v>0.43</v>
      </c>
      <c r="P14" s="3280">
        <f>O14/100+1</f>
        <v>1.0043</v>
      </c>
    </row>
    <row r="15" spans="1:16">
      <c r="N15" s="3344" t="s">
        <v>3259</v>
      </c>
      <c r="O15" s="3407">
        <v>0.71</v>
      </c>
      <c r="P15" s="3280">
        <f>O15/100+1</f>
        <v>1.0071000000000001</v>
      </c>
    </row>
    <row r="16" spans="1:16">
      <c r="N16" s="3343" t="s">
        <v>2450</v>
      </c>
      <c r="O16" s="3409">
        <v>0.5</v>
      </c>
      <c r="P16" s="3280">
        <f t="shared" ref="P16:P24" si="1">O16/100+1</f>
        <v>1.0049999999999999</v>
      </c>
    </row>
    <row r="17" spans="1:16">
      <c r="J17" s="3683">
        <f>ROUND(AVERAGE(J3:J7),1)</f>
        <v>4276.3999999999996</v>
      </c>
      <c r="K17" s="3693">
        <f>ROUND(AVERAGE(K3:K7),2)</f>
        <v>4390.9799999999996</v>
      </c>
      <c r="N17" s="3343" t="s">
        <v>2449</v>
      </c>
      <c r="O17" s="3409">
        <v>0.53</v>
      </c>
      <c r="P17" s="3280">
        <f t="shared" si="1"/>
        <v>1.0053000000000001</v>
      </c>
    </row>
    <row r="18" spans="1:16">
      <c r="A18" s="3670"/>
      <c r="B18" s="3669" t="s">
        <v>3282</v>
      </c>
      <c r="C18" s="3689" t="s">
        <v>3283</v>
      </c>
      <c r="N18" s="3343" t="s">
        <v>2448</v>
      </c>
      <c r="O18" s="3409">
        <v>0.63</v>
      </c>
      <c r="P18" s="3280">
        <f t="shared" si="1"/>
        <v>1.0063</v>
      </c>
    </row>
    <row r="19" spans="1:16">
      <c r="A19" s="3669" t="s">
        <v>3284</v>
      </c>
      <c r="B19" s="3670">
        <f>J3</f>
        <v>2838.7</v>
      </c>
      <c r="C19" s="3690">
        <f>K3</f>
        <v>3041.4</v>
      </c>
      <c r="N19" s="3343" t="s">
        <v>2447</v>
      </c>
      <c r="O19" s="3409">
        <v>1.08</v>
      </c>
      <c r="P19" s="3280">
        <f t="shared" si="1"/>
        <v>1.0107999999999999</v>
      </c>
    </row>
    <row r="20" spans="1:16">
      <c r="A20" s="3669" t="s">
        <v>3285</v>
      </c>
      <c r="B20" s="3670">
        <f t="shared" ref="B20:C23" si="2">J4</f>
        <v>2453.6</v>
      </c>
      <c r="C20" s="3690">
        <f t="shared" si="2"/>
        <v>2523.1</v>
      </c>
      <c r="N20" s="3343" t="s">
        <v>2446</v>
      </c>
      <c r="O20" s="3409">
        <v>0.64</v>
      </c>
      <c r="P20" s="3280">
        <f t="shared" si="1"/>
        <v>1.0064</v>
      </c>
    </row>
    <row r="21" spans="1:16">
      <c r="A21" s="3669" t="s">
        <v>3286</v>
      </c>
      <c r="B21" s="3670">
        <f t="shared" si="2"/>
        <v>6929.7</v>
      </c>
      <c r="C21" s="3690">
        <f t="shared" si="2"/>
        <v>7125.9</v>
      </c>
      <c r="N21" s="3343" t="s">
        <v>2295</v>
      </c>
      <c r="O21" s="3409">
        <v>0.55000000000000004</v>
      </c>
      <c r="P21" s="3280">
        <f t="shared" si="1"/>
        <v>1.0055000000000001</v>
      </c>
    </row>
    <row r="22" spans="1:16">
      <c r="A22" s="3669" t="s">
        <v>3287</v>
      </c>
      <c r="B22" s="3670">
        <f t="shared" si="2"/>
        <v>1589.9</v>
      </c>
      <c r="C22" s="3690">
        <f t="shared" si="2"/>
        <v>1608.1</v>
      </c>
      <c r="N22" s="3343" t="s">
        <v>2294</v>
      </c>
      <c r="O22" s="3409">
        <v>0.48</v>
      </c>
      <c r="P22" s="3280">
        <f t="shared" si="1"/>
        <v>1.0047999999999999</v>
      </c>
    </row>
    <row r="23" spans="1:16">
      <c r="A23" s="3669" t="s">
        <v>3288</v>
      </c>
      <c r="B23" s="3670">
        <f t="shared" si="2"/>
        <v>7569.9</v>
      </c>
      <c r="C23" s="3690">
        <f t="shared" si="2"/>
        <v>7656.4</v>
      </c>
      <c r="N23" s="3343" t="s">
        <v>2293</v>
      </c>
      <c r="O23" s="3409">
        <v>1.01</v>
      </c>
      <c r="P23" s="3280">
        <f t="shared" si="1"/>
        <v>1.0101</v>
      </c>
    </row>
    <row r="24" spans="1:16" ht="15" thickBot="1">
      <c r="A24" s="3373"/>
      <c r="N24" s="3345" t="s">
        <v>2292</v>
      </c>
      <c r="O24" s="3412">
        <v>0.36</v>
      </c>
      <c r="P24" s="3280">
        <f t="shared" si="1"/>
        <v>1.0036</v>
      </c>
    </row>
    <row r="25" spans="1:16" ht="15" thickTop="1"/>
    <row r="26" spans="1:16">
      <c r="F26" s="3280">
        <v>27</v>
      </c>
      <c r="G26" s="3280">
        <f>POWER(F26,1/3)</f>
        <v>2.9999999999999996</v>
      </c>
    </row>
    <row r="27" spans="1:16">
      <c r="F27" s="3280">
        <v>0.43</v>
      </c>
      <c r="G27" s="3280">
        <f>POWER(F27,1/3)</f>
        <v>0.7547842314287575</v>
      </c>
      <c r="H27" s="3693">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905" t="s">
        <v>471</v>
      </c>
      <c r="D4" s="3906"/>
      <c r="E4" s="3941" t="s">
        <v>472</v>
      </c>
      <c r="F4" s="3942"/>
      <c r="G4" s="3905" t="s">
        <v>473</v>
      </c>
      <c r="H4" s="3906"/>
      <c r="I4" s="3905" t="s">
        <v>474</v>
      </c>
      <c r="J4" s="3906"/>
      <c r="K4" s="484" t="s">
        <v>475</v>
      </c>
      <c r="L4" s="1856"/>
      <c r="M4" s="1857"/>
      <c r="N4" s="1857"/>
      <c r="O4" s="1857"/>
      <c r="P4" s="3907" t="s">
        <v>476</v>
      </c>
      <c r="Q4" s="3908"/>
      <c r="R4" s="3913" t="s">
        <v>472</v>
      </c>
      <c r="S4" s="3914"/>
      <c r="T4" s="3913" t="s">
        <v>473</v>
      </c>
      <c r="U4" s="3914"/>
      <c r="V4" s="3900" t="s">
        <v>474</v>
      </c>
      <c r="W4" s="3900"/>
      <c r="X4" s="1380"/>
      <c r="Y4" s="3913" t="s">
        <v>476</v>
      </c>
      <c r="Z4" s="3914"/>
      <c r="AA4" s="3902" t="s">
        <v>472</v>
      </c>
      <c r="AB4" s="3903" t="s">
        <v>473</v>
      </c>
      <c r="AC4" s="3902" t="s">
        <v>474</v>
      </c>
    </row>
    <row r="5" spans="1:29">
      <c r="A5" s="485"/>
      <c r="B5" s="486"/>
      <c r="C5" s="3921" t="s">
        <v>2192</v>
      </c>
      <c r="D5" s="3922"/>
      <c r="E5" s="3943" t="str">
        <f>成本案例!B3</f>
        <v xml:space="preserve">顺义区国展预留地剩余地块 土地一级开发项目 </v>
      </c>
      <c r="F5" s="3944"/>
      <c r="G5" s="3921" t="str">
        <f>成本案例!B4</f>
        <v>顺义区仁和镇平各庄村B 地块土地一级开发项目</v>
      </c>
      <c r="H5" s="3922"/>
      <c r="I5" s="3921" t="str">
        <f>成本案例!B6</f>
        <v>顺义区M15号线后沙峪站ABC地块</v>
      </c>
      <c r="J5" s="3922"/>
      <c r="K5" s="484"/>
      <c r="L5" s="1856"/>
      <c r="M5" s="1857"/>
      <c r="N5" s="1857"/>
      <c r="O5" s="1857"/>
      <c r="P5" s="3909"/>
      <c r="Q5" s="3910"/>
      <c r="R5" s="3915"/>
      <c r="S5" s="3916"/>
      <c r="T5" s="3915"/>
      <c r="U5" s="3916"/>
      <c r="V5" s="3900"/>
      <c r="W5" s="3900"/>
      <c r="X5" s="1380"/>
      <c r="Y5" s="3915"/>
      <c r="Z5" s="3916"/>
      <c r="AA5" s="3903"/>
      <c r="AB5" s="3903"/>
      <c r="AC5" s="3903"/>
    </row>
    <row r="6" spans="1:29" ht="15" thickBot="1">
      <c r="A6" s="487"/>
      <c r="B6" s="488"/>
      <c r="C6" s="3919" t="s">
        <v>2196</v>
      </c>
      <c r="D6" s="3920"/>
      <c r="E6" s="3939" t="s">
        <v>2196</v>
      </c>
      <c r="F6" s="3940"/>
      <c r="G6" s="3919" t="s">
        <v>2196</v>
      </c>
      <c r="H6" s="3920"/>
      <c r="I6" s="3919" t="s">
        <v>2196</v>
      </c>
      <c r="J6" s="3920"/>
      <c r="K6" s="484" t="s">
        <v>477</v>
      </c>
      <c r="L6" s="1856"/>
      <c r="M6" s="1857"/>
      <c r="N6" s="1857"/>
      <c r="O6" s="1857"/>
      <c r="P6" s="3911"/>
      <c r="Q6" s="3912"/>
      <c r="R6" s="3915"/>
      <c r="S6" s="3916"/>
      <c r="T6" s="3917"/>
      <c r="U6" s="3918"/>
      <c r="V6" s="3900"/>
      <c r="W6" s="3900"/>
      <c r="X6" s="1380"/>
      <c r="Y6" s="3917"/>
      <c r="Z6" s="3918"/>
      <c r="AA6" s="3904"/>
      <c r="AB6" s="3904"/>
      <c r="AC6" s="3904"/>
    </row>
    <row r="7" spans="1:29" s="1118" customFormat="1" ht="15" thickBot="1">
      <c r="A7" s="2392"/>
      <c r="B7" s="2399" t="s">
        <v>478</v>
      </c>
      <c r="C7" s="489">
        <f>'数据-取费表'!B2</f>
        <v>45382</v>
      </c>
      <c r="D7" s="490">
        <v>100</v>
      </c>
      <c r="E7" s="491">
        <v>44105</v>
      </c>
      <c r="F7" s="492">
        <f>SUMIF(52:52,YEAR(E7)&amp;"-"&amp;MONTH(E7),53:53)</f>
        <v>0</v>
      </c>
      <c r="G7" s="491">
        <v>44652</v>
      </c>
      <c r="H7" s="490">
        <f>SUMIF(52:52,YEAR(G7)&amp;"-"&amp;MONTH(G7),53:53)</f>
        <v>0</v>
      </c>
      <c r="I7" s="491">
        <v>44986</v>
      </c>
      <c r="J7" s="490">
        <f>SUMIF(52:52,YEAR(I7)&amp;"-"&amp;MONTH(I7),53:53)</f>
        <v>0</v>
      </c>
      <c r="K7" s="494"/>
      <c r="L7" s="1858"/>
      <c r="M7" s="1859"/>
      <c r="N7" s="1859"/>
      <c r="O7" s="1859"/>
      <c r="P7" s="3929" t="s">
        <v>479</v>
      </c>
      <c r="Q7" s="3931"/>
      <c r="R7" s="1381" t="s">
        <v>5</v>
      </c>
      <c r="S7" s="1382">
        <f t="shared" ref="S7:S15" si="0">F7</f>
        <v>0</v>
      </c>
      <c r="T7" s="1381" t="s">
        <v>5</v>
      </c>
      <c r="U7" s="1382">
        <f t="shared" ref="U7:U15" si="1">H7</f>
        <v>0</v>
      </c>
      <c r="V7" s="1381" t="s">
        <v>5</v>
      </c>
      <c r="W7" s="1382">
        <f t="shared" ref="W7:W15" si="2">J7</f>
        <v>0</v>
      </c>
      <c r="X7" s="1383"/>
      <c r="Y7" s="3929" t="s">
        <v>479</v>
      </c>
      <c r="Z7" s="3930"/>
      <c r="AA7" s="1384" t="e">
        <f>D7/F7</f>
        <v>#DIV/0!</v>
      </c>
      <c r="AB7" s="1384" t="e">
        <f>D7/H7</f>
        <v>#DIV/0!</v>
      </c>
      <c r="AC7" s="1384" t="e">
        <f>D7/J7</f>
        <v>#DIV/0!</v>
      </c>
    </row>
    <row r="8" spans="1:29" s="1118" customFormat="1" ht="15" thickBot="1">
      <c r="A8" s="2393"/>
      <c r="B8" s="2400"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8"/>
      <c r="M8" s="1859"/>
      <c r="N8" s="1859"/>
      <c r="O8" s="1859"/>
      <c r="P8" s="3929" t="s">
        <v>482</v>
      </c>
      <c r="Q8" s="3930"/>
      <c r="R8" s="1381" t="s">
        <v>5</v>
      </c>
      <c r="S8" s="1382">
        <f t="shared" si="0"/>
        <v>100</v>
      </c>
      <c r="T8" s="1381" t="s">
        <v>5</v>
      </c>
      <c r="U8" s="1382">
        <f t="shared" si="1"/>
        <v>100</v>
      </c>
      <c r="V8" s="1381" t="s">
        <v>5</v>
      </c>
      <c r="W8" s="1382">
        <f t="shared" si="2"/>
        <v>100</v>
      </c>
      <c r="X8" s="1383"/>
      <c r="Y8" s="3929" t="s">
        <v>482</v>
      </c>
      <c r="Z8" s="3930"/>
      <c r="AA8" s="1384">
        <f t="shared" ref="AA8:AA40" si="3">D8/F8</f>
        <v>1</v>
      </c>
      <c r="AB8" s="1384">
        <f t="shared" ref="AB8:AB40" si="4">D8/H8</f>
        <v>1</v>
      </c>
      <c r="AC8" s="1384">
        <f t="shared" ref="AC8:AC40" si="5">D8/J8</f>
        <v>1</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9"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8.8">
      <c r="A10" s="2395"/>
      <c r="B10" s="2400" t="s">
        <v>2039</v>
      </c>
      <c r="C10" s="3659" t="s">
        <v>3402</v>
      </c>
      <c r="D10" s="246">
        <v>100</v>
      </c>
      <c r="E10" s="3659" t="s">
        <v>3402</v>
      </c>
      <c r="F10" s="246">
        <f>SUMIF(59:59,E10,60:60)-SUMIF(59:59,C10,60:60)+100</f>
        <v>100</v>
      </c>
      <c r="G10" s="3660" t="s">
        <v>3403</v>
      </c>
      <c r="H10" s="246">
        <f>SUMIF(59:59,G10,60:60)-SUMIF(59:59,C10,60:60)+100</f>
        <v>100</v>
      </c>
      <c r="I10" s="3659" t="s">
        <v>3402</v>
      </c>
      <c r="J10" s="246">
        <f>SUMIF(59:59,I10,60:60)-SUMIF(59:59,C10,60:60)+100</f>
        <v>100</v>
      </c>
      <c r="K10" s="494"/>
      <c r="L10" s="1861"/>
      <c r="M10" s="1900"/>
      <c r="N10" s="1900"/>
      <c r="O10" s="1862"/>
      <c r="P10" s="3899"/>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6"/>
      <c r="B11" s="2400"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3"/>
      <c r="M11" s="1857"/>
      <c r="N11" s="1857"/>
      <c r="O11" s="1864"/>
      <c r="P11" s="3899"/>
      <c r="Q11" s="1050" t="str">
        <f t="shared" si="6"/>
        <v>容积率</v>
      </c>
      <c r="R11" s="1381" t="s">
        <v>5</v>
      </c>
      <c r="S11" s="1382" t="e">
        <f t="shared" si="0"/>
        <v>#N/A</v>
      </c>
      <c r="T11" s="1381" t="s">
        <v>5</v>
      </c>
      <c r="U11" s="1382" t="e">
        <f t="shared" si="1"/>
        <v>#N/A</v>
      </c>
      <c r="V11" s="1381" t="s">
        <v>5</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9"/>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9"/>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9"/>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32" t="s">
        <v>489</v>
      </c>
      <c r="Q15" s="1385" t="str">
        <f t="shared" si="6"/>
        <v>产业集聚程度</v>
      </c>
      <c r="R15" s="1386" t="s">
        <v>5</v>
      </c>
      <c r="S15" s="1387">
        <f t="shared" si="0"/>
        <v>100</v>
      </c>
      <c r="T15" s="1386" t="s">
        <v>5</v>
      </c>
      <c r="U15" s="1387">
        <f t="shared" si="1"/>
        <v>100</v>
      </c>
      <c r="V15" s="1386" t="s">
        <v>5</v>
      </c>
      <c r="W15" s="1387">
        <f t="shared" si="2"/>
        <v>100</v>
      </c>
      <c r="X15" s="1380"/>
      <c r="Y15" s="393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33"/>
      <c r="Q16" s="1385"/>
      <c r="R16" s="1386"/>
      <c r="S16" s="1387"/>
      <c r="T16" s="1386"/>
      <c r="U16" s="1387"/>
      <c r="V16" s="1386"/>
      <c r="W16" s="1387"/>
      <c r="X16" s="1380"/>
      <c r="Y16" s="3933"/>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33"/>
      <c r="Q17" s="1385" t="str">
        <f>B17</f>
        <v>交通便捷度</v>
      </c>
      <c r="R17" s="1386" t="s">
        <v>5</v>
      </c>
      <c r="S17" s="1387">
        <f>F17</f>
        <v>100</v>
      </c>
      <c r="T17" s="1386" t="s">
        <v>5</v>
      </c>
      <c r="U17" s="1387">
        <f>H17</f>
        <v>100</v>
      </c>
      <c r="V17" s="1386" t="s">
        <v>5</v>
      </c>
      <c r="W17" s="1387">
        <f>J17</f>
        <v>100</v>
      </c>
      <c r="X17" s="1380"/>
      <c r="Y17" s="393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33"/>
      <c r="Q18" s="1385"/>
      <c r="R18" s="1386"/>
      <c r="S18" s="1387"/>
      <c r="T18" s="1386"/>
      <c r="U18" s="1387"/>
      <c r="V18" s="1386"/>
      <c r="W18" s="1387"/>
      <c r="X18" s="1380"/>
      <c r="Y18" s="3933"/>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33"/>
      <c r="Q19" s="1385" t="str">
        <f>B19</f>
        <v>公共配套设施</v>
      </c>
      <c r="R19" s="1386" t="s">
        <v>5</v>
      </c>
      <c r="S19" s="1387">
        <f>F19</f>
        <v>100</v>
      </c>
      <c r="T19" s="1386" t="s">
        <v>5</v>
      </c>
      <c r="U19" s="1387">
        <f>H19</f>
        <v>100</v>
      </c>
      <c r="V19" s="1386" t="s">
        <v>5</v>
      </c>
      <c r="W19" s="1387">
        <f>J19</f>
        <v>100</v>
      </c>
      <c r="X19" s="1380"/>
      <c r="Y19" s="393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33"/>
      <c r="Q20" s="1385"/>
      <c r="R20" s="1386"/>
      <c r="S20" s="1387"/>
      <c r="T20" s="1386"/>
      <c r="U20" s="1387"/>
      <c r="V20" s="1386"/>
      <c r="W20" s="1387"/>
      <c r="X20" s="1380"/>
      <c r="Y20" s="3933"/>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33"/>
      <c r="Q21" s="2193" t="str">
        <f>B21</f>
        <v>基础设施水平</v>
      </c>
      <c r="R21" s="1386" t="s">
        <v>5</v>
      </c>
      <c r="S21" s="1387">
        <f>F21</f>
        <v>100</v>
      </c>
      <c r="T21" s="1386" t="s">
        <v>5</v>
      </c>
      <c r="U21" s="1387">
        <f>H21</f>
        <v>100</v>
      </c>
      <c r="V21" s="1386" t="s">
        <v>5</v>
      </c>
      <c r="W21" s="1387">
        <f>J21</f>
        <v>100</v>
      </c>
      <c r="X21" s="2195"/>
      <c r="Y21" s="393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33"/>
      <c r="Q22" s="2193"/>
      <c r="R22" s="1386"/>
      <c r="S22" s="1387"/>
      <c r="T22" s="1386"/>
      <c r="U22" s="1387"/>
      <c r="V22" s="1386"/>
      <c r="W22" s="1387"/>
      <c r="X22" s="2195"/>
      <c r="Y22" s="3933"/>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33"/>
      <c r="Q23" s="1385" t="str">
        <f>B23</f>
        <v>环境质量</v>
      </c>
      <c r="R23" s="1386" t="s">
        <v>5</v>
      </c>
      <c r="S23" s="1387">
        <f>F23</f>
        <v>100</v>
      </c>
      <c r="T23" s="1386" t="s">
        <v>5</v>
      </c>
      <c r="U23" s="1387">
        <f>H23</f>
        <v>100</v>
      </c>
      <c r="V23" s="1386" t="s">
        <v>5</v>
      </c>
      <c r="W23" s="1387">
        <f>J23</f>
        <v>100</v>
      </c>
      <c r="X23" s="1380"/>
      <c r="Y23" s="393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33"/>
      <c r="Q24" s="1385"/>
      <c r="R24" s="1386"/>
      <c r="S24" s="1387"/>
      <c r="T24" s="1386"/>
      <c r="U24" s="1387"/>
      <c r="V24" s="1386"/>
      <c r="W24" s="1387"/>
      <c r="X24" s="1380"/>
      <c r="Y24" s="393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33"/>
      <c r="Q25" s="1385">
        <f>B25</f>
        <v>111</v>
      </c>
      <c r="R25" s="1386" t="s">
        <v>5</v>
      </c>
      <c r="S25" s="1387">
        <f>F25</f>
        <v>100</v>
      </c>
      <c r="T25" s="1386" t="s">
        <v>5</v>
      </c>
      <c r="U25" s="1387">
        <f>H25</f>
        <v>100</v>
      </c>
      <c r="V25" s="1386" t="s">
        <v>5</v>
      </c>
      <c r="W25" s="1387">
        <f>J25</f>
        <v>100</v>
      </c>
      <c r="X25" s="1380"/>
      <c r="Y25" s="393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33"/>
      <c r="Q26" s="1385">
        <f t="shared" ref="Q26:Q40" si="8">B26</f>
        <v>111</v>
      </c>
      <c r="R26" s="1386" t="s">
        <v>5</v>
      </c>
      <c r="S26" s="1387">
        <f>F26</f>
        <v>100</v>
      </c>
      <c r="T26" s="1386" t="s">
        <v>5</v>
      </c>
      <c r="U26" s="1387">
        <f>H26</f>
        <v>100</v>
      </c>
      <c r="V26" s="1386" t="s">
        <v>5</v>
      </c>
      <c r="W26" s="1387">
        <f>J26</f>
        <v>100</v>
      </c>
      <c r="X26" s="1380"/>
      <c r="Y26" s="393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33"/>
      <c r="Q27" s="1050">
        <f t="shared" si="8"/>
        <v>111</v>
      </c>
      <c r="R27" s="1381" t="s">
        <v>5</v>
      </c>
      <c r="S27" s="1382">
        <f>F27</f>
        <v>100</v>
      </c>
      <c r="T27" s="1381" t="s">
        <v>5</v>
      </c>
      <c r="U27" s="1382">
        <f>H27</f>
        <v>100</v>
      </c>
      <c r="V27" s="1381" t="s">
        <v>5</v>
      </c>
      <c r="W27" s="1382">
        <f>J27</f>
        <v>100</v>
      </c>
      <c r="X27" s="1383"/>
      <c r="Y27" s="3933"/>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33"/>
      <c r="Q28" s="1385">
        <f t="shared" si="8"/>
        <v>111</v>
      </c>
      <c r="R28" s="1386" t="s">
        <v>5</v>
      </c>
      <c r="S28" s="1387">
        <f t="shared" ref="S28:S40" si="9">F28</f>
        <v>100</v>
      </c>
      <c r="T28" s="1386" t="s">
        <v>5</v>
      </c>
      <c r="U28" s="1387">
        <f t="shared" ref="U28:U40" si="10">H28</f>
        <v>100</v>
      </c>
      <c r="V28" s="1386" t="s">
        <v>5</v>
      </c>
      <c r="W28" s="1387">
        <f t="shared" ref="W28:W40" si="11">J28</f>
        <v>100</v>
      </c>
      <c r="X28" s="1380"/>
      <c r="Y28" s="393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34" t="s">
        <v>499</v>
      </c>
      <c r="Q29" s="1385" t="str">
        <f t="shared" si="8"/>
        <v>建筑类型</v>
      </c>
      <c r="R29" s="1386" t="s">
        <v>5</v>
      </c>
      <c r="S29" s="1387">
        <f t="shared" si="9"/>
        <v>100</v>
      </c>
      <c r="T29" s="1386" t="s">
        <v>5</v>
      </c>
      <c r="U29" s="1387">
        <f t="shared" si="10"/>
        <v>100</v>
      </c>
      <c r="V29" s="1386" t="s">
        <v>5</v>
      </c>
      <c r="W29" s="1387">
        <f t="shared" si="11"/>
        <v>100</v>
      </c>
      <c r="X29" s="1380"/>
      <c r="Y29" s="393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35"/>
      <c r="Q30" s="1414" t="str">
        <f t="shared" si="8"/>
        <v>项目建筑规模</v>
      </c>
      <c r="R30" s="1390" t="s">
        <v>5</v>
      </c>
      <c r="S30" s="1391" t="e">
        <f t="shared" si="9"/>
        <v>#N/A</v>
      </c>
      <c r="T30" s="1390" t="s">
        <v>5</v>
      </c>
      <c r="U30" s="1391" t="e">
        <f t="shared" si="10"/>
        <v>#N/A</v>
      </c>
      <c r="V30" s="1390" t="s">
        <v>5</v>
      </c>
      <c r="W30" s="1391" t="e">
        <f t="shared" si="11"/>
        <v>#N/A</v>
      </c>
      <c r="X30" s="1392"/>
      <c r="Y30" s="393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35"/>
      <c r="Q31" s="1385" t="str">
        <f t="shared" si="8"/>
        <v>建筑结构</v>
      </c>
      <c r="R31" s="1386" t="s">
        <v>5</v>
      </c>
      <c r="S31" s="1387">
        <f t="shared" si="9"/>
        <v>100</v>
      </c>
      <c r="T31" s="1386" t="s">
        <v>5</v>
      </c>
      <c r="U31" s="1387">
        <f t="shared" si="10"/>
        <v>100</v>
      </c>
      <c r="V31" s="1386" t="s">
        <v>5</v>
      </c>
      <c r="W31" s="1387">
        <f t="shared" si="11"/>
        <v>100</v>
      </c>
      <c r="X31" s="1380"/>
      <c r="Y31" s="393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35"/>
      <c r="Q32" s="1385" t="str">
        <f t="shared" si="8"/>
        <v>公共部分装修</v>
      </c>
      <c r="R32" s="1386" t="s">
        <v>5</v>
      </c>
      <c r="S32" s="1387">
        <f t="shared" si="9"/>
        <v>100</v>
      </c>
      <c r="T32" s="1386" t="s">
        <v>5</v>
      </c>
      <c r="U32" s="1387">
        <f t="shared" si="10"/>
        <v>100</v>
      </c>
      <c r="V32" s="1386" t="s">
        <v>5</v>
      </c>
      <c r="W32" s="1387">
        <f t="shared" si="11"/>
        <v>100</v>
      </c>
      <c r="X32" s="1380"/>
      <c r="Y32" s="393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35"/>
      <c r="Q33" s="1385" t="str">
        <f t="shared" si="8"/>
        <v>成新度</v>
      </c>
      <c r="R33" s="1386" t="s">
        <v>5</v>
      </c>
      <c r="S33" s="1387" t="e">
        <f t="shared" si="9"/>
        <v>#N/A</v>
      </c>
      <c r="T33" s="1386" t="s">
        <v>5</v>
      </c>
      <c r="U33" s="1387" t="e">
        <f t="shared" si="10"/>
        <v>#N/A</v>
      </c>
      <c r="V33" s="1386" t="s">
        <v>5</v>
      </c>
      <c r="W33" s="1387" t="e">
        <f t="shared" si="11"/>
        <v>#N/A</v>
      </c>
      <c r="X33" s="1380"/>
      <c r="Y33" s="393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35"/>
      <c r="Q34" s="1050" t="str">
        <f t="shared" si="8"/>
        <v>物业管理</v>
      </c>
      <c r="R34" s="1381" t="s">
        <v>5</v>
      </c>
      <c r="S34" s="1382">
        <f t="shared" si="9"/>
        <v>100</v>
      </c>
      <c r="T34" s="1381" t="s">
        <v>5</v>
      </c>
      <c r="U34" s="1382">
        <f t="shared" si="10"/>
        <v>100</v>
      </c>
      <c r="V34" s="1381" t="s">
        <v>5</v>
      </c>
      <c r="W34" s="1382">
        <f t="shared" si="11"/>
        <v>100</v>
      </c>
      <c r="X34" s="1383"/>
      <c r="Y34" s="393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35" t="s">
        <v>499</v>
      </c>
      <c r="Q35" s="1385" t="str">
        <f t="shared" si="8"/>
        <v>市政基础设施</v>
      </c>
      <c r="R35" s="1386" t="s">
        <v>5</v>
      </c>
      <c r="S35" s="1387">
        <f t="shared" si="9"/>
        <v>100</v>
      </c>
      <c r="T35" s="1386" t="s">
        <v>5</v>
      </c>
      <c r="U35" s="1387">
        <f t="shared" si="10"/>
        <v>100</v>
      </c>
      <c r="V35" s="1386" t="s">
        <v>5</v>
      </c>
      <c r="W35" s="1387">
        <f t="shared" si="11"/>
        <v>100</v>
      </c>
      <c r="X35" s="1380"/>
      <c r="Y35" s="393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35"/>
      <c r="Q36" s="1385" t="str">
        <f t="shared" si="8"/>
        <v>内部装修</v>
      </c>
      <c r="R36" s="1386" t="s">
        <v>5</v>
      </c>
      <c r="S36" s="1387">
        <f t="shared" si="9"/>
        <v>100</v>
      </c>
      <c r="T36" s="1386" t="s">
        <v>5</v>
      </c>
      <c r="U36" s="1387">
        <f t="shared" si="10"/>
        <v>100</v>
      </c>
      <c r="V36" s="1386" t="s">
        <v>5</v>
      </c>
      <c r="W36" s="1387">
        <f t="shared" si="11"/>
        <v>100</v>
      </c>
      <c r="X36" s="1380"/>
      <c r="Y36" s="393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35"/>
      <c r="Q37" s="1385" t="str">
        <f t="shared" si="8"/>
        <v>内部装修状况</v>
      </c>
      <c r="R37" s="1386" t="s">
        <v>5</v>
      </c>
      <c r="S37" s="1387">
        <f t="shared" si="9"/>
        <v>100</v>
      </c>
      <c r="T37" s="1386" t="s">
        <v>5</v>
      </c>
      <c r="U37" s="1387">
        <f t="shared" si="10"/>
        <v>100</v>
      </c>
      <c r="V37" s="1386" t="s">
        <v>5</v>
      </c>
      <c r="W37" s="1387">
        <f t="shared" si="11"/>
        <v>100</v>
      </c>
      <c r="X37" s="1380"/>
      <c r="Y37" s="393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35"/>
      <c r="Q38" s="1414">
        <f t="shared" si="8"/>
        <v>111</v>
      </c>
      <c r="R38" s="1390" t="s">
        <v>5</v>
      </c>
      <c r="S38" s="1391">
        <f t="shared" si="9"/>
        <v>100</v>
      </c>
      <c r="T38" s="1390" t="s">
        <v>5</v>
      </c>
      <c r="U38" s="1391">
        <f t="shared" si="10"/>
        <v>100</v>
      </c>
      <c r="V38" s="1390" t="s">
        <v>5</v>
      </c>
      <c r="W38" s="1391">
        <f t="shared" si="11"/>
        <v>100</v>
      </c>
      <c r="X38" s="1392"/>
      <c r="Y38" s="393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35"/>
      <c r="Q39" s="1385">
        <f t="shared" si="8"/>
        <v>111</v>
      </c>
      <c r="R39" s="1386" t="s">
        <v>5</v>
      </c>
      <c r="S39" s="1387">
        <f t="shared" si="9"/>
        <v>100</v>
      </c>
      <c r="T39" s="1386" t="s">
        <v>5</v>
      </c>
      <c r="U39" s="1387">
        <f t="shared" si="10"/>
        <v>100</v>
      </c>
      <c r="V39" s="1386" t="s">
        <v>5</v>
      </c>
      <c r="W39" s="1387">
        <f t="shared" si="11"/>
        <v>100</v>
      </c>
      <c r="X39" s="1380"/>
      <c r="Y39" s="3935"/>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8"/>
      <c r="Q40" s="1385">
        <f t="shared" si="8"/>
        <v>111</v>
      </c>
      <c r="R40" s="1386" t="s">
        <v>5</v>
      </c>
      <c r="S40" s="1387">
        <f t="shared" si="9"/>
        <v>100</v>
      </c>
      <c r="T40" s="1386" t="s">
        <v>5</v>
      </c>
      <c r="U40" s="1387">
        <f t="shared" si="10"/>
        <v>100</v>
      </c>
      <c r="V40" s="1386" t="s">
        <v>5</v>
      </c>
      <c r="W40" s="1387">
        <f t="shared" si="11"/>
        <v>100</v>
      </c>
      <c r="X40" s="1380"/>
      <c r="Y40" s="4028"/>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99" t="str">
        <f>A41</f>
        <v>成交单价（元/平方米）</v>
      </c>
      <c r="Q41" s="3899"/>
      <c r="R41" s="4027">
        <f>E41</f>
        <v>0</v>
      </c>
      <c r="S41" s="4027"/>
      <c r="T41" s="4027">
        <f>G41</f>
        <v>0</v>
      </c>
      <c r="U41" s="4027"/>
      <c r="V41" s="4027">
        <f>I41</f>
        <v>0</v>
      </c>
      <c r="W41" s="4027"/>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99" t="str">
        <f>A42</f>
        <v>比较价格（元/平方米）</v>
      </c>
      <c r="Q42" s="3899"/>
      <c r="R42" s="4027" t="e">
        <f>IF(F1="售价",ROUND(PRODUCT(R41,AA7:AA40),0),ROUND(PRODUCT(R41,AA7:AA40),1))</f>
        <v>#DIV/0!</v>
      </c>
      <c r="S42" s="4027"/>
      <c r="T42" s="4027" t="e">
        <f>IF(F1="售价",ROUND(PRODUCT(T41,AB7:AB40),0),ROUND(PRODUCT(T41,AB7:AB40),1))</f>
        <v>#DIV/0!</v>
      </c>
      <c r="U42" s="4027"/>
      <c r="V42" s="4027" t="e">
        <f>IF(F1="售价",ROUND(PRODUCT(V41,AC7:AC40),0),ROUND(PRODUCT(V41,AC7:AC40),1))</f>
        <v>#DIV/0!</v>
      </c>
      <c r="W42" s="4027"/>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36" t="str">
        <f>A43</f>
        <v>估价对象XX用房的比较价格（楼面单价，元/平方米）</v>
      </c>
      <c r="Q43" s="3937"/>
      <c r="R43" s="4026" t="e">
        <f>IF(F1="售价",ROUND(IF(D42="简单平均",AVERAGE(R42:V42),R42*F42+T42*H42+V42*J42),0),ROUND(IF(D42="简单平均",AVERAGE(R42:V42),R42*F42+T42*H42+V42*J42),1))</f>
        <v>#DIV/0!</v>
      </c>
      <c r="S43" s="4026"/>
      <c r="T43" s="4026"/>
      <c r="U43" s="4026"/>
      <c r="V43" s="4026"/>
      <c r="W43" s="4026"/>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3708" t="e">
        <f>ROUND(C53/(1+D54/100)/(1+C54/100),2)</f>
        <v>#REF!</v>
      </c>
      <c r="E53" s="3708" t="e">
        <f>ROUND(D53/(1+E54/100),2)</f>
        <v>#REF!</v>
      </c>
      <c r="F53" s="3708" t="e">
        <f t="shared" ref="F53:N53" si="14">ROUND(E53/(1+F54/100),2)</f>
        <v>#REF!</v>
      </c>
      <c r="G53" s="3708" t="e">
        <f t="shared" si="14"/>
        <v>#REF!</v>
      </c>
      <c r="H53" s="3708" t="e">
        <f t="shared" si="14"/>
        <v>#REF!</v>
      </c>
      <c r="I53" s="3708" t="e">
        <f t="shared" si="14"/>
        <v>#REF!</v>
      </c>
      <c r="J53" s="3708" t="e">
        <f t="shared" si="14"/>
        <v>#REF!</v>
      </c>
      <c r="K53" s="3708" t="e">
        <f t="shared" si="14"/>
        <v>#REF!</v>
      </c>
      <c r="L53" s="3708" t="e">
        <f t="shared" si="14"/>
        <v>#REF!</v>
      </c>
      <c r="M53" s="3708" t="e">
        <f t="shared" si="14"/>
        <v>#REF!</v>
      </c>
      <c r="N53" s="3708" t="e">
        <f t="shared" si="14"/>
        <v>#REF!</v>
      </c>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3709" t="e">
        <f>'[5]地价-分区'!#REF!</f>
        <v>#REF!</v>
      </c>
      <c r="E54" s="3709" t="e">
        <f>'[5]地价-分区'!#REF!</f>
        <v>#REF!</v>
      </c>
      <c r="F54" s="3709" t="e">
        <f>'[5]地价-分区'!#REF!</f>
        <v>#REF!</v>
      </c>
      <c r="G54" s="3709" t="e">
        <f>'[5]地价-分区'!#REF!</f>
        <v>#REF!</v>
      </c>
      <c r="H54" s="3709" t="e">
        <f>'[5]地价-分区'!#REF!</f>
        <v>#REF!</v>
      </c>
      <c r="I54" s="3709" t="e">
        <f>'[5]地价-分区'!#REF!</f>
        <v>#REF!</v>
      </c>
      <c r="J54" s="3709" t="e">
        <f>'[5]地价-分区'!#REF!</f>
        <v>#REF!</v>
      </c>
      <c r="K54" s="3709" t="e">
        <f>'[5]地价-分区'!#REF!</f>
        <v>#REF!</v>
      </c>
      <c r="L54" s="3709" t="e">
        <f>'[5]地价-分区'!H1</f>
        <v>#REF!</v>
      </c>
      <c r="M54" s="3709" t="e">
        <f>'[5]地价-分区'!H2</f>
        <v>#REF!</v>
      </c>
      <c r="N54" s="3709">
        <v>2.69</v>
      </c>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5" t="s">
        <v>738</v>
      </c>
      <c r="D4" s="3906"/>
      <c r="E4" s="3905" t="s">
        <v>739</v>
      </c>
      <c r="F4" s="3906"/>
      <c r="G4" s="3905" t="s">
        <v>740</v>
      </c>
      <c r="H4" s="3906"/>
      <c r="I4" s="3905" t="s">
        <v>741</v>
      </c>
      <c r="J4" s="3906"/>
      <c r="K4" s="484" t="s">
        <v>742</v>
      </c>
      <c r="L4" s="1856"/>
      <c r="M4" s="1857"/>
      <c r="N4" s="1857"/>
      <c r="O4" s="1857"/>
      <c r="P4" s="3907" t="s">
        <v>743</v>
      </c>
      <c r="Q4" s="3908"/>
      <c r="R4" s="3913" t="s">
        <v>739</v>
      </c>
      <c r="S4" s="3914"/>
      <c r="T4" s="3913" t="s">
        <v>740</v>
      </c>
      <c r="U4" s="3914"/>
      <c r="V4" s="3900" t="s">
        <v>741</v>
      </c>
      <c r="W4" s="3900"/>
      <c r="X4" s="1380"/>
      <c r="Y4" s="3913" t="s">
        <v>743</v>
      </c>
      <c r="Z4" s="3914"/>
      <c r="AA4" s="3902" t="s">
        <v>739</v>
      </c>
      <c r="AB4" s="3903" t="s">
        <v>740</v>
      </c>
      <c r="AC4" s="3902" t="s">
        <v>741</v>
      </c>
    </row>
    <row r="5" spans="1:29">
      <c r="A5" s="485"/>
      <c r="B5" s="486"/>
      <c r="C5" s="3921" t="s">
        <v>2192</v>
      </c>
      <c r="D5" s="3922"/>
      <c r="E5" s="3921" t="s">
        <v>2193</v>
      </c>
      <c r="F5" s="3922"/>
      <c r="G5" s="3921" t="s">
        <v>2194</v>
      </c>
      <c r="H5" s="3922"/>
      <c r="I5" s="3921" t="s">
        <v>2195</v>
      </c>
      <c r="J5" s="3922"/>
      <c r="K5" s="484"/>
      <c r="L5" s="1856"/>
      <c r="M5" s="1857"/>
      <c r="N5" s="1857"/>
      <c r="O5" s="1857"/>
      <c r="P5" s="3909"/>
      <c r="Q5" s="3910"/>
      <c r="R5" s="3915"/>
      <c r="S5" s="3916"/>
      <c r="T5" s="3915"/>
      <c r="U5" s="3916"/>
      <c r="V5" s="3900"/>
      <c r="W5" s="3900"/>
      <c r="X5" s="1380"/>
      <c r="Y5" s="3915"/>
      <c r="Z5" s="3916"/>
      <c r="AA5" s="3903"/>
      <c r="AB5" s="3903"/>
      <c r="AC5" s="3903"/>
    </row>
    <row r="6" spans="1:29" ht="15" thickBot="1">
      <c r="A6" s="487"/>
      <c r="B6" s="488"/>
      <c r="C6" s="3919" t="s">
        <v>2196</v>
      </c>
      <c r="D6" s="3920"/>
      <c r="E6" s="3923" t="s">
        <v>2196</v>
      </c>
      <c r="F6" s="3924"/>
      <c r="G6" s="3919" t="s">
        <v>2196</v>
      </c>
      <c r="H6" s="3920"/>
      <c r="I6" s="3919" t="s">
        <v>2196</v>
      </c>
      <c r="J6" s="3920"/>
      <c r="K6" s="484" t="s">
        <v>477</v>
      </c>
      <c r="L6" s="1856"/>
      <c r="M6" s="1857"/>
      <c r="N6" s="1857"/>
      <c r="O6" s="1857"/>
      <c r="P6" s="3911"/>
      <c r="Q6" s="3912"/>
      <c r="R6" s="3915"/>
      <c r="S6" s="3916"/>
      <c r="T6" s="3917"/>
      <c r="U6" s="3918"/>
      <c r="V6" s="3900"/>
      <c r="W6" s="3900"/>
      <c r="X6" s="1380"/>
      <c r="Y6" s="3917"/>
      <c r="Z6" s="3918"/>
      <c r="AA6" s="3904"/>
      <c r="AB6" s="3904"/>
      <c r="AC6" s="3904"/>
    </row>
    <row r="7" spans="1:29" s="1118" customFormat="1" ht="1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29" t="s">
        <v>479</v>
      </c>
      <c r="Q7" s="3931"/>
      <c r="R7" s="1381" t="s">
        <v>5</v>
      </c>
      <c r="S7" s="1382">
        <f t="shared" ref="S7:S14" si="0">F7</f>
        <v>0</v>
      </c>
      <c r="T7" s="1381" t="s">
        <v>5</v>
      </c>
      <c r="U7" s="1382">
        <f t="shared" ref="U7:U14" si="1">H7</f>
        <v>0</v>
      </c>
      <c r="V7" s="1381" t="s">
        <v>5</v>
      </c>
      <c r="W7" s="1382">
        <f t="shared" ref="W7:W14" si="2">J7</f>
        <v>0</v>
      </c>
      <c r="X7" s="1383"/>
      <c r="Y7" s="3929" t="s">
        <v>479</v>
      </c>
      <c r="Z7" s="3930"/>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29" t="s">
        <v>482</v>
      </c>
      <c r="Q8" s="3930"/>
      <c r="R8" s="1381" t="s">
        <v>5</v>
      </c>
      <c r="S8" s="1382">
        <f t="shared" si="0"/>
        <v>0</v>
      </c>
      <c r="T8" s="1381" t="s">
        <v>5</v>
      </c>
      <c r="U8" s="1382">
        <f t="shared" si="1"/>
        <v>0</v>
      </c>
      <c r="V8" s="1381" t="s">
        <v>5</v>
      </c>
      <c r="W8" s="1382">
        <f t="shared" si="2"/>
        <v>0</v>
      </c>
      <c r="X8" s="1383"/>
      <c r="Y8" s="3929" t="s">
        <v>482</v>
      </c>
      <c r="Z8" s="3930"/>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9" t="s">
        <v>484</v>
      </c>
      <c r="Q9" s="1050" t="str">
        <f t="shared" ref="Q9:Q14" si="6">B9</f>
        <v>用途</v>
      </c>
      <c r="R9" s="1381" t="s">
        <v>5</v>
      </c>
      <c r="S9" s="1382">
        <f t="shared" si="0"/>
        <v>100</v>
      </c>
      <c r="T9" s="1381" t="s">
        <v>5</v>
      </c>
      <c r="U9" s="1382">
        <f t="shared" si="1"/>
        <v>100</v>
      </c>
      <c r="V9" s="1381" t="s">
        <v>5</v>
      </c>
      <c r="W9" s="1382">
        <f t="shared" si="2"/>
        <v>100</v>
      </c>
      <c r="X9" s="1383"/>
      <c r="Y9" s="3843"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99"/>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9"/>
      <c r="Q11" s="1050">
        <f t="shared" si="6"/>
        <v>111</v>
      </c>
      <c r="R11" s="1381" t="s">
        <v>5</v>
      </c>
      <c r="S11" s="1382">
        <f t="shared" si="0"/>
        <v>100</v>
      </c>
      <c r="T11" s="1381" t="s">
        <v>5</v>
      </c>
      <c r="U11" s="1382">
        <f t="shared" si="1"/>
        <v>100</v>
      </c>
      <c r="V11" s="1381" t="s">
        <v>5</v>
      </c>
      <c r="W11" s="1382">
        <f t="shared" si="2"/>
        <v>100</v>
      </c>
      <c r="X11" s="1383"/>
      <c r="Y11" s="384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9"/>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9"/>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32" t="s">
        <v>489</v>
      </c>
      <c r="Q14" s="1385" t="str">
        <f t="shared" si="6"/>
        <v>交通便捷度</v>
      </c>
      <c r="R14" s="1386" t="s">
        <v>5</v>
      </c>
      <c r="S14" s="1387">
        <f t="shared" si="0"/>
        <v>100</v>
      </c>
      <c r="T14" s="1386" t="s">
        <v>5</v>
      </c>
      <c r="U14" s="1387">
        <f t="shared" si="1"/>
        <v>100</v>
      </c>
      <c r="V14" s="1386" t="s">
        <v>5</v>
      </c>
      <c r="W14" s="1387">
        <f t="shared" si="2"/>
        <v>100</v>
      </c>
      <c r="X14" s="1380"/>
      <c r="Y14" s="393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33"/>
      <c r="Q15" s="1385"/>
      <c r="R15" s="1386"/>
      <c r="S15" s="1387"/>
      <c r="T15" s="1386"/>
      <c r="U15" s="1387"/>
      <c r="V15" s="1386"/>
      <c r="W15" s="1387"/>
      <c r="X15" s="1380"/>
      <c r="Y15" s="3933"/>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33"/>
      <c r="Q16" s="1385" t="str">
        <f>B16</f>
        <v>公共配套设施</v>
      </c>
      <c r="R16" s="1386" t="s">
        <v>5</v>
      </c>
      <c r="S16" s="1387">
        <f>F16</f>
        <v>100</v>
      </c>
      <c r="T16" s="1386" t="s">
        <v>5</v>
      </c>
      <c r="U16" s="1387">
        <f>H16</f>
        <v>100</v>
      </c>
      <c r="V16" s="1386" t="s">
        <v>5</v>
      </c>
      <c r="W16" s="1387">
        <f>J16</f>
        <v>100</v>
      </c>
      <c r="X16" s="1380"/>
      <c r="Y16" s="393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33"/>
      <c r="Q17" s="1385"/>
      <c r="R17" s="1386"/>
      <c r="S17" s="1387"/>
      <c r="T17" s="1386"/>
      <c r="U17" s="1387"/>
      <c r="V17" s="1386"/>
      <c r="W17" s="1387"/>
      <c r="X17" s="1380"/>
      <c r="Y17" s="3933"/>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33"/>
      <c r="Q18" s="2193" t="str">
        <f>B18</f>
        <v>基础设施水平</v>
      </c>
      <c r="R18" s="1386" t="s">
        <v>5</v>
      </c>
      <c r="S18" s="1387">
        <f>F18</f>
        <v>100</v>
      </c>
      <c r="T18" s="1386" t="s">
        <v>5</v>
      </c>
      <c r="U18" s="1387">
        <f>H18</f>
        <v>100</v>
      </c>
      <c r="V18" s="1386" t="s">
        <v>5</v>
      </c>
      <c r="W18" s="1387">
        <f>J18</f>
        <v>100</v>
      </c>
      <c r="X18" s="2195"/>
      <c r="Y18" s="393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33"/>
      <c r="Q19" s="2193"/>
      <c r="R19" s="1386"/>
      <c r="S19" s="1387"/>
      <c r="T19" s="1386"/>
      <c r="U19" s="1387"/>
      <c r="V19" s="1386"/>
      <c r="W19" s="1387"/>
      <c r="X19" s="2195"/>
      <c r="Y19" s="3933"/>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33"/>
      <c r="Q20" s="1385" t="str">
        <f>B20</f>
        <v>自然及人文环境</v>
      </c>
      <c r="R20" s="1386" t="s">
        <v>5</v>
      </c>
      <c r="S20" s="1387">
        <f>F20</f>
        <v>100</v>
      </c>
      <c r="T20" s="1386" t="s">
        <v>5</v>
      </c>
      <c r="U20" s="1387">
        <f>H20</f>
        <v>100</v>
      </c>
      <c r="V20" s="1386" t="s">
        <v>5</v>
      </c>
      <c r="W20" s="1387">
        <f>J20</f>
        <v>100</v>
      </c>
      <c r="X20" s="1380"/>
      <c r="Y20" s="393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33"/>
      <c r="Q21" s="1385"/>
      <c r="R21" s="1386"/>
      <c r="S21" s="1387"/>
      <c r="T21" s="1386"/>
      <c r="U21" s="1387"/>
      <c r="V21" s="1386"/>
      <c r="W21" s="1387"/>
      <c r="X21" s="1380"/>
      <c r="Y21" s="393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33"/>
      <c r="Q22" s="1385" t="str">
        <f>B22</f>
        <v>楼层</v>
      </c>
      <c r="R22" s="1386" t="s">
        <v>5</v>
      </c>
      <c r="S22" s="1387">
        <f>F22</f>
        <v>100</v>
      </c>
      <c r="T22" s="1386" t="s">
        <v>5</v>
      </c>
      <c r="U22" s="1387">
        <f>H22</f>
        <v>100</v>
      </c>
      <c r="V22" s="1386" t="s">
        <v>5</v>
      </c>
      <c r="W22" s="1387">
        <f>J22</f>
        <v>100</v>
      </c>
      <c r="X22" s="1380"/>
      <c r="Y22" s="393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33"/>
      <c r="Q23" s="1385">
        <f>B23</f>
        <v>111</v>
      </c>
      <c r="R23" s="1386" t="s">
        <v>5</v>
      </c>
      <c r="S23" s="1387">
        <f>F23</f>
        <v>100</v>
      </c>
      <c r="T23" s="1386" t="s">
        <v>5</v>
      </c>
      <c r="U23" s="1387">
        <f>H23</f>
        <v>100</v>
      </c>
      <c r="V23" s="1386" t="s">
        <v>5</v>
      </c>
      <c r="W23" s="1387">
        <f>J23</f>
        <v>100</v>
      </c>
      <c r="X23" s="1380"/>
      <c r="Y23" s="393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33"/>
      <c r="Q24" s="1385">
        <f t="shared" ref="Q24:Q36" si="8">B24</f>
        <v>111</v>
      </c>
      <c r="R24" s="1386" t="s">
        <v>5</v>
      </c>
      <c r="S24" s="1387">
        <f>F24</f>
        <v>100</v>
      </c>
      <c r="T24" s="1386" t="s">
        <v>5</v>
      </c>
      <c r="U24" s="1387">
        <f>H24</f>
        <v>100</v>
      </c>
      <c r="V24" s="1386" t="s">
        <v>5</v>
      </c>
      <c r="W24" s="1387">
        <f>J24</f>
        <v>100</v>
      </c>
      <c r="X24" s="1380"/>
      <c r="Y24" s="3933"/>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33"/>
      <c r="Q25" s="1050">
        <f t="shared" si="8"/>
        <v>111</v>
      </c>
      <c r="R25" s="1381" t="s">
        <v>5</v>
      </c>
      <c r="S25" s="1382">
        <f>F25</f>
        <v>100</v>
      </c>
      <c r="T25" s="1381" t="s">
        <v>5</v>
      </c>
      <c r="U25" s="1382">
        <f>H25</f>
        <v>100</v>
      </c>
      <c r="V25" s="1381" t="s">
        <v>5</v>
      </c>
      <c r="W25" s="1382">
        <f>J25</f>
        <v>100</v>
      </c>
      <c r="X25" s="1383"/>
      <c r="Y25" s="393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3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35"/>
      <c r="Q27" s="1414" t="str">
        <f t="shared" si="8"/>
        <v>项目停车位配比</v>
      </c>
      <c r="R27" s="1390" t="s">
        <v>5</v>
      </c>
      <c r="S27" s="1391">
        <f t="shared" si="9"/>
        <v>100</v>
      </c>
      <c r="T27" s="1390" t="s">
        <v>5</v>
      </c>
      <c r="U27" s="1391">
        <f t="shared" si="10"/>
        <v>100</v>
      </c>
      <c r="V27" s="1390" t="s">
        <v>5</v>
      </c>
      <c r="W27" s="1391">
        <f t="shared" si="11"/>
        <v>100</v>
      </c>
      <c r="X27" s="1392"/>
      <c r="Y27" s="393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35"/>
      <c r="Q28" s="1385" t="str">
        <f t="shared" si="8"/>
        <v>公共部分装修</v>
      </c>
      <c r="R28" s="1386" t="s">
        <v>5</v>
      </c>
      <c r="S28" s="1387">
        <f t="shared" si="9"/>
        <v>100</v>
      </c>
      <c r="T28" s="1386" t="s">
        <v>5</v>
      </c>
      <c r="U28" s="1387">
        <f t="shared" si="10"/>
        <v>100</v>
      </c>
      <c r="V28" s="1386" t="s">
        <v>5</v>
      </c>
      <c r="W28" s="1387">
        <f t="shared" si="11"/>
        <v>100</v>
      </c>
      <c r="X28" s="1380"/>
      <c r="Y28" s="393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35"/>
      <c r="Q29" s="1385" t="str">
        <f t="shared" si="8"/>
        <v>成新率</v>
      </c>
      <c r="R29" s="1386" t="s">
        <v>5</v>
      </c>
      <c r="S29" s="1387" t="e">
        <f t="shared" si="9"/>
        <v>#N/A</v>
      </c>
      <c r="T29" s="1386" t="s">
        <v>5</v>
      </c>
      <c r="U29" s="1387" t="e">
        <f t="shared" si="10"/>
        <v>#N/A</v>
      </c>
      <c r="V29" s="1386" t="s">
        <v>5</v>
      </c>
      <c r="W29" s="1387" t="e">
        <f t="shared" si="11"/>
        <v>#N/A</v>
      </c>
      <c r="X29" s="1380"/>
      <c r="Y29" s="393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35"/>
      <c r="Q30" s="1385" t="str">
        <f t="shared" si="8"/>
        <v>物业等级</v>
      </c>
      <c r="R30" s="1386" t="s">
        <v>5</v>
      </c>
      <c r="S30" s="1387">
        <f t="shared" si="9"/>
        <v>100</v>
      </c>
      <c r="T30" s="1386" t="s">
        <v>5</v>
      </c>
      <c r="U30" s="1387">
        <f t="shared" si="10"/>
        <v>100</v>
      </c>
      <c r="V30" s="1386" t="s">
        <v>5</v>
      </c>
      <c r="W30" s="1387">
        <f t="shared" si="11"/>
        <v>100</v>
      </c>
      <c r="X30" s="1380"/>
      <c r="Y30" s="393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35"/>
      <c r="Q31" s="1050" t="str">
        <f t="shared" si="8"/>
        <v>停车位面积</v>
      </c>
      <c r="R31" s="1381" t="s">
        <v>5</v>
      </c>
      <c r="S31" s="1382" t="e">
        <f t="shared" si="9"/>
        <v>#N/A</v>
      </c>
      <c r="T31" s="1381" t="s">
        <v>5</v>
      </c>
      <c r="U31" s="1382" t="e">
        <f t="shared" si="10"/>
        <v>#N/A</v>
      </c>
      <c r="V31" s="1381" t="s">
        <v>5</v>
      </c>
      <c r="W31" s="1382" t="e">
        <f t="shared" si="11"/>
        <v>#N/A</v>
      </c>
      <c r="X31" s="1383"/>
      <c r="Y31" s="393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35" t="s">
        <v>499</v>
      </c>
      <c r="Q32" s="1385" t="str">
        <f t="shared" si="8"/>
        <v>车位类型</v>
      </c>
      <c r="R32" s="1386" t="s">
        <v>5</v>
      </c>
      <c r="S32" s="1387">
        <f t="shared" si="9"/>
        <v>100</v>
      </c>
      <c r="T32" s="1386" t="s">
        <v>5</v>
      </c>
      <c r="U32" s="1387">
        <f t="shared" si="10"/>
        <v>100</v>
      </c>
      <c r="V32" s="1386" t="s">
        <v>5</v>
      </c>
      <c r="W32" s="1387">
        <f t="shared" si="11"/>
        <v>100</v>
      </c>
      <c r="X32" s="1380"/>
      <c r="Y32" s="393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35"/>
      <c r="Q33" s="1385" t="str">
        <f t="shared" si="8"/>
        <v>是否直接入户</v>
      </c>
      <c r="R33" s="1386" t="s">
        <v>5</v>
      </c>
      <c r="S33" s="1387">
        <f t="shared" si="9"/>
        <v>100</v>
      </c>
      <c r="T33" s="1386" t="s">
        <v>5</v>
      </c>
      <c r="U33" s="1387">
        <f t="shared" si="10"/>
        <v>100</v>
      </c>
      <c r="V33" s="1386" t="s">
        <v>5</v>
      </c>
      <c r="W33" s="1387">
        <f t="shared" si="11"/>
        <v>100</v>
      </c>
      <c r="X33" s="1380"/>
      <c r="Y33" s="393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35"/>
      <c r="Q34" s="1385">
        <f t="shared" si="8"/>
        <v>111</v>
      </c>
      <c r="R34" s="1386" t="s">
        <v>5</v>
      </c>
      <c r="S34" s="1387">
        <f t="shared" si="9"/>
        <v>100</v>
      </c>
      <c r="T34" s="1386" t="s">
        <v>5</v>
      </c>
      <c r="U34" s="1387">
        <f t="shared" si="10"/>
        <v>100</v>
      </c>
      <c r="V34" s="1386" t="s">
        <v>5</v>
      </c>
      <c r="W34" s="1387">
        <f t="shared" si="11"/>
        <v>100</v>
      </c>
      <c r="X34" s="1380"/>
      <c r="Y34" s="393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35"/>
      <c r="Q35" s="1414">
        <f t="shared" si="8"/>
        <v>111</v>
      </c>
      <c r="R35" s="1390" t="s">
        <v>5</v>
      </c>
      <c r="S35" s="1391">
        <f t="shared" si="9"/>
        <v>100</v>
      </c>
      <c r="T35" s="1390" t="s">
        <v>5</v>
      </c>
      <c r="U35" s="1391">
        <f t="shared" si="10"/>
        <v>100</v>
      </c>
      <c r="V35" s="1390" t="s">
        <v>5</v>
      </c>
      <c r="W35" s="1391">
        <f t="shared" si="11"/>
        <v>100</v>
      </c>
      <c r="X35" s="1392"/>
      <c r="Y35" s="3935"/>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35"/>
      <c r="Q36" s="1385">
        <f t="shared" si="8"/>
        <v>111</v>
      </c>
      <c r="R36" s="1386" t="s">
        <v>5</v>
      </c>
      <c r="S36" s="1387">
        <f t="shared" si="9"/>
        <v>100</v>
      </c>
      <c r="T36" s="1386" t="s">
        <v>5</v>
      </c>
      <c r="U36" s="1387">
        <f t="shared" si="10"/>
        <v>100</v>
      </c>
      <c r="V36" s="1386" t="s">
        <v>5</v>
      </c>
      <c r="W36" s="1387">
        <f t="shared" si="11"/>
        <v>100</v>
      </c>
      <c r="X36" s="1380"/>
      <c r="Y36" s="3935"/>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99" t="str">
        <f>A37</f>
        <v>成交单价</v>
      </c>
      <c r="Q37" s="3899"/>
      <c r="R37" s="4027">
        <f>E37</f>
        <v>0</v>
      </c>
      <c r="S37" s="4027"/>
      <c r="T37" s="4027">
        <f>G37</f>
        <v>0</v>
      </c>
      <c r="U37" s="4027"/>
      <c r="V37" s="4027">
        <f>I37</f>
        <v>0</v>
      </c>
      <c r="W37" s="4027"/>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99" t="str">
        <f>A38</f>
        <v>比较价格（元/平方米）</v>
      </c>
      <c r="Q38" s="3899"/>
      <c r="R38" s="4027" t="e">
        <f>IF(F1="售价",ROUND(PRODUCT(R37,AA7:AA36),0),ROUND(PRODUCT(R37,AA7:AA36),1))</f>
        <v>#DIV/0!</v>
      </c>
      <c r="S38" s="4027"/>
      <c r="T38" s="4027" t="e">
        <f>IF(F1="售价",ROUND(PRODUCT(T37,AB7:AB36),0),ROUND(PRODUCT(T37,AB7:AB36),1))</f>
        <v>#DIV/0!</v>
      </c>
      <c r="U38" s="4027"/>
      <c r="V38" s="4027" t="e">
        <f>IF(F1="售价",ROUND(PRODUCT(V37,AC7:AC36),0),ROUND(PRODUCT(V37,AC7:AC36),1))</f>
        <v>#DIV/0!</v>
      </c>
      <c r="W38" s="4027"/>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36" t="str">
        <f>A39</f>
        <v>估价对象XX用房的比较价格（楼面单价，元/平方米）</v>
      </c>
      <c r="Q39" s="3937"/>
      <c r="R39" s="4026" t="e">
        <f>IF(F1="售价",ROUND(IF(D38="简单平均",AVERAGE(R38:W38),R38*F38+T38*H38+V38*J38),0),ROUND(IF(D38="简单平均",AVERAGE(R38:V38),R38*F38+T38*H38+V38*J38),1))</f>
        <v>#DIV/0!</v>
      </c>
      <c r="S39" s="4026"/>
      <c r="T39" s="4026"/>
      <c r="U39" s="4026"/>
      <c r="V39" s="4026"/>
      <c r="W39" s="4026"/>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5" t="s">
        <v>738</v>
      </c>
      <c r="D4" s="3906"/>
      <c r="E4" s="3941" t="s">
        <v>739</v>
      </c>
      <c r="F4" s="3942"/>
      <c r="G4" s="3905" t="s">
        <v>740</v>
      </c>
      <c r="H4" s="3906"/>
      <c r="I4" s="3905" t="s">
        <v>741</v>
      </c>
      <c r="J4" s="3906"/>
      <c r="K4" s="484" t="s">
        <v>742</v>
      </c>
      <c r="L4" s="1856"/>
      <c r="M4" s="1857"/>
      <c r="N4" s="1857"/>
      <c r="O4" s="1857"/>
      <c r="P4" s="3907" t="s">
        <v>743</v>
      </c>
      <c r="Q4" s="3908"/>
      <c r="R4" s="3913" t="s">
        <v>739</v>
      </c>
      <c r="S4" s="3914"/>
      <c r="T4" s="3913" t="s">
        <v>740</v>
      </c>
      <c r="U4" s="3914"/>
      <c r="V4" s="3900" t="s">
        <v>741</v>
      </c>
      <c r="W4" s="3900"/>
      <c r="X4" s="1380"/>
      <c r="Y4" s="3913" t="s">
        <v>743</v>
      </c>
      <c r="Z4" s="3914"/>
      <c r="AA4" s="3902" t="s">
        <v>739</v>
      </c>
      <c r="AB4" s="3903" t="s">
        <v>740</v>
      </c>
      <c r="AC4" s="3902" t="s">
        <v>741</v>
      </c>
    </row>
    <row r="5" spans="1:29">
      <c r="A5" s="485"/>
      <c r="B5" s="486"/>
      <c r="C5" s="3921" t="s">
        <v>2192</v>
      </c>
      <c r="D5" s="3922"/>
      <c r="E5" s="3943" t="s">
        <v>2193</v>
      </c>
      <c r="F5" s="3944"/>
      <c r="G5" s="3921" t="s">
        <v>2194</v>
      </c>
      <c r="H5" s="3922"/>
      <c r="I5" s="3921" t="s">
        <v>2195</v>
      </c>
      <c r="J5" s="3922"/>
      <c r="K5" s="484"/>
      <c r="L5" s="1856"/>
      <c r="M5" s="1857"/>
      <c r="N5" s="1857"/>
      <c r="O5" s="1857"/>
      <c r="P5" s="3909"/>
      <c r="Q5" s="3910"/>
      <c r="R5" s="3915"/>
      <c r="S5" s="3916"/>
      <c r="T5" s="3915"/>
      <c r="U5" s="3916"/>
      <c r="V5" s="3900"/>
      <c r="W5" s="3900"/>
      <c r="X5" s="1380"/>
      <c r="Y5" s="3915"/>
      <c r="Z5" s="3916"/>
      <c r="AA5" s="3903"/>
      <c r="AB5" s="3903"/>
      <c r="AC5" s="3903"/>
    </row>
    <row r="6" spans="1:29" ht="15" thickBot="1">
      <c r="A6" s="487"/>
      <c r="B6" s="488"/>
      <c r="C6" s="3919" t="s">
        <v>2196</v>
      </c>
      <c r="D6" s="3920"/>
      <c r="E6" s="3939" t="s">
        <v>2196</v>
      </c>
      <c r="F6" s="3940"/>
      <c r="G6" s="3919" t="s">
        <v>2196</v>
      </c>
      <c r="H6" s="3920"/>
      <c r="I6" s="3919" t="s">
        <v>2196</v>
      </c>
      <c r="J6" s="3920"/>
      <c r="K6" s="484" t="s">
        <v>477</v>
      </c>
      <c r="L6" s="1856"/>
      <c r="M6" s="1857"/>
      <c r="N6" s="1857"/>
      <c r="O6" s="1857"/>
      <c r="P6" s="3911"/>
      <c r="Q6" s="3912"/>
      <c r="R6" s="3915"/>
      <c r="S6" s="3916"/>
      <c r="T6" s="3917"/>
      <c r="U6" s="3918"/>
      <c r="V6" s="3900"/>
      <c r="W6" s="3900"/>
      <c r="X6" s="1380"/>
      <c r="Y6" s="3917"/>
      <c r="Z6" s="3918"/>
      <c r="AA6" s="3904"/>
      <c r="AB6" s="3904"/>
      <c r="AC6" s="3904"/>
    </row>
    <row r="7" spans="1:29" s="1118" customFormat="1" ht="1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9" t="s">
        <v>479</v>
      </c>
      <c r="Q7" s="3931"/>
      <c r="R7" s="1381" t="s">
        <v>5</v>
      </c>
      <c r="S7" s="1382">
        <f t="shared" ref="S7:S14" si="0">F7</f>
        <v>0</v>
      </c>
      <c r="T7" s="1381" t="s">
        <v>5</v>
      </c>
      <c r="U7" s="1382">
        <f t="shared" ref="U7:U14" si="1">H7</f>
        <v>0</v>
      </c>
      <c r="V7" s="1381" t="s">
        <v>5</v>
      </c>
      <c r="W7" s="1382">
        <f t="shared" ref="W7:W14" si="2">J7</f>
        <v>0</v>
      </c>
      <c r="X7" s="1383"/>
      <c r="Y7" s="3929" t="s">
        <v>479</v>
      </c>
      <c r="Z7" s="3930"/>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9" t="s">
        <v>482</v>
      </c>
      <c r="Q8" s="3930"/>
      <c r="R8" s="1381" t="s">
        <v>5</v>
      </c>
      <c r="S8" s="1382">
        <f t="shared" si="0"/>
        <v>0</v>
      </c>
      <c r="T8" s="1381" t="s">
        <v>5</v>
      </c>
      <c r="U8" s="1382">
        <f t="shared" si="1"/>
        <v>0</v>
      </c>
      <c r="V8" s="1381" t="s">
        <v>5</v>
      </c>
      <c r="W8" s="1382">
        <f t="shared" si="2"/>
        <v>0</v>
      </c>
      <c r="X8" s="1383"/>
      <c r="Y8" s="3929" t="s">
        <v>482</v>
      </c>
      <c r="Z8" s="3930"/>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9" t="s">
        <v>484</v>
      </c>
      <c r="Q9" s="1050" t="str">
        <f t="shared" ref="Q9:Q14" si="6">B9</f>
        <v>用途</v>
      </c>
      <c r="R9" s="1381" t="s">
        <v>5</v>
      </c>
      <c r="S9" s="1382">
        <f t="shared" si="0"/>
        <v>100</v>
      </c>
      <c r="T9" s="1381" t="s">
        <v>5</v>
      </c>
      <c r="U9" s="1382">
        <f t="shared" si="1"/>
        <v>100</v>
      </c>
      <c r="V9" s="1381" t="s">
        <v>5</v>
      </c>
      <c r="W9" s="1382">
        <f t="shared" si="2"/>
        <v>100</v>
      </c>
      <c r="X9" s="1383"/>
      <c r="Y9" s="3843"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99"/>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9"/>
      <c r="Q11" s="1050">
        <f t="shared" si="6"/>
        <v>111</v>
      </c>
      <c r="R11" s="1381" t="s">
        <v>5</v>
      </c>
      <c r="S11" s="1382">
        <f t="shared" si="0"/>
        <v>100</v>
      </c>
      <c r="T11" s="1381" t="s">
        <v>5</v>
      </c>
      <c r="U11" s="1382">
        <f t="shared" si="1"/>
        <v>100</v>
      </c>
      <c r="V11" s="1381" t="s">
        <v>5</v>
      </c>
      <c r="W11" s="1382">
        <f t="shared" si="2"/>
        <v>100</v>
      </c>
      <c r="X11" s="1383"/>
      <c r="Y11" s="384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9"/>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9"/>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32" t="s">
        <v>489</v>
      </c>
      <c r="Q14" s="1385" t="str">
        <f t="shared" si="6"/>
        <v>交通便捷度</v>
      </c>
      <c r="R14" s="1386" t="s">
        <v>5</v>
      </c>
      <c r="S14" s="1387">
        <f t="shared" si="0"/>
        <v>100</v>
      </c>
      <c r="T14" s="1386" t="s">
        <v>5</v>
      </c>
      <c r="U14" s="1387">
        <f t="shared" si="1"/>
        <v>100</v>
      </c>
      <c r="V14" s="1386" t="s">
        <v>5</v>
      </c>
      <c r="W14" s="1387">
        <f t="shared" si="2"/>
        <v>100</v>
      </c>
      <c r="X14" s="1380"/>
      <c r="Y14" s="393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33"/>
      <c r="Q15" s="1385"/>
      <c r="R15" s="1386"/>
      <c r="S15" s="1387"/>
      <c r="T15" s="1386"/>
      <c r="U15" s="1387"/>
      <c r="V15" s="1386"/>
      <c r="W15" s="1387"/>
      <c r="X15" s="1380"/>
      <c r="Y15" s="3933"/>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33"/>
      <c r="Q16" s="1385" t="str">
        <f>B16</f>
        <v>公共配套设施</v>
      </c>
      <c r="R16" s="1386" t="s">
        <v>5</v>
      </c>
      <c r="S16" s="1387">
        <f>F16</f>
        <v>100</v>
      </c>
      <c r="T16" s="1386" t="s">
        <v>5</v>
      </c>
      <c r="U16" s="1387">
        <f>H16</f>
        <v>100</v>
      </c>
      <c r="V16" s="1386" t="s">
        <v>5</v>
      </c>
      <c r="W16" s="1387">
        <f>J16</f>
        <v>100</v>
      </c>
      <c r="X16" s="1380"/>
      <c r="Y16" s="393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33"/>
      <c r="Q17" s="1385"/>
      <c r="R17" s="1386"/>
      <c r="S17" s="1387"/>
      <c r="T17" s="1386"/>
      <c r="U17" s="1387"/>
      <c r="V17" s="1386"/>
      <c r="W17" s="1387"/>
      <c r="X17" s="1380"/>
      <c r="Y17" s="3933"/>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33"/>
      <c r="Q18" s="2193" t="str">
        <f>B18</f>
        <v>基础设施水平</v>
      </c>
      <c r="R18" s="1386" t="s">
        <v>5</v>
      </c>
      <c r="S18" s="1387">
        <f>F18</f>
        <v>100</v>
      </c>
      <c r="T18" s="1386" t="s">
        <v>5</v>
      </c>
      <c r="U18" s="1387">
        <f>H18</f>
        <v>100</v>
      </c>
      <c r="V18" s="1386" t="s">
        <v>5</v>
      </c>
      <c r="W18" s="1387">
        <f>J18</f>
        <v>100</v>
      </c>
      <c r="X18" s="2195"/>
      <c r="Y18" s="393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33"/>
      <c r="Q19" s="2193"/>
      <c r="R19" s="1386"/>
      <c r="S19" s="1387"/>
      <c r="T19" s="1386"/>
      <c r="U19" s="1387"/>
      <c r="V19" s="1386"/>
      <c r="W19" s="1387"/>
      <c r="X19" s="2195"/>
      <c r="Y19" s="3933"/>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33"/>
      <c r="Q20" s="1385" t="str">
        <f>B20</f>
        <v>自然及人文环境</v>
      </c>
      <c r="R20" s="1386" t="s">
        <v>5</v>
      </c>
      <c r="S20" s="1387">
        <f>F20</f>
        <v>100</v>
      </c>
      <c r="T20" s="1386" t="s">
        <v>5</v>
      </c>
      <c r="U20" s="1387">
        <f>H20</f>
        <v>100</v>
      </c>
      <c r="V20" s="1386" t="s">
        <v>5</v>
      </c>
      <c r="W20" s="1387">
        <f>J20</f>
        <v>100</v>
      </c>
      <c r="X20" s="1380"/>
      <c r="Y20" s="393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33"/>
      <c r="Q21" s="1385"/>
      <c r="R21" s="1386"/>
      <c r="S21" s="1387"/>
      <c r="T21" s="1386"/>
      <c r="U21" s="1387"/>
      <c r="V21" s="1386"/>
      <c r="W21" s="1387"/>
      <c r="X21" s="1380"/>
      <c r="Y21" s="393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33"/>
      <c r="Q22" s="1385" t="str">
        <f>B22</f>
        <v>楼层</v>
      </c>
      <c r="R22" s="1386" t="s">
        <v>5</v>
      </c>
      <c r="S22" s="1387">
        <f>F22</f>
        <v>100</v>
      </c>
      <c r="T22" s="1386" t="s">
        <v>5</v>
      </c>
      <c r="U22" s="1387">
        <f>H22</f>
        <v>100</v>
      </c>
      <c r="V22" s="1386" t="s">
        <v>5</v>
      </c>
      <c r="W22" s="1387">
        <f>J22</f>
        <v>100</v>
      </c>
      <c r="X22" s="1380"/>
      <c r="Y22" s="393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33"/>
      <c r="Q23" s="1385">
        <f>B23</f>
        <v>111</v>
      </c>
      <c r="R23" s="1386" t="s">
        <v>5</v>
      </c>
      <c r="S23" s="1387">
        <f>F23</f>
        <v>100</v>
      </c>
      <c r="T23" s="1386" t="s">
        <v>5</v>
      </c>
      <c r="U23" s="1387">
        <f>H23</f>
        <v>100</v>
      </c>
      <c r="V23" s="1386" t="s">
        <v>5</v>
      </c>
      <c r="W23" s="1387">
        <f>J23</f>
        <v>100</v>
      </c>
      <c r="X23" s="1380"/>
      <c r="Y23" s="393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33"/>
      <c r="Q24" s="1385">
        <f t="shared" ref="Q24:Q34" si="8">B24</f>
        <v>111</v>
      </c>
      <c r="R24" s="1386" t="s">
        <v>5</v>
      </c>
      <c r="S24" s="1387">
        <f>F24</f>
        <v>100</v>
      </c>
      <c r="T24" s="1386" t="s">
        <v>5</v>
      </c>
      <c r="U24" s="1387">
        <f>H24</f>
        <v>100</v>
      </c>
      <c r="V24" s="1386" t="s">
        <v>5</v>
      </c>
      <c r="W24" s="1387">
        <f>J24</f>
        <v>100</v>
      </c>
      <c r="X24" s="1380"/>
      <c r="Y24" s="3933"/>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33"/>
      <c r="Q25" s="1050">
        <f t="shared" si="8"/>
        <v>111</v>
      </c>
      <c r="R25" s="1381" t="s">
        <v>5</v>
      </c>
      <c r="S25" s="1382">
        <f>F25</f>
        <v>100</v>
      </c>
      <c r="T25" s="1381" t="s">
        <v>5</v>
      </c>
      <c r="U25" s="1382">
        <f>H25</f>
        <v>100</v>
      </c>
      <c r="V25" s="1381" t="s">
        <v>5</v>
      </c>
      <c r="W25" s="1382">
        <f>J25</f>
        <v>100</v>
      </c>
      <c r="X25" s="1383"/>
      <c r="Y25" s="393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3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35"/>
      <c r="Q27" s="1414" t="str">
        <f t="shared" si="8"/>
        <v>成新率</v>
      </c>
      <c r="R27" s="1390" t="s">
        <v>5</v>
      </c>
      <c r="S27" s="1391" t="e">
        <f t="shared" si="9"/>
        <v>#N/A</v>
      </c>
      <c r="T27" s="1390" t="s">
        <v>5</v>
      </c>
      <c r="U27" s="1391" t="e">
        <f t="shared" si="10"/>
        <v>#N/A</v>
      </c>
      <c r="V27" s="1390" t="s">
        <v>5</v>
      </c>
      <c r="W27" s="1391" t="e">
        <f t="shared" si="11"/>
        <v>#N/A</v>
      </c>
      <c r="X27" s="1392"/>
      <c r="Y27" s="393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35"/>
      <c r="Q28" s="1385" t="str">
        <f t="shared" si="8"/>
        <v>物业等级</v>
      </c>
      <c r="R28" s="1386" t="s">
        <v>5</v>
      </c>
      <c r="S28" s="1387">
        <f t="shared" si="9"/>
        <v>100</v>
      </c>
      <c r="T28" s="1386" t="s">
        <v>5</v>
      </c>
      <c r="U28" s="1387">
        <f t="shared" si="10"/>
        <v>100</v>
      </c>
      <c r="V28" s="1386" t="s">
        <v>5</v>
      </c>
      <c r="W28" s="1387">
        <f t="shared" si="11"/>
        <v>100</v>
      </c>
      <c r="X28" s="1380"/>
      <c r="Y28" s="393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35"/>
      <c r="Q29" s="1385" t="str">
        <f t="shared" si="8"/>
        <v>有无电梯</v>
      </c>
      <c r="R29" s="1386" t="s">
        <v>5</v>
      </c>
      <c r="S29" s="1387">
        <f t="shared" si="9"/>
        <v>100</v>
      </c>
      <c r="T29" s="1386" t="s">
        <v>5</v>
      </c>
      <c r="U29" s="1387">
        <f t="shared" si="10"/>
        <v>100</v>
      </c>
      <c r="V29" s="1386" t="s">
        <v>5</v>
      </c>
      <c r="W29" s="1387">
        <f t="shared" si="11"/>
        <v>100</v>
      </c>
      <c r="X29" s="1380"/>
      <c r="Y29" s="393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35"/>
      <c r="Q30" s="1385" t="str">
        <f t="shared" si="8"/>
        <v>建筑面积</v>
      </c>
      <c r="R30" s="1386" t="s">
        <v>5</v>
      </c>
      <c r="S30" s="1387" t="e">
        <f t="shared" si="9"/>
        <v>#N/A</v>
      </c>
      <c r="T30" s="1386" t="s">
        <v>5</v>
      </c>
      <c r="U30" s="1387" t="e">
        <f t="shared" si="10"/>
        <v>#N/A</v>
      </c>
      <c r="V30" s="1386" t="s">
        <v>5</v>
      </c>
      <c r="W30" s="1387" t="e">
        <f t="shared" si="11"/>
        <v>#N/A</v>
      </c>
      <c r="X30" s="1380"/>
      <c r="Y30" s="393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35"/>
      <c r="Q31" s="1050" t="str">
        <f t="shared" si="8"/>
        <v>是否封闭</v>
      </c>
      <c r="R31" s="1381" t="s">
        <v>5</v>
      </c>
      <c r="S31" s="1382">
        <f t="shared" si="9"/>
        <v>100</v>
      </c>
      <c r="T31" s="1381" t="s">
        <v>5</v>
      </c>
      <c r="U31" s="1382">
        <f t="shared" si="10"/>
        <v>100</v>
      </c>
      <c r="V31" s="1381" t="s">
        <v>5</v>
      </c>
      <c r="W31" s="1382">
        <f t="shared" si="11"/>
        <v>100</v>
      </c>
      <c r="X31" s="1383"/>
      <c r="Y31" s="393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35" t="s">
        <v>499</v>
      </c>
      <c r="Q32" s="1385">
        <f t="shared" si="8"/>
        <v>111</v>
      </c>
      <c r="R32" s="1386" t="s">
        <v>5</v>
      </c>
      <c r="S32" s="1387">
        <f t="shared" si="9"/>
        <v>100</v>
      </c>
      <c r="T32" s="1386" t="s">
        <v>5</v>
      </c>
      <c r="U32" s="1387">
        <f t="shared" si="10"/>
        <v>100</v>
      </c>
      <c r="V32" s="1386" t="s">
        <v>5</v>
      </c>
      <c r="W32" s="1387">
        <f t="shared" si="11"/>
        <v>100</v>
      </c>
      <c r="X32" s="1380"/>
      <c r="Y32" s="393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35"/>
      <c r="Q33" s="1385">
        <f t="shared" si="8"/>
        <v>111</v>
      </c>
      <c r="R33" s="1386" t="s">
        <v>5</v>
      </c>
      <c r="S33" s="1387">
        <f t="shared" si="9"/>
        <v>100</v>
      </c>
      <c r="T33" s="1386" t="s">
        <v>5</v>
      </c>
      <c r="U33" s="1387">
        <f t="shared" si="10"/>
        <v>100</v>
      </c>
      <c r="V33" s="1386" t="s">
        <v>5</v>
      </c>
      <c r="W33" s="1387">
        <f t="shared" si="11"/>
        <v>100</v>
      </c>
      <c r="X33" s="1380"/>
      <c r="Y33" s="3935"/>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35"/>
      <c r="Q34" s="1385">
        <f t="shared" si="8"/>
        <v>111</v>
      </c>
      <c r="R34" s="1386" t="s">
        <v>5</v>
      </c>
      <c r="S34" s="1387">
        <f t="shared" si="9"/>
        <v>100</v>
      </c>
      <c r="T34" s="1386" t="s">
        <v>5</v>
      </c>
      <c r="U34" s="1387">
        <f t="shared" si="10"/>
        <v>100</v>
      </c>
      <c r="V34" s="1386" t="s">
        <v>5</v>
      </c>
      <c r="W34" s="1387">
        <f t="shared" si="11"/>
        <v>100</v>
      </c>
      <c r="X34" s="1380"/>
      <c r="Y34" s="3935"/>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99" t="str">
        <f>A35</f>
        <v>成交单价（元/平方米）</v>
      </c>
      <c r="Q35" s="3899"/>
      <c r="R35" s="4027">
        <f>E35</f>
        <v>0</v>
      </c>
      <c r="S35" s="4027"/>
      <c r="T35" s="4027">
        <f>G35</f>
        <v>0</v>
      </c>
      <c r="U35" s="4027"/>
      <c r="V35" s="4027">
        <f>I35</f>
        <v>0</v>
      </c>
      <c r="W35" s="4027"/>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99" t="str">
        <f>A36</f>
        <v>比较价格（元/平方米）</v>
      </c>
      <c r="Q36" s="3899"/>
      <c r="R36" s="4027" t="e">
        <f>IF(F1="售价",ROUND(PRODUCT(R35,AA7:AA34),0),ROUND(PRODUCT(R35,AA7:AA34),1))</f>
        <v>#DIV/0!</v>
      </c>
      <c r="S36" s="4027"/>
      <c r="T36" s="4027" t="e">
        <f>IF(F1="售价",ROUND(PRODUCT(T35,AB7:AB34),0),ROUND(PRODUCT(T35,AB7:AB34),1))</f>
        <v>#DIV/0!</v>
      </c>
      <c r="U36" s="4027"/>
      <c r="V36" s="4027" t="e">
        <f>IF(F1="售价",ROUND(PRODUCT(V35,AC7:AC34),0),ROUND(PRODUCT(V35,AC7:AC34),1))</f>
        <v>#DIV/0!</v>
      </c>
      <c r="W36" s="4027"/>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36" t="str">
        <f>A37</f>
        <v>估价对象XX用房的比较价格（楼面单价，元/平方米）</v>
      </c>
      <c r="Q37" s="3937"/>
      <c r="R37" s="4026" t="e">
        <f>IF(F1="售价",ROUND(IF(D36="简单平均",AVERAGE(R36:W36),R36*F36+T36*H36+V36*J36),0),ROUND(IF(D36="简单平均",AVERAGE(R36:V36),R36*F36+T36*H36+V36*J36),1))</f>
        <v>#DIV/0!</v>
      </c>
      <c r="S37" s="4026"/>
      <c r="T37" s="4026"/>
      <c r="U37" s="4026"/>
      <c r="V37" s="4026"/>
      <c r="W37" s="4026"/>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41" t="s">
        <v>1661</v>
      </c>
      <c r="D1" s="4042"/>
      <c r="E1" s="4042"/>
      <c r="F1" s="4042"/>
      <c r="G1" s="4042"/>
      <c r="H1" s="4042"/>
      <c r="I1" s="4042"/>
      <c r="J1" s="4042"/>
      <c r="K1" s="4042"/>
      <c r="L1" s="4042"/>
      <c r="M1" s="4042"/>
      <c r="N1" s="4042"/>
      <c r="O1" s="4042"/>
      <c r="P1" s="4042"/>
      <c r="Q1" s="4042"/>
      <c r="R1" s="4042"/>
      <c r="S1" s="404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8" t="s">
        <v>14</v>
      </c>
      <c r="D22" s="4039"/>
      <c r="E22" s="4039"/>
      <c r="F22" s="4039"/>
      <c r="G22" s="4039"/>
      <c r="H22" s="4039"/>
      <c r="I22" s="4039"/>
      <c r="J22" s="4039"/>
      <c r="K22" s="4039"/>
      <c r="L22" s="4039"/>
      <c r="M22" s="4039"/>
      <c r="N22" s="4039"/>
      <c r="O22" s="4039"/>
      <c r="P22" s="4039"/>
      <c r="Q22" s="404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44550</v>
      </c>
      <c r="D18" s="2469">
        <v>3.8</v>
      </c>
      <c r="E18" s="2469">
        <f>D18</f>
        <v>3.8</v>
      </c>
      <c r="F18" s="2469">
        <f>D18</f>
        <v>3.8</v>
      </c>
      <c r="G18" s="2469">
        <f>D18</f>
        <v>3.8</v>
      </c>
      <c r="H18" s="2469">
        <v>4.6500000000000004</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2"/>
      <c r="B23" s="2463" t="s">
        <v>2290</v>
      </c>
      <c r="C23" s="2471">
        <v>43697</v>
      </c>
      <c r="D23" s="3019">
        <v>4.25</v>
      </c>
      <c r="E23" s="3019">
        <v>4.25</v>
      </c>
      <c r="F23" s="3019">
        <v>4.25</v>
      </c>
      <c r="G23" s="3019">
        <v>4.25</v>
      </c>
      <c r="H23" s="3019">
        <v>4.8499999999999996</v>
      </c>
      <c r="I23" s="3019"/>
      <c r="J23" s="301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5.6">
      <c r="B24" s="3023"/>
      <c r="C24" s="3024">
        <v>42301</v>
      </c>
      <c r="D24" s="3025">
        <v>4.3499999999999996</v>
      </c>
      <c r="E24" s="3025">
        <v>4.3499999999999996</v>
      </c>
      <c r="F24" s="3025">
        <v>4.75</v>
      </c>
      <c r="G24" s="3025">
        <v>4.75</v>
      </c>
      <c r="H24" s="3025">
        <v>4.9000000000000004</v>
      </c>
      <c r="I24" s="3025"/>
      <c r="J24" s="3025"/>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7" t="s">
        <v>1556</v>
      </c>
      <c r="B1" s="3727"/>
      <c r="C1" s="3727"/>
      <c r="D1" s="3727"/>
      <c r="E1" s="3727"/>
      <c r="F1" s="3727"/>
      <c r="G1" s="3727"/>
      <c r="H1" s="3727"/>
      <c r="I1" s="3727"/>
      <c r="J1" s="3727"/>
      <c r="K1" s="3727"/>
      <c r="L1" s="3727"/>
      <c r="M1" s="3727"/>
      <c r="N1" s="3727"/>
      <c r="O1" s="3727"/>
      <c r="P1" s="3727"/>
      <c r="Q1" s="3727"/>
      <c r="R1" s="3727"/>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8" t="s">
        <v>1547</v>
      </c>
      <c r="B3" s="3728" t="s">
        <v>2013</v>
      </c>
      <c r="C3" s="3729" t="s">
        <v>1548</v>
      </c>
      <c r="D3" s="3728" t="s">
        <v>2017</v>
      </c>
      <c r="E3" s="3731" t="s">
        <v>1549</v>
      </c>
      <c r="F3" s="3731"/>
      <c r="G3" s="3731"/>
      <c r="H3" s="3731" t="s">
        <v>1550</v>
      </c>
      <c r="I3" s="3731"/>
      <c r="J3" s="3731"/>
      <c r="K3" s="3729" t="s">
        <v>1551</v>
      </c>
      <c r="L3" s="3729" t="s">
        <v>1552</v>
      </c>
      <c r="M3" s="3728" t="s">
        <v>2014</v>
      </c>
      <c r="N3" s="3730" t="str">
        <f>"（分摊）"&amp;项目基本情况!A17&amp;"国有建设用地使用权面积/㎡"</f>
        <v>（分摊）划拨国有建设用地使用权面积/㎡</v>
      </c>
      <c r="O3" s="3728" t="s">
        <v>1581</v>
      </c>
      <c r="P3" s="3729" t="s">
        <v>1561</v>
      </c>
      <c r="Q3" s="3729" t="s">
        <v>1582</v>
      </c>
      <c r="R3" s="3729" t="s">
        <v>1553</v>
      </c>
    </row>
    <row r="4" spans="1:18" ht="36.75" customHeight="1">
      <c r="A4" s="3728"/>
      <c r="B4" s="3728"/>
      <c r="C4" s="3729"/>
      <c r="D4" s="3728"/>
      <c r="E4" s="2254" t="s">
        <v>1560</v>
      </c>
      <c r="F4" s="2254" t="s">
        <v>2026</v>
      </c>
      <c r="G4" s="2254" t="s">
        <v>1554</v>
      </c>
      <c r="H4" s="2254" t="s">
        <v>1555</v>
      </c>
      <c r="I4" s="2254" t="s">
        <v>2027</v>
      </c>
      <c r="J4" s="2254" t="s">
        <v>1554</v>
      </c>
      <c r="K4" s="3729"/>
      <c r="L4" s="3729"/>
      <c r="M4" s="3728"/>
      <c r="N4" s="3730"/>
      <c r="O4" s="3728"/>
      <c r="P4" s="3729"/>
      <c r="Q4" s="3729"/>
      <c r="R4" s="372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370379.14</v>
      </c>
      <c r="O5" s="1598">
        <f>项目基本情况!C21</f>
        <v>370379.14</v>
      </c>
      <c r="P5" s="1598">
        <f ca="1">结果表!E42</f>
        <v>4230</v>
      </c>
      <c r="Q5" s="1598">
        <f ca="1">结果表!D42</f>
        <v>4230</v>
      </c>
      <c r="R5" s="1599">
        <f ca="1">结果表!C42</f>
        <v>156654</v>
      </c>
    </row>
    <row r="6" spans="1:18">
      <c r="A6" s="3724" t="str">
        <f>IF(项目基本情况!B9="市场价格","——","抵押价格")</f>
        <v>——</v>
      </c>
      <c r="B6" s="3725"/>
      <c r="C6" s="3725"/>
      <c r="D6" s="3725"/>
      <c r="E6" s="3725"/>
      <c r="F6" s="3725"/>
      <c r="G6" s="3725"/>
      <c r="H6" s="3725"/>
      <c r="I6" s="3725"/>
      <c r="J6" s="3725"/>
      <c r="K6" s="3725"/>
      <c r="L6" s="3725"/>
      <c r="M6" s="3725"/>
      <c r="N6" s="3725"/>
      <c r="O6" s="3725"/>
      <c r="P6" s="3725"/>
      <c r="Q6" s="3726"/>
      <c r="R6" s="1600" t="str">
        <f>结果表!O39</f>
        <v>——</v>
      </c>
    </row>
    <row r="7" spans="1:18">
      <c r="A7" s="3724" t="str">
        <f>IF(项目基本情况!B9="市场价格","——",IF(项目基本情况!E8="已注销及未注销","抵押担保权已注销时的抵押价格","——"))</f>
        <v>——</v>
      </c>
      <c r="B7" s="3725"/>
      <c r="C7" s="3725"/>
      <c r="D7" s="3725"/>
      <c r="E7" s="3725"/>
      <c r="F7" s="3725"/>
      <c r="G7" s="3725"/>
      <c r="H7" s="3725"/>
      <c r="I7" s="3725"/>
      <c r="J7" s="3725"/>
      <c r="K7" s="3725"/>
      <c r="L7" s="3725"/>
      <c r="M7" s="3725"/>
      <c r="N7" s="3725"/>
      <c r="O7" s="3725"/>
      <c r="P7" s="3725"/>
      <c r="Q7" s="3726"/>
      <c r="R7" s="1600" t="str">
        <f>结果表!O40</f>
        <v>——</v>
      </c>
    </row>
    <row r="8" spans="1:18">
      <c r="A8" s="3724" t="str">
        <f>IF(项目基本情况!B9="市场价格","——",项目基本情况!E9)</f>
        <v>——</v>
      </c>
      <c r="B8" s="3725"/>
      <c r="C8" s="3725"/>
      <c r="D8" s="3725"/>
      <c r="E8" s="3725"/>
      <c r="F8" s="3725"/>
      <c r="G8" s="3725"/>
      <c r="H8" s="3725"/>
      <c r="I8" s="3725"/>
      <c r="J8" s="3725"/>
      <c r="K8" s="3725"/>
      <c r="L8" s="3725"/>
      <c r="M8" s="3725"/>
      <c r="N8" s="3725"/>
      <c r="O8" s="3725"/>
      <c r="P8" s="3725"/>
      <c r="Q8" s="3726"/>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33" t="s">
        <v>1583</v>
      </c>
      <c r="B1" s="3733"/>
      <c r="C1" s="3733"/>
      <c r="D1" s="3733"/>
    </row>
    <row r="2" spans="1:4" ht="47.25" customHeight="1">
      <c r="A2" s="3734" t="str">
        <f>"1.权利限制："&amp;项目基本情况!L24&amp;"未设定租赁等其他他项权利。"</f>
        <v>1.权利限制：根据估价对象《不动产权证书》原件、《国有土地使用权》复印件，截至估价期日，估价对象抵押权未见登记。未设定租赁等其他他项权利。</v>
      </c>
      <c r="B2" s="3734"/>
      <c r="C2" s="3734"/>
      <c r="D2" s="3734"/>
    </row>
    <row r="3" spans="1:4" ht="48" customHeight="1">
      <c r="A3" s="37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3"/>
      <c r="C3" s="3733"/>
      <c r="D3" s="3733"/>
    </row>
    <row r="4" spans="1:4" ht="36.75" customHeight="1">
      <c r="A4" s="3733" t="str">
        <f>"3.估价规划限制条件：详见"&amp;项目基本情况!E21&amp;"。"</f>
        <v>3.估价规划限制条件：详见《建设工程规划许可证》[]、《出让合同》[]。</v>
      </c>
      <c r="B4" s="3733"/>
      <c r="C4" s="3733"/>
      <c r="D4" s="3733"/>
    </row>
    <row r="5" spans="1:4">
      <c r="A5" s="3732" t="s">
        <v>1584</v>
      </c>
      <c r="B5" s="3732"/>
      <c r="C5" s="3732"/>
      <c r="D5" s="3732"/>
    </row>
    <row r="6" spans="1:4">
      <c r="A6" s="3733" t="s">
        <v>1562</v>
      </c>
      <c r="B6" s="3733"/>
      <c r="C6" s="3733"/>
      <c r="D6" s="3733"/>
    </row>
    <row r="7" spans="1:4" ht="33" customHeight="1">
      <c r="A7" s="3733" t="s">
        <v>1857</v>
      </c>
      <c r="B7" s="3733"/>
      <c r="C7" s="3733"/>
      <c r="D7" s="3733"/>
    </row>
    <row r="8" spans="1:4" ht="32.25" customHeight="1">
      <c r="A8" s="37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3"/>
      <c r="C8" s="3733"/>
      <c r="D8" s="3733"/>
    </row>
    <row r="9" spans="1:4" ht="33.75" customHeight="1">
      <c r="A9" s="3733" t="str">
        <f>IF(项目基本情况!B8="抵押","3.抵押双方在办理抵押登记手续时，应使用本公司出具的正式《土地估价报告》，特提请报告使用者注意。","——")</f>
        <v>——</v>
      </c>
      <c r="B9" s="3733"/>
      <c r="C9" s="3733"/>
      <c r="D9" s="3733"/>
    </row>
    <row r="10" spans="1:4">
      <c r="A10" s="3733" t="str">
        <f>IF(项目基本情况!B8="抵押","4.估价师所知悉的法定优先受偿款情况为：","——")</f>
        <v>——</v>
      </c>
      <c r="B10" s="3733"/>
      <c r="C10" s="3733"/>
      <c r="D10" s="3733"/>
    </row>
    <row r="11" spans="1:4" ht="37.5" customHeight="1">
      <c r="A11" s="3735" t="str">
        <f>IF(项目基本情况!B8="抵押","（1）"&amp;CONCATENATE(项目基本情况!L24,项目基本情况!L25,项目基本情况!L26),"——")</f>
        <v>——</v>
      </c>
      <c r="B11" s="3735"/>
      <c r="C11" s="3735"/>
      <c r="D11" s="3735"/>
    </row>
    <row r="12" spans="1:4" ht="168" customHeight="1">
      <c r="A12" s="3732" t="s">
        <v>1586</v>
      </c>
      <c r="B12" s="3732"/>
      <c r="C12" s="3732"/>
      <c r="D12" s="3732"/>
    </row>
    <row r="13" spans="1:4">
      <c r="A13" s="3736" t="s">
        <v>2028</v>
      </c>
      <c r="B13" s="3736"/>
      <c r="C13" s="3736"/>
      <c r="D13" s="3736"/>
    </row>
    <row r="14" spans="1:4">
      <c r="A14" s="3735" t="str">
        <f>IF(项目基本情况!B8="抵押","综上，"&amp;结果表!K47,"——")</f>
        <v>——</v>
      </c>
      <c r="B14" s="3735"/>
      <c r="C14" s="3735"/>
      <c r="D14" s="3735"/>
    </row>
    <row r="15" spans="1:4" ht="58.5" customHeight="1">
      <c r="A15" s="37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3"/>
      <c r="C15" s="3733"/>
      <c r="D15" s="3733"/>
    </row>
    <row r="16" spans="1:4" ht="70.5" customHeight="1">
      <c r="A16" s="37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3"/>
      <c r="C16" s="3733"/>
      <c r="D16" s="3733"/>
    </row>
    <row r="17" spans="1:4">
      <c r="A17" s="3733" t="s">
        <v>1984</v>
      </c>
      <c r="B17" s="3733"/>
      <c r="C17" s="3733"/>
      <c r="D17" s="3733"/>
    </row>
    <row r="18" spans="1:4">
      <c r="A18" s="3733" t="s">
        <v>1976</v>
      </c>
      <c r="B18" s="3733"/>
      <c r="C18" s="3733"/>
      <c r="D18" s="373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33" t="s">
        <v>1981</v>
      </c>
      <c r="B23" s="3733"/>
      <c r="C23" s="3733"/>
      <c r="D23" s="373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44" t="s">
        <v>27</v>
      </c>
      <c r="B15" s="3745" t="s">
        <v>784</v>
      </c>
      <c r="C15" s="3741"/>
    </row>
    <row r="16" spans="1:7" ht="14.4">
      <c r="A16" s="3744"/>
      <c r="B16" s="3742" t="s">
        <v>28</v>
      </c>
      <c r="C16" s="1070" t="s">
        <v>27</v>
      </c>
    </row>
    <row r="17" spans="1:3" ht="14.4">
      <c r="A17" s="3744"/>
      <c r="B17" s="3742"/>
      <c r="C17" s="1070" t="s">
        <v>29</v>
      </c>
    </row>
    <row r="18" spans="1:3" ht="14.4">
      <c r="A18" s="3744"/>
      <c r="B18" s="3742"/>
      <c r="C18" s="1070" t="s">
        <v>30</v>
      </c>
    </row>
    <row r="19" spans="1:3" ht="14.4">
      <c r="A19" s="3744"/>
      <c r="B19" s="3740" t="s">
        <v>31</v>
      </c>
      <c r="C19" s="3741"/>
    </row>
    <row r="20" spans="1:3" ht="14.4">
      <c r="A20" s="1071" t="s">
        <v>32</v>
      </c>
      <c r="B20" s="1072"/>
      <c r="C20" s="1073"/>
    </row>
    <row r="21" spans="1:3" ht="14.4">
      <c r="A21" s="3743" t="s">
        <v>33</v>
      </c>
      <c r="B21" s="3740" t="s">
        <v>34</v>
      </c>
      <c r="C21" s="3741"/>
    </row>
    <row r="22" spans="1:3" ht="14.4">
      <c r="A22" s="3743"/>
      <c r="B22" s="3740" t="s">
        <v>35</v>
      </c>
      <c r="C22" s="3741"/>
    </row>
    <row r="23" spans="1:3" ht="14.4">
      <c r="A23" s="3743"/>
      <c r="B23" s="3740" t="s">
        <v>36</v>
      </c>
      <c r="C23" s="3741"/>
    </row>
    <row r="24" spans="1:3" ht="14.4">
      <c r="A24" s="3743"/>
      <c r="B24" s="3746" t="s">
        <v>37</v>
      </c>
      <c r="C24" s="1074" t="s">
        <v>775</v>
      </c>
    </row>
    <row r="25" spans="1:3" ht="14.4">
      <c r="A25" s="3743"/>
      <c r="B25" s="3747"/>
      <c r="C25" s="1074" t="s">
        <v>776</v>
      </c>
    </row>
    <row r="26" spans="1:3" ht="14.4">
      <c r="A26" s="3743"/>
      <c r="B26" s="3747"/>
      <c r="C26" s="1074" t="s">
        <v>777</v>
      </c>
    </row>
    <row r="27" spans="1:3" ht="14.4">
      <c r="A27" s="3743"/>
      <c r="B27" s="3747"/>
      <c r="C27" s="1074" t="s">
        <v>778</v>
      </c>
    </row>
    <row r="28" spans="1:3" ht="14.4">
      <c r="A28" s="3743"/>
      <c r="B28" s="3747"/>
      <c r="C28" s="1074" t="s">
        <v>779</v>
      </c>
    </row>
    <row r="29" spans="1:3" ht="14.4">
      <c r="A29" s="3743"/>
      <c r="B29" s="3747"/>
      <c r="C29" s="1074" t="s">
        <v>780</v>
      </c>
    </row>
    <row r="30" spans="1:3" ht="14.4">
      <c r="A30" s="3743"/>
      <c r="B30" s="3747"/>
      <c r="C30" s="1074" t="s">
        <v>781</v>
      </c>
    </row>
    <row r="31" spans="1:3" ht="14.4">
      <c r="A31" s="3743"/>
      <c r="B31" s="3747"/>
      <c r="C31" s="1074" t="s">
        <v>782</v>
      </c>
    </row>
    <row r="32" spans="1:3" ht="14.4">
      <c r="A32" s="3743"/>
      <c r="B32" s="3747"/>
      <c r="C32" s="1074" t="s">
        <v>1181</v>
      </c>
    </row>
    <row r="33" spans="1:3" ht="14.4">
      <c r="A33" s="3743"/>
      <c r="B33" s="3737" t="s">
        <v>1187</v>
      </c>
      <c r="C33" s="1074" t="s">
        <v>1182</v>
      </c>
    </row>
    <row r="34" spans="1:3" ht="14.4">
      <c r="A34" s="3743"/>
      <c r="B34" s="3738"/>
      <c r="C34" s="1079" t="s">
        <v>1183</v>
      </c>
    </row>
    <row r="35" spans="1:3" ht="14.4">
      <c r="A35" s="3743"/>
      <c r="B35" s="3738"/>
      <c r="C35" s="1080" t="s">
        <v>1184</v>
      </c>
    </row>
    <row r="36" spans="1:3" ht="14.4">
      <c r="A36" s="3743"/>
      <c r="B36" s="3738"/>
      <c r="C36" s="1080" t="s">
        <v>1185</v>
      </c>
    </row>
    <row r="37" spans="1:3" ht="14.4">
      <c r="A37" s="3743"/>
      <c r="B37" s="3739"/>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45519</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51" t="s">
        <v>1448</v>
      </c>
      <c r="B18" s="3752"/>
      <c r="C18" s="3752"/>
      <c r="D18" s="3752"/>
      <c r="E18" s="3752"/>
      <c r="F18" s="3752"/>
      <c r="G18" s="2777"/>
    </row>
    <row r="19" spans="1:7" ht="20.25" customHeight="1">
      <c r="A19" s="3748" t="s">
        <v>1449</v>
      </c>
      <c r="B19" s="3748"/>
      <c r="C19" s="3749"/>
      <c r="D19" s="3750" t="s">
        <v>1450</v>
      </c>
      <c r="E19" s="3748"/>
      <c r="F19" s="374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2755</v>
      </c>
    </row>
    <row r="8" spans="1:23" ht="14.4">
      <c r="A8" s="6" t="s">
        <v>75</v>
      </c>
      <c r="B8" s="6" t="s">
        <v>76</v>
      </c>
      <c r="C8" s="1368" t="s">
        <v>1244</v>
      </c>
      <c r="F8" s="7" t="s">
        <v>121</v>
      </c>
      <c r="H8" s="3336" t="s">
        <v>2749</v>
      </c>
      <c r="I8" s="7" t="s">
        <v>2756</v>
      </c>
    </row>
    <row r="9" spans="1:23" ht="14.4">
      <c r="A9" s="6" t="s">
        <v>77</v>
      </c>
      <c r="B9" s="6" t="s">
        <v>122</v>
      </c>
      <c r="C9" s="1368" t="s">
        <v>1245</v>
      </c>
      <c r="F9" s="7" t="s">
        <v>78</v>
      </c>
      <c r="H9" s="7"/>
      <c r="I9" s="7" t="s">
        <v>2757</v>
      </c>
    </row>
    <row r="10" spans="1:23" ht="14.4">
      <c r="A10" s="6" t="s">
        <v>79</v>
      </c>
      <c r="B10" s="6" t="s">
        <v>123</v>
      </c>
      <c r="C10" s="1368" t="s">
        <v>1246</v>
      </c>
      <c r="F10" s="3336" t="s">
        <v>2748</v>
      </c>
      <c r="I10" s="7" t="s">
        <v>2758</v>
      </c>
    </row>
    <row r="11" spans="1:23" ht="14.4">
      <c r="A11" s="6" t="s">
        <v>80</v>
      </c>
      <c r="B11" s="6" t="s">
        <v>124</v>
      </c>
      <c r="C11" s="1368" t="s">
        <v>1247</v>
      </c>
      <c r="I11" s="7" t="s">
        <v>2759</v>
      </c>
    </row>
    <row r="12" spans="1:23" ht="14.4">
      <c r="A12" s="6" t="s">
        <v>81</v>
      </c>
      <c r="B12" s="6" t="s">
        <v>125</v>
      </c>
      <c r="C12" s="1368" t="s">
        <v>1248</v>
      </c>
      <c r="I12" s="7" t="s">
        <v>2760</v>
      </c>
    </row>
    <row r="13" spans="1:23" ht="14.4">
      <c r="A13" s="6" t="s">
        <v>82</v>
      </c>
      <c r="B13" s="6" t="s">
        <v>126</v>
      </c>
      <c r="C13" s="1368" t="s">
        <v>1249</v>
      </c>
      <c r="I13" s="7" t="s">
        <v>2761</v>
      </c>
    </row>
    <row r="14" spans="1:23" ht="14.4">
      <c r="A14" s="6" t="s">
        <v>83</v>
      </c>
      <c r="B14" s="6" t="s">
        <v>127</v>
      </c>
      <c r="C14" s="1371" t="s">
        <v>1421</v>
      </c>
      <c r="I14" s="7" t="s">
        <v>2762</v>
      </c>
    </row>
    <row r="15" spans="1:23" ht="14.4">
      <c r="A15" s="6" t="s">
        <v>84</v>
      </c>
      <c r="B15" s="6" t="s">
        <v>1214</v>
      </c>
      <c r="C15" s="1371"/>
      <c r="I15" s="7" t="s">
        <v>2763</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2443</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53"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753"/>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53"/>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53"/>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53"/>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2024-08-15T12:24:06Z</dcterms:modified>
</cp:coreProperties>
</file>